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ivotTables/pivotTable6.xml" ContentType="application/vnd.openxmlformats-officedocument.spreadsheetml.pivotTable+xml"/>
  <Override PartName="/xl/comments4.xml" ContentType="application/vnd.openxmlformats-officedocument.spreadsheetml.comments+xml"/>
  <Override PartName="/xl/threadedComments/threadedComment4.xml" ContentType="application/vnd.ms-excel.threadedcomments+xml"/>
  <Override PartName="/xl/documenttasks/documenttask1.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tngltd.sharepoint.com/sites/SpeewahFluorite/Shared Documents/General/07 - Geology/4. Budget/Cost Tracking/2025/Drilling Tracker/"/>
    </mc:Choice>
  </mc:AlternateContent>
  <xr:revisionPtr revIDLastSave="14153" documentId="8_{289F0C58-59C2-48E2-9E40-3B385E159891}" xr6:coauthVersionLast="47" xr6:coauthVersionMax="47" xr10:uidLastSave="{2616857C-D698-4E84-BC14-A77233B9C099}"/>
  <bookViews>
    <workbookView xWindow="3585" yWindow="3225" windowWidth="25800" windowHeight="15825" tabRatio="739" firstSheet="6" activeTab="9" xr2:uid="{B696A634-8CA1-4DA6-9A52-9BCF30A124F4}"/>
  </bookViews>
  <sheets>
    <sheet name="Dashboard" sheetId="6" r:id="rId1"/>
    <sheet name="Pivot_Summary" sheetId="36" state="hidden" r:id="rId2"/>
    <sheet name="Scheduler" sheetId="7" r:id="rId3"/>
    <sheet name="Pivot_Rig38" sheetId="32" state="hidden" r:id="rId4"/>
    <sheet name="DDH1 RIG 38_Data" sheetId="31" r:id="rId5"/>
    <sheet name="DDH1 RIG 38" sheetId="11" r:id="rId6"/>
    <sheet name="Sheet3" sheetId="39" r:id="rId7"/>
    <sheet name="Sheet2" sheetId="38" r:id="rId8"/>
    <sheet name="DDH1 RIG 41" sheetId="2" r:id="rId9"/>
    <sheet name="STR RIG 18" sheetId="4" r:id="rId10"/>
    <sheet name="HYD RIG 16" sheetId="13" r:id="rId11"/>
    <sheet name="HYD RIG 18" sheetId="14" r:id="rId12"/>
    <sheet name="Template" sheetId="1" r:id="rId13"/>
    <sheet name="Planned_Metres_Data" sheetId="3" r:id="rId14"/>
    <sheet name="Budget Recon" sheetId="18" state="hidden" r:id="rId15"/>
    <sheet name="Purpose" sheetId="33" r:id="rId16"/>
    <sheet name="Tenement Lookup" sheetId="37" r:id="rId17"/>
    <sheet name="Sheet4" sheetId="41" r:id="rId18"/>
  </sheets>
  <definedNames>
    <definedName name="_xlnm._FilterDatabase" localSheetId="5" hidden="1">'DDH1 RIG 38'!$C$2:$CN$242</definedName>
    <definedName name="_xlnm._FilterDatabase" localSheetId="4" hidden="1">'DDH1 RIG 38_Data'!$A$1:$AV$240</definedName>
    <definedName name="_xlnm._FilterDatabase" localSheetId="8" hidden="1">'DDH1 RIG 41'!$C$2:$CM$325</definedName>
    <definedName name="_xlnm._FilterDatabase" localSheetId="15" hidden="1">Purpose!$A$1:$B$334</definedName>
    <definedName name="_xlnm._FilterDatabase" localSheetId="2" hidden="1">Scheduler!$DW$166:$DX$180</definedName>
    <definedName name="_xlnm._FilterDatabase" localSheetId="7" hidden="1">Sheet2!$A$1:$D$505</definedName>
    <definedName name="_xlnm._FilterDatabase" localSheetId="9" hidden="1">'STR RIG 18'!$A$1:$BT$262</definedName>
    <definedName name="_xlnm._FilterDatabase" localSheetId="16" hidden="1">'Tenement Lookup'!$A$1:$BP$339</definedName>
    <definedName name="_xlcn.WorksheetConnection_DrillCostTrackerUpdated.xlsxPlanned1" hidden="1">Planned[]</definedName>
    <definedName name="_xlcn.WorksheetConnection_DrillCostTrackerUpdated.xlsxTable31" hidden="1">Table3[]</definedName>
    <definedName name="NativeTimeline_Date">#N/A</definedName>
    <definedName name="Slicer_Budget">#N/A</definedName>
    <definedName name="Slicer_Campaign">#N/A</definedName>
    <definedName name="Slicer_Hole_Type">#N/A</definedName>
  </definedNames>
  <calcPr calcId="191028"/>
  <pivotCaches>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s>
  <extLs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Drill Cost Tracker Updated.xlsx!Table3"/>
          <x15:modelTable id="Planned" name="Planned" connection="WorksheetConnection_Drill Cost Tracker Updated.xlsx!Plan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 i="2" l="1"/>
  <c r="AN325" i="2"/>
  <c r="AN326" i="2"/>
  <c r="AN327" i="2"/>
  <c r="AN328" i="2"/>
  <c r="AN329" i="2"/>
  <c r="AN330" i="2"/>
  <c r="BW18" i="7" l="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230" i="11"/>
  <c r="A231" i="11"/>
  <c r="A232" i="11"/>
  <c r="A233" i="11"/>
  <c r="A234" i="11"/>
  <c r="A235" i="11"/>
  <c r="A236" i="11"/>
  <c r="A237" i="11"/>
  <c r="A238" i="11"/>
  <c r="A239" i="11"/>
  <c r="A240" i="11"/>
  <c r="A241" i="11"/>
  <c r="A242" i="11"/>
  <c r="A6" i="11"/>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7" i="4"/>
  <c r="A8" i="4"/>
  <c r="A9" i="4"/>
  <c r="A10" i="4"/>
  <c r="A11" i="4"/>
  <c r="A12" i="4"/>
  <c r="A13" i="4"/>
  <c r="A14" i="4"/>
  <c r="A15" i="4"/>
  <c r="A16" i="4"/>
  <c r="A17" i="4"/>
  <c r="A18" i="4"/>
  <c r="A19" i="4"/>
  <c r="A20" i="4"/>
  <c r="A21" i="4"/>
  <c r="A22" i="4"/>
  <c r="A6" i="4"/>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6" i="2"/>
  <c r="AY329" i="2"/>
  <c r="AX329" i="2"/>
  <c r="AV330" i="2"/>
  <c r="AV331" i="2"/>
  <c r="AV332" i="2"/>
  <c r="AS330" i="2"/>
  <c r="AU330" i="2" s="1"/>
  <c r="AS331" i="2"/>
  <c r="AU331" i="2" s="1"/>
  <c r="AS332" i="2"/>
  <c r="AU332" i="2" s="1"/>
  <c r="AS333" i="2"/>
  <c r="AU333" i="2" s="1"/>
  <c r="AR329" i="2"/>
  <c r="AR330" i="2"/>
  <c r="AR331" i="2"/>
  <c r="AR332" i="2"/>
  <c r="AP329" i="2"/>
  <c r="AP330" i="2"/>
  <c r="AP331" i="2"/>
  <c r="AP332" i="2"/>
  <c r="AP333" i="2"/>
  <c r="AN333" i="2"/>
  <c r="AN331" i="2"/>
  <c r="AN332" i="2"/>
  <c r="J324" i="2"/>
  <c r="Y318" i="2"/>
  <c r="Y319" i="2"/>
  <c r="Y320" i="2"/>
  <c r="Y321" i="2"/>
  <c r="Y322" i="2"/>
  <c r="Y323" i="2"/>
  <c r="Y324" i="2"/>
  <c r="M310" i="2"/>
  <c r="M311" i="2"/>
  <c r="M312" i="2"/>
  <c r="M313" i="2"/>
  <c r="M314" i="2"/>
  <c r="M315" i="2"/>
  <c r="M316" i="2"/>
  <c r="M317" i="2"/>
  <c r="M318" i="2"/>
  <c r="M319" i="2"/>
  <c r="M320" i="2"/>
  <c r="M321" i="2"/>
  <c r="M322" i="2"/>
  <c r="M323" i="2"/>
  <c r="J323" i="2"/>
  <c r="AR323" i="2" s="1"/>
  <c r="J322" i="2"/>
  <c r="AR322" i="2" s="1"/>
  <c r="J321" i="2"/>
  <c r="AR321" i="2" s="1"/>
  <c r="J320" i="2"/>
  <c r="AR320" i="2" s="1"/>
  <c r="J319" i="2"/>
  <c r="AR319" i="2" s="1"/>
  <c r="J318" i="2"/>
  <c r="AR318" i="2" s="1"/>
  <c r="AP318" i="2"/>
  <c r="AP319" i="2"/>
  <c r="AP320" i="2"/>
  <c r="AP321" i="2"/>
  <c r="AP322" i="2"/>
  <c r="AP323" i="2"/>
  <c r="AP324" i="2"/>
  <c r="J315" i="2"/>
  <c r="AR315" i="2" s="1"/>
  <c r="J316" i="2"/>
  <c r="AR316" i="2" s="1"/>
  <c r="J317" i="2"/>
  <c r="AR317" i="2" s="1"/>
  <c r="AP314" i="2"/>
  <c r="AP315" i="2"/>
  <c r="AP316" i="2"/>
  <c r="AP317" i="2"/>
  <c r="Y314" i="2"/>
  <c r="AD314" i="2" s="1"/>
  <c r="Y315" i="2"/>
  <c r="AD315" i="2" s="1"/>
  <c r="Y316" i="2"/>
  <c r="AD316" i="2" s="1"/>
  <c r="Y317" i="2"/>
  <c r="AD317" i="2" s="1"/>
  <c r="J313" i="2"/>
  <c r="AR313" i="2" s="1"/>
  <c r="J314" i="2"/>
  <c r="Y310" i="2"/>
  <c r="AD310" i="2" s="1"/>
  <c r="Y311" i="2"/>
  <c r="AD311" i="2" s="1"/>
  <c r="Y312" i="2"/>
  <c r="AD312" i="2" s="1"/>
  <c r="Y313" i="2"/>
  <c r="AD313" i="2" s="1"/>
  <c r="AP310" i="2"/>
  <c r="AP311" i="2"/>
  <c r="AP312" i="2"/>
  <c r="AP313" i="2"/>
  <c r="J311" i="2"/>
  <c r="AR311" i="2" s="1"/>
  <c r="J312" i="2"/>
  <c r="AR312" i="2" s="1"/>
  <c r="J309" i="2"/>
  <c r="J310" i="2"/>
  <c r="AR310" i="2" s="1"/>
  <c r="AR290" i="2"/>
  <c r="AR292" i="2"/>
  <c r="M280" i="2"/>
  <c r="AS319" i="2" l="1"/>
  <c r="AU319" i="2" s="1"/>
  <c r="AS317" i="2"/>
  <c r="AS320" i="2"/>
  <c r="AU320" i="2" s="1"/>
  <c r="AS313" i="2"/>
  <c r="AS329" i="2"/>
  <c r="AU329" i="2" s="1"/>
  <c r="AS318" i="2"/>
  <c r="AU318" i="2" s="1"/>
  <c r="AS315" i="2"/>
  <c r="AU315" i="2" s="1"/>
  <c r="AS312" i="2"/>
  <c r="AS322" i="2"/>
  <c r="AU322" i="2" s="1"/>
  <c r="AS321" i="2"/>
  <c r="AU321" i="2" s="1"/>
  <c r="AR324" i="2"/>
  <c r="AS324" i="2" s="1"/>
  <c r="AU324" i="2" s="1"/>
  <c r="AS323" i="2"/>
  <c r="AU323" i="2" s="1"/>
  <c r="AS316" i="2"/>
  <c r="AR314" i="2"/>
  <c r="AS314" i="2" s="1"/>
  <c r="AS310" i="2"/>
  <c r="AU310" i="2" s="1"/>
  <c r="AS311" i="2"/>
  <c r="J306" i="2"/>
  <c r="AR306" i="2" s="1"/>
  <c r="M306" i="2"/>
  <c r="P306" i="2"/>
  <c r="AP306" i="2"/>
  <c r="J307" i="2"/>
  <c r="M307" i="2"/>
  <c r="P307" i="2"/>
  <c r="AP307" i="2"/>
  <c r="J308" i="2"/>
  <c r="M308" i="2"/>
  <c r="P308" i="2"/>
  <c r="AP308" i="2"/>
  <c r="M309" i="2"/>
  <c r="P309" i="2"/>
  <c r="AP309" i="2"/>
  <c r="J296" i="2"/>
  <c r="AR296" i="2" s="1"/>
  <c r="M296" i="2"/>
  <c r="P296" i="2"/>
  <c r="AP296" i="2"/>
  <c r="J297" i="2"/>
  <c r="AR297" i="2" s="1"/>
  <c r="M297" i="2"/>
  <c r="P297" i="2"/>
  <c r="AP297" i="2"/>
  <c r="J298" i="2"/>
  <c r="AR298" i="2" s="1"/>
  <c r="M298" i="2"/>
  <c r="P298" i="2"/>
  <c r="AP298" i="2"/>
  <c r="J299" i="2"/>
  <c r="AR299" i="2" s="1"/>
  <c r="M299" i="2"/>
  <c r="P299" i="2"/>
  <c r="AP299" i="2"/>
  <c r="J300" i="2"/>
  <c r="AR300" i="2" s="1"/>
  <c r="M300" i="2"/>
  <c r="P300" i="2"/>
  <c r="AP300" i="2"/>
  <c r="J301" i="2"/>
  <c r="AR301" i="2" s="1"/>
  <c r="M301" i="2"/>
  <c r="P301" i="2"/>
  <c r="AP301" i="2"/>
  <c r="J302" i="2"/>
  <c r="AR302" i="2" s="1"/>
  <c r="M302" i="2"/>
  <c r="P302" i="2"/>
  <c r="AP302" i="2"/>
  <c r="J303" i="2"/>
  <c r="AR303" i="2" s="1"/>
  <c r="M303" i="2"/>
  <c r="P303" i="2"/>
  <c r="X303" i="2" s="1"/>
  <c r="Y303" i="2" s="1"/>
  <c r="AP303" i="2"/>
  <c r="J304" i="2"/>
  <c r="AR304" i="2" s="1"/>
  <c r="M304" i="2"/>
  <c r="P304" i="2"/>
  <c r="AP304" i="2"/>
  <c r="J305" i="2"/>
  <c r="AR305" i="2" s="1"/>
  <c r="M305" i="2"/>
  <c r="P305" i="2"/>
  <c r="AP305" i="2"/>
  <c r="J286" i="2"/>
  <c r="AR286" i="2" s="1"/>
  <c r="M286" i="2"/>
  <c r="P286" i="2"/>
  <c r="AP286" i="2"/>
  <c r="J287" i="2"/>
  <c r="M287" i="2"/>
  <c r="P287" i="2"/>
  <c r="AP287" i="2"/>
  <c r="J288" i="2"/>
  <c r="AR288" i="2" s="1"/>
  <c r="M288" i="2"/>
  <c r="P288" i="2"/>
  <c r="AP288" i="2"/>
  <c r="J289" i="2"/>
  <c r="AR289" i="2" s="1"/>
  <c r="M289" i="2"/>
  <c r="P289" i="2"/>
  <c r="AP289" i="2"/>
  <c r="M290" i="2"/>
  <c r="P290" i="2"/>
  <c r="AP290" i="2"/>
  <c r="J291" i="2"/>
  <c r="AR291" i="2" s="1"/>
  <c r="M291" i="2"/>
  <c r="P291" i="2"/>
  <c r="AP291" i="2"/>
  <c r="M292" i="2"/>
  <c r="P292" i="2"/>
  <c r="AP292" i="2"/>
  <c r="J293" i="2"/>
  <c r="AR293" i="2" s="1"/>
  <c r="M293" i="2"/>
  <c r="P293" i="2"/>
  <c r="AP293" i="2"/>
  <c r="J294" i="2"/>
  <c r="AR294" i="2" s="1"/>
  <c r="M294" i="2"/>
  <c r="P294" i="2"/>
  <c r="AP294" i="2"/>
  <c r="J295" i="2"/>
  <c r="AR295" i="2" s="1"/>
  <c r="M295" i="2"/>
  <c r="P295" i="2"/>
  <c r="AP295" i="2"/>
  <c r="V279" i="2"/>
  <c r="V280" i="2"/>
  <c r="V281" i="2"/>
  <c r="S279" i="2"/>
  <c r="S280" i="2"/>
  <c r="S281" i="2"/>
  <c r="X297" i="2" l="1"/>
  <c r="Y297" i="2" s="1"/>
  <c r="AD297" i="2" s="1"/>
  <c r="AS297" i="2" s="1"/>
  <c r="X309" i="2"/>
  <c r="Y309" i="2" s="1"/>
  <c r="AD309" i="2" s="1"/>
  <c r="W306" i="2"/>
  <c r="X305" i="2"/>
  <c r="Y305" i="2" s="1"/>
  <c r="AD305" i="2" s="1"/>
  <c r="AS305" i="2" s="1"/>
  <c r="AU305" i="2" s="1"/>
  <c r="AU316" i="2"/>
  <c r="W308" i="2"/>
  <c r="X306" i="2"/>
  <c r="Y306" i="2" s="1"/>
  <c r="AD306" i="2" s="1"/>
  <c r="X308" i="2"/>
  <c r="Y308" i="2" s="1"/>
  <c r="AD308" i="2" s="1"/>
  <c r="W293" i="2"/>
  <c r="W302" i="2"/>
  <c r="W307" i="2"/>
  <c r="W298" i="2"/>
  <c r="W295" i="2"/>
  <c r="X302" i="2"/>
  <c r="Y302" i="2" s="1"/>
  <c r="AD302" i="2" s="1"/>
  <c r="AS302" i="2" s="1"/>
  <c r="X296" i="2"/>
  <c r="Y296" i="2" s="1"/>
  <c r="AD296" i="2" s="1"/>
  <c r="AS296" i="2" s="1"/>
  <c r="X304" i="2"/>
  <c r="Y304" i="2" s="1"/>
  <c r="AD304" i="2" s="1"/>
  <c r="X291" i="2"/>
  <c r="Y291" i="2" s="1"/>
  <c r="AD291" i="2" s="1"/>
  <c r="AS291" i="2" s="1"/>
  <c r="W305" i="2"/>
  <c r="W300" i="2"/>
  <c r="X295" i="2"/>
  <c r="Y295" i="2" s="1"/>
  <c r="AD295" i="2" s="1"/>
  <c r="X293" i="2"/>
  <c r="Y293" i="2" s="1"/>
  <c r="AD293" i="2" s="1"/>
  <c r="W296" i="2"/>
  <c r="X298" i="2"/>
  <c r="Y298" i="2" s="1"/>
  <c r="AD298" i="2" s="1"/>
  <c r="X287" i="2"/>
  <c r="Y287" i="2" s="1"/>
  <c r="AD287" i="2" s="1"/>
  <c r="W309" i="2"/>
  <c r="W289" i="2"/>
  <c r="X301" i="2"/>
  <c r="Y301" i="2" s="1"/>
  <c r="AD301" i="2" s="1"/>
  <c r="X300" i="2"/>
  <c r="Y300" i="2" s="1"/>
  <c r="AD300" i="2" s="1"/>
  <c r="AS300" i="2" s="1"/>
  <c r="X307" i="2"/>
  <c r="Y307" i="2" s="1"/>
  <c r="AD307" i="2" s="1"/>
  <c r="W297" i="2"/>
  <c r="X292" i="2"/>
  <c r="Y292" i="2" s="1"/>
  <c r="AD292" i="2" s="1"/>
  <c r="AS292" i="2" s="1"/>
  <c r="AU314" i="2"/>
  <c r="W291" i="2"/>
  <c r="W303" i="2"/>
  <c r="AU317" i="2"/>
  <c r="W286" i="2"/>
  <c r="W304" i="2"/>
  <c r="W299" i="2"/>
  <c r="W288" i="2"/>
  <c r="W294" i="2"/>
  <c r="X289" i="2"/>
  <c r="Y289" i="2" s="1"/>
  <c r="AD289" i="2" s="1"/>
  <c r="W301" i="2"/>
  <c r="AU313" i="2"/>
  <c r="AU311" i="2"/>
  <c r="AU312" i="2"/>
  <c r="AD303" i="2"/>
  <c r="AS303" i="2" s="1"/>
  <c r="X299" i="2"/>
  <c r="Y299" i="2" s="1"/>
  <c r="AD299" i="2" s="1"/>
  <c r="AR309" i="2"/>
  <c r="AS309" i="2" s="1"/>
  <c r="AR307" i="2"/>
  <c r="X288" i="2"/>
  <c r="Y288" i="2" s="1"/>
  <c r="AD288" i="2" s="1"/>
  <c r="AS288" i="2" s="1"/>
  <c r="AU288" i="2" s="1"/>
  <c r="W287" i="2"/>
  <c r="X294" i="2"/>
  <c r="Y294" i="2" s="1"/>
  <c r="AD294" i="2" s="1"/>
  <c r="W292" i="2"/>
  <c r="W290" i="2"/>
  <c r="X286" i="2"/>
  <c r="Y286" i="2" s="1"/>
  <c r="AD286" i="2" s="1"/>
  <c r="AS286" i="2" s="1"/>
  <c r="AR308" i="2"/>
  <c r="X290" i="2"/>
  <c r="Y290" i="2" s="1"/>
  <c r="AD290" i="2" s="1"/>
  <c r="AR287" i="2"/>
  <c r="AS308" i="2" l="1"/>
  <c r="AS306" i="2"/>
  <c r="AS304" i="2"/>
  <c r="AU304" i="2" s="1"/>
  <c r="AS301" i="2"/>
  <c r="AU301" i="2" s="1"/>
  <c r="AS298" i="2"/>
  <c r="AU298" i="2" s="1"/>
  <c r="AS287" i="2"/>
  <c r="AU287" i="2" s="1"/>
  <c r="AS293" i="2"/>
  <c r="AU293" i="2" s="1"/>
  <c r="AS295" i="2"/>
  <c r="AU295" i="2" s="1"/>
  <c r="AS307" i="2"/>
  <c r="AU307" i="2" s="1"/>
  <c r="AS289" i="2"/>
  <c r="AU289" i="2" s="1"/>
  <c r="AU309" i="2"/>
  <c r="AU306" i="2"/>
  <c r="AU308" i="2"/>
  <c r="AU303" i="2"/>
  <c r="AU302" i="2"/>
  <c r="AU300" i="2"/>
  <c r="AS299" i="2"/>
  <c r="AU297" i="2"/>
  <c r="AU296" i="2"/>
  <c r="AS294" i="2"/>
  <c r="AU292" i="2"/>
  <c r="AS290" i="2"/>
  <c r="AU291" i="2"/>
  <c r="AU286" i="2"/>
  <c r="P268" i="2"/>
  <c r="AZ30" i="14"/>
  <c r="BE249" i="2"/>
  <c r="BE250" i="2"/>
  <c r="BE251" i="2"/>
  <c r="BE252" i="2"/>
  <c r="BE253" i="2"/>
  <c r="BE254" i="2"/>
  <c r="BE255" i="2"/>
  <c r="BE256" i="2"/>
  <c r="BE257" i="2"/>
  <c r="BE258" i="2"/>
  <c r="BE259" i="2"/>
  <c r="BE260" i="2"/>
  <c r="BE261" i="2"/>
  <c r="BE262" i="2"/>
  <c r="BE263" i="2"/>
  <c r="BE264" i="2"/>
  <c r="BE265" i="2"/>
  <c r="BE266" i="2"/>
  <c r="BE267" i="2"/>
  <c r="BE268" i="2"/>
  <c r="BE269" i="2"/>
  <c r="BE270" i="2"/>
  <c r="BE271" i="2"/>
  <c r="BE272" i="2"/>
  <c r="BE273" i="2"/>
  <c r="BE274" i="2"/>
  <c r="FQ10" i="7"/>
  <c r="FJ10" i="7"/>
  <c r="FF8" i="7"/>
  <c r="FG8" i="7"/>
  <c r="FH8" i="7"/>
  <c r="FI8" i="7"/>
  <c r="FJ8" i="7"/>
  <c r="FK8" i="7"/>
  <c r="FL8" i="7"/>
  <c r="FM8" i="7"/>
  <c r="FN8" i="7"/>
  <c r="FO8" i="7"/>
  <c r="FP8" i="7"/>
  <c r="FQ8" i="7"/>
  <c r="FR8" i="7"/>
  <c r="FF9" i="7"/>
  <c r="FG9" i="7"/>
  <c r="FH9" i="7"/>
  <c r="FI9" i="7"/>
  <c r="FJ9" i="7"/>
  <c r="FK9" i="7"/>
  <c r="FD8" i="7"/>
  <c r="FE8" i="7"/>
  <c r="FE9" i="7" s="1"/>
  <c r="FD9" i="7"/>
  <c r="BE235" i="2"/>
  <c r="BE236" i="2"/>
  <c r="BE237" i="2"/>
  <c r="BE238" i="2"/>
  <c r="BE239" i="2"/>
  <c r="BE240" i="2"/>
  <c r="BE241" i="2"/>
  <c r="BE242" i="2"/>
  <c r="BE243" i="2"/>
  <c r="BE244" i="2"/>
  <c r="BE245" i="2"/>
  <c r="BE246" i="2"/>
  <c r="BE247" i="2"/>
  <c r="BE248" i="2"/>
  <c r="FB8" i="7"/>
  <c r="FC8" i="7"/>
  <c r="FB9" i="7"/>
  <c r="FC9" i="7"/>
  <c r="J236" i="2"/>
  <c r="J237" i="2"/>
  <c r="J238" i="2"/>
  <c r="J239" i="2"/>
  <c r="J240" i="2"/>
  <c r="J241" i="2"/>
  <c r="J242" i="2"/>
  <c r="J243" i="2"/>
  <c r="J244" i="2"/>
  <c r="J245" i="2"/>
  <c r="J246" i="2"/>
  <c r="J247" i="2"/>
  <c r="J248" i="2"/>
  <c r="J249" i="2"/>
  <c r="J250" i="2"/>
  <c r="J251" i="2"/>
  <c r="J252" i="2"/>
  <c r="J253" i="2"/>
  <c r="AR253" i="2" s="1"/>
  <c r="J254" i="2"/>
  <c r="AR254" i="2" s="1"/>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1" i="2"/>
  <c r="M282" i="2"/>
  <c r="M283" i="2"/>
  <c r="M284" i="2"/>
  <c r="M285" i="2"/>
  <c r="P235" i="2"/>
  <c r="P236" i="2"/>
  <c r="P237" i="2"/>
  <c r="P238" i="2"/>
  <c r="P239" i="2"/>
  <c r="P240" i="2"/>
  <c r="P241" i="2"/>
  <c r="P242" i="2"/>
  <c r="P243" i="2"/>
  <c r="P244" i="2"/>
  <c r="P245" i="2"/>
  <c r="P246" i="2"/>
  <c r="P247" i="2"/>
  <c r="P248" i="2"/>
  <c r="P249" i="2"/>
  <c r="P250" i="2"/>
  <c r="P251" i="2"/>
  <c r="P253" i="2"/>
  <c r="P254" i="2"/>
  <c r="P255" i="2"/>
  <c r="P256" i="2"/>
  <c r="P257" i="2"/>
  <c r="P258" i="2"/>
  <c r="P259" i="2"/>
  <c r="P260" i="2"/>
  <c r="P261" i="2"/>
  <c r="P262" i="2"/>
  <c r="P263" i="2"/>
  <c r="P264" i="2"/>
  <c r="P265" i="2"/>
  <c r="P266" i="2"/>
  <c r="P267" i="2"/>
  <c r="P269" i="2"/>
  <c r="P270" i="2"/>
  <c r="P271" i="2"/>
  <c r="P272" i="2"/>
  <c r="P273" i="2"/>
  <c r="P274" i="2"/>
  <c r="P275" i="2"/>
  <c r="P276" i="2"/>
  <c r="P277" i="2"/>
  <c r="P278" i="2"/>
  <c r="P279" i="2"/>
  <c r="P280" i="2"/>
  <c r="P281" i="2"/>
  <c r="P282" i="2"/>
  <c r="P283" i="2"/>
  <c r="P284" i="2"/>
  <c r="P285" i="2"/>
  <c r="AP235" i="2"/>
  <c r="AP236" i="2"/>
  <c r="AP237" i="2"/>
  <c r="AP238" i="2"/>
  <c r="AP239" i="2"/>
  <c r="AP240" i="2"/>
  <c r="AP241" i="2"/>
  <c r="AP242" i="2"/>
  <c r="AP243" i="2"/>
  <c r="AP244" i="2"/>
  <c r="AP245" i="2"/>
  <c r="AP246" i="2"/>
  <c r="AP247" i="2"/>
  <c r="AP248" i="2"/>
  <c r="AP249" i="2"/>
  <c r="AP250" i="2"/>
  <c r="AP251" i="2"/>
  <c r="AP252" i="2"/>
  <c r="AP253" i="2"/>
  <c r="AP254" i="2"/>
  <c r="AP255" i="2"/>
  <c r="AP256" i="2"/>
  <c r="AP257" i="2"/>
  <c r="AP258" i="2"/>
  <c r="AP259" i="2"/>
  <c r="AP260" i="2"/>
  <c r="AP261" i="2"/>
  <c r="AP262" i="2"/>
  <c r="AP263" i="2"/>
  <c r="AP264" i="2"/>
  <c r="AP265" i="2"/>
  <c r="AP266" i="2"/>
  <c r="AP267" i="2"/>
  <c r="AP268" i="2"/>
  <c r="AP269" i="2"/>
  <c r="AP270" i="2"/>
  <c r="AP271" i="2"/>
  <c r="AP272" i="2"/>
  <c r="AP273" i="2"/>
  <c r="AP274" i="2"/>
  <c r="AP275" i="2"/>
  <c r="AP276" i="2"/>
  <c r="AP277" i="2"/>
  <c r="AP278" i="2"/>
  <c r="AP279" i="2"/>
  <c r="AP280" i="2"/>
  <c r="AP281" i="2"/>
  <c r="AP282" i="2"/>
  <c r="AP283" i="2"/>
  <c r="AP284" i="2"/>
  <c r="AP285" i="2"/>
  <c r="AU299" i="2" l="1"/>
  <c r="AU294" i="2"/>
  <c r="AU290" i="2"/>
  <c r="AR255" i="2"/>
  <c r="FL9" i="7"/>
  <c r="FM9" i="7" s="1"/>
  <c r="FN9" i="7" s="1"/>
  <c r="FO9" i="7" s="1"/>
  <c r="FP9" i="7" s="1"/>
  <c r="FQ9" i="7" s="1"/>
  <c r="FR9" i="7" s="1"/>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M235" i="2"/>
  <c r="J235" i="2"/>
  <c r="W254" i="2" l="1"/>
  <c r="EV10" i="7"/>
  <c r="EO10" i="7"/>
  <c r="FC10" i="7"/>
  <c r="EQ8" i="7"/>
  <c r="ER8" i="7"/>
  <c r="ES8" i="7"/>
  <c r="ET8" i="7"/>
  <c r="EU8" i="7"/>
  <c r="EV8" i="7"/>
  <c r="EW8" i="7"/>
  <c r="EX8" i="7"/>
  <c r="EY8" i="7"/>
  <c r="EZ8" i="7"/>
  <c r="FA8" i="7"/>
  <c r="K85" i="4" l="1"/>
  <c r="DZ7" i="7"/>
  <c r="DY7" i="7"/>
  <c r="DX7" i="7"/>
  <c r="DW7" i="7"/>
  <c r="DV7" i="7"/>
  <c r="DU7" i="7"/>
  <c r="DT7" i="7"/>
  <c r="DX179" i="7"/>
  <c r="DX177" i="7"/>
  <c r="DX175" i="7"/>
  <c r="DX173" i="7"/>
  <c r="DX171" i="7"/>
  <c r="DX169" i="7"/>
  <c r="DX167" i="7"/>
  <c r="AP182" i="2"/>
  <c r="AP183" i="2"/>
  <c r="AP184" i="2"/>
  <c r="AP185" i="2"/>
  <c r="AP186" i="2"/>
  <c r="AP187" i="2"/>
  <c r="AP188" i="2"/>
  <c r="AP189" i="2"/>
  <c r="AP190" i="2"/>
  <c r="AP191" i="2"/>
  <c r="AP192" i="2"/>
  <c r="AP193" i="2"/>
  <c r="AP194" i="2"/>
  <c r="AP195" i="2"/>
  <c r="AP196" i="2"/>
  <c r="AP197" i="2"/>
  <c r="AP198" i="2"/>
  <c r="AP199" i="2"/>
  <c r="AP200" i="2"/>
  <c r="AP201" i="2"/>
  <c r="AP202" i="2"/>
  <c r="AP203" i="2"/>
  <c r="AP204" i="2"/>
  <c r="AP205" i="2"/>
  <c r="AP206" i="2"/>
  <c r="AP207" i="2"/>
  <c r="AP208" i="2"/>
  <c r="AP209" i="2"/>
  <c r="AP210" i="2"/>
  <c r="AP211" i="2"/>
  <c r="AP212" i="2"/>
  <c r="AP213" i="2"/>
  <c r="AP214" i="2"/>
  <c r="AP215" i="2"/>
  <c r="AP216" i="2"/>
  <c r="AP217" i="2"/>
  <c r="AP218" i="2"/>
  <c r="AP219" i="2"/>
  <c r="AP220" i="2"/>
  <c r="AP221" i="2"/>
  <c r="AP222" i="2"/>
  <c r="AP223" i="2"/>
  <c r="AP224" i="2"/>
  <c r="AP225" i="2"/>
  <c r="AP226" i="2"/>
  <c r="AP227" i="2"/>
  <c r="AP228" i="2"/>
  <c r="AP229" i="2"/>
  <c r="AP230" i="2"/>
  <c r="AP231" i="2"/>
  <c r="AP232" i="2"/>
  <c r="AP233" i="2"/>
  <c r="AP234" i="2"/>
  <c r="AJ84" i="4"/>
  <c r="AJ85" i="4"/>
  <c r="AJ86" i="4"/>
  <c r="AJ107" i="4"/>
  <c r="AJ108" i="4"/>
  <c r="AJ109" i="4"/>
  <c r="AJ110" i="4"/>
  <c r="AJ111" i="4"/>
  <c r="AJ112" i="4"/>
  <c r="AJ113" i="4"/>
  <c r="AJ114" i="4"/>
  <c r="AJ115" i="4"/>
  <c r="AJ116" i="4"/>
  <c r="AJ117" i="4"/>
  <c r="AJ118" i="4"/>
  <c r="AJ119" i="4"/>
  <c r="AJ120" i="4"/>
  <c r="AJ121" i="4"/>
  <c r="AJ122" i="4"/>
  <c r="AJ123" i="4"/>
  <c r="AJ124" i="4"/>
  <c r="AJ125" i="4"/>
  <c r="AJ126" i="4"/>
  <c r="AJ127" i="4"/>
  <c r="AJ128" i="4"/>
  <c r="AJ129" i="4"/>
  <c r="AJ130" i="4"/>
  <c r="AJ131" i="4"/>
  <c r="AJ132" i="4"/>
  <c r="AJ133" i="4"/>
  <c r="AJ134" i="4"/>
  <c r="AJ135" i="4"/>
  <c r="AJ136" i="4"/>
  <c r="AJ137" i="4"/>
  <c r="AJ138" i="4"/>
  <c r="AJ139" i="4"/>
  <c r="AJ140" i="4"/>
  <c r="AJ141" i="4"/>
  <c r="AJ142" i="4"/>
  <c r="AJ143" i="4"/>
  <c r="AJ144" i="4"/>
  <c r="AJ145" i="4"/>
  <c r="AJ146" i="4"/>
  <c r="AJ147" i="4"/>
  <c r="AJ148" i="4"/>
  <c r="AJ149" i="4"/>
  <c r="AJ150" i="4"/>
  <c r="AJ151" i="4"/>
  <c r="AJ152" i="4"/>
  <c r="AJ153" i="4"/>
  <c r="AJ154" i="4"/>
  <c r="AJ155" i="4"/>
  <c r="AJ156" i="4"/>
  <c r="AJ157" i="4"/>
  <c r="AJ158" i="4"/>
  <c r="AJ159" i="4"/>
  <c r="AJ160" i="4"/>
  <c r="AJ161" i="4"/>
  <c r="AJ162" i="4"/>
  <c r="AJ163" i="4"/>
  <c r="AJ164" i="4"/>
  <c r="AJ165" i="4"/>
  <c r="AJ166" i="4"/>
  <c r="AJ167" i="4"/>
  <c r="AJ168" i="4"/>
  <c r="AJ169" i="4"/>
  <c r="AJ170" i="4"/>
  <c r="AJ171" i="4"/>
  <c r="AJ172" i="4"/>
  <c r="AJ173" i="4"/>
  <c r="AJ174" i="4"/>
  <c r="AJ175" i="4"/>
  <c r="AJ176" i="4"/>
  <c r="AJ177" i="4"/>
  <c r="AJ178" i="4"/>
  <c r="AJ179" i="4"/>
  <c r="AJ180" i="4"/>
  <c r="AJ181" i="4"/>
  <c r="AJ182" i="4"/>
  <c r="AJ183" i="4"/>
  <c r="AJ184" i="4"/>
  <c r="AJ185" i="4"/>
  <c r="AJ186" i="4"/>
  <c r="AJ187" i="4"/>
  <c r="AJ188" i="4"/>
  <c r="AJ189" i="4"/>
  <c r="AJ190" i="4"/>
  <c r="AJ191" i="4"/>
  <c r="AJ192" i="4"/>
  <c r="AJ193" i="4"/>
  <c r="AJ194" i="4"/>
  <c r="AJ195" i="4"/>
  <c r="AJ196" i="4"/>
  <c r="AJ197" i="4"/>
  <c r="AJ198" i="4"/>
  <c r="AJ199" i="4"/>
  <c r="AJ200" i="4"/>
  <c r="AJ201" i="4"/>
  <c r="AJ202" i="4"/>
  <c r="AJ203" i="4"/>
  <c r="AJ204" i="4"/>
  <c r="AJ205" i="4"/>
  <c r="AJ206" i="4"/>
  <c r="AJ207" i="4"/>
  <c r="AJ208" i="4"/>
  <c r="AJ209" i="4"/>
  <c r="AJ210" i="4"/>
  <c r="AJ211" i="4"/>
  <c r="AJ212" i="4"/>
  <c r="AJ213" i="4"/>
  <c r="AJ214" i="4"/>
  <c r="AJ215" i="4"/>
  <c r="AJ216" i="4"/>
  <c r="AJ217" i="4"/>
  <c r="AJ218" i="4"/>
  <c r="AJ219" i="4"/>
  <c r="AJ220" i="4"/>
  <c r="AJ221" i="4"/>
  <c r="AJ222" i="4"/>
  <c r="AJ223" i="4"/>
  <c r="AJ224" i="4"/>
  <c r="AJ225" i="4"/>
  <c r="AJ226" i="4"/>
  <c r="AJ227" i="4"/>
  <c r="AJ228" i="4"/>
  <c r="AJ229" i="4"/>
  <c r="AJ230" i="4"/>
  <c r="AJ231" i="4"/>
  <c r="AJ232" i="4"/>
  <c r="AJ233" i="4"/>
  <c r="AJ234" i="4"/>
  <c r="AJ235" i="4"/>
  <c r="AJ236" i="4"/>
  <c r="AJ237" i="4"/>
  <c r="AJ238" i="4"/>
  <c r="AJ239" i="4"/>
  <c r="AJ240" i="4"/>
  <c r="AJ241" i="4"/>
  <c r="AJ242" i="4"/>
  <c r="AJ243" i="4"/>
  <c r="AJ244" i="4"/>
  <c r="AJ245" i="4"/>
  <c r="AJ246" i="4"/>
  <c r="AJ247" i="4"/>
  <c r="AJ248" i="4"/>
  <c r="AJ249" i="4"/>
  <c r="AJ250" i="4"/>
  <c r="AJ251" i="4"/>
  <c r="AJ252" i="4"/>
  <c r="AJ253" i="4"/>
  <c r="AJ254" i="4"/>
  <c r="AJ255" i="4"/>
  <c r="AJ256" i="4"/>
  <c r="AJ257" i="4"/>
  <c r="AJ258" i="4"/>
  <c r="AJ259" i="4"/>
  <c r="AJ260" i="4"/>
  <c r="AJ261" i="4"/>
  <c r="AJ262" i="4"/>
  <c r="AJ83" i="4"/>
  <c r="K84" i="4"/>
  <c r="K83" i="4"/>
  <c r="B83" i="4"/>
  <c r="AJ82" i="4"/>
  <c r="K82" i="4"/>
  <c r="B82" i="4"/>
  <c r="AV7" i="2"/>
  <c r="AV8" i="2"/>
  <c r="AV9" i="2"/>
  <c r="AV10" i="2"/>
  <c r="AV11" i="2"/>
  <c r="AV12" i="2"/>
  <c r="AV13" i="2"/>
  <c r="AV14" i="2"/>
  <c r="AV15" i="2"/>
  <c r="W235" i="2"/>
  <c r="W236" i="2"/>
  <c r="W237" i="2"/>
  <c r="W238" i="2"/>
  <c r="W239" i="2"/>
  <c r="W240" i="2"/>
  <c r="W241" i="2"/>
  <c r="W242" i="2"/>
  <c r="W243" i="2"/>
  <c r="W244" i="2"/>
  <c r="W245" i="2"/>
  <c r="W246" i="2"/>
  <c r="W247" i="2"/>
  <c r="W248" i="2"/>
  <c r="W249" i="2"/>
  <c r="W250" i="2"/>
  <c r="W251" i="2"/>
  <c r="W252" i="2"/>
  <c r="W253"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AR235" i="2"/>
  <c r="AR236" i="2"/>
  <c r="AR237" i="2"/>
  <c r="AR238" i="2"/>
  <c r="AR239" i="2"/>
  <c r="AR240" i="2"/>
  <c r="AR241" i="2"/>
  <c r="AR242" i="2"/>
  <c r="AR243" i="2"/>
  <c r="AR244" i="2"/>
  <c r="AR245" i="2"/>
  <c r="AR246" i="2"/>
  <c r="AR247" i="2"/>
  <c r="AR248" i="2"/>
  <c r="AR249" i="2"/>
  <c r="AR250" i="2"/>
  <c r="AR251" i="2"/>
  <c r="AR252" i="2"/>
  <c r="AR256" i="2"/>
  <c r="AR257" i="2"/>
  <c r="AR258" i="2"/>
  <c r="AR259" i="2"/>
  <c r="AR260" i="2"/>
  <c r="AR261" i="2"/>
  <c r="AR262" i="2"/>
  <c r="AR263" i="2"/>
  <c r="AR264" i="2"/>
  <c r="AR265" i="2"/>
  <c r="AR266" i="2"/>
  <c r="AR267" i="2"/>
  <c r="AR268" i="2"/>
  <c r="AR269" i="2"/>
  <c r="AR270" i="2"/>
  <c r="AR271" i="2"/>
  <c r="AR272" i="2"/>
  <c r="AR273" i="2"/>
  <c r="AR274" i="2"/>
  <c r="AR275" i="2"/>
  <c r="AR276" i="2"/>
  <c r="AR277" i="2"/>
  <c r="AR278" i="2"/>
  <c r="AR279" i="2"/>
  <c r="AR280" i="2"/>
  <c r="AR281" i="2"/>
  <c r="AR282" i="2"/>
  <c r="AR283" i="2"/>
  <c r="AR284" i="2"/>
  <c r="AR285" i="2"/>
  <c r="K81" i="4"/>
  <c r="B81" i="4"/>
  <c r="B80" i="4"/>
  <c r="B79" i="4"/>
  <c r="B76" i="4"/>
  <c r="K80" i="4"/>
  <c r="K79" i="4"/>
  <c r="K78" i="4"/>
  <c r="K77" i="4" l="1"/>
  <c r="K76" i="4" l="1"/>
  <c r="K75" i="4"/>
  <c r="K74" i="4"/>
  <c r="K73" i="4"/>
  <c r="AH73" i="4"/>
  <c r="B116" i="11"/>
  <c r="B117" i="11"/>
  <c r="B118" i="11"/>
  <c r="B119" i="11"/>
  <c r="B120" i="11"/>
  <c r="B121" i="11"/>
  <c r="B122" i="11"/>
  <c r="B123" i="11"/>
  <c r="B124" i="11"/>
  <c r="B125" i="11"/>
  <c r="B126" i="11"/>
  <c r="B127" i="11"/>
  <c r="B128" i="11"/>
  <c r="B158" i="2"/>
  <c r="B159" i="2"/>
  <c r="B160" i="2"/>
  <c r="B161" i="2"/>
  <c r="B162" i="2"/>
  <c r="B115" i="11"/>
  <c r="Y121" i="11"/>
  <c r="Y122" i="11"/>
  <c r="Y123" i="11"/>
  <c r="Y124" i="11"/>
  <c r="Y125" i="11"/>
  <c r="Y126" i="11"/>
  <c r="Y127" i="11"/>
  <c r="Y128" i="11"/>
  <c r="Y129" i="11"/>
  <c r="Y130" i="11"/>
  <c r="Y131" i="11"/>
  <c r="Y132" i="11"/>
  <c r="Y133" i="11"/>
  <c r="Y134" i="11"/>
  <c r="Y135" i="11"/>
  <c r="Y136" i="11"/>
  <c r="Y137" i="11"/>
  <c r="Y138" i="11"/>
  <c r="Y139" i="11"/>
  <c r="Y140" i="11"/>
  <c r="Y141" i="11"/>
  <c r="Y142" i="11"/>
  <c r="Y143" i="11"/>
  <c r="Y144" i="11"/>
  <c r="Y145" i="11"/>
  <c r="Y146" i="11"/>
  <c r="Y147" i="11"/>
  <c r="Y148" i="11"/>
  <c r="Y149" i="11"/>
  <c r="Y150" i="11"/>
  <c r="Y151" i="11"/>
  <c r="Y152" i="11"/>
  <c r="Y153" i="11"/>
  <c r="Y154" i="11"/>
  <c r="Y155" i="11"/>
  <c r="Y156" i="11"/>
  <c r="Y157" i="11"/>
  <c r="Y158" i="11"/>
  <c r="Y159" i="11"/>
  <c r="Y160" i="11"/>
  <c r="Y161" i="11"/>
  <c r="Y162" i="11"/>
  <c r="Y163" i="11"/>
  <c r="Y164" i="11"/>
  <c r="Y165" i="11"/>
  <c r="Y166" i="11"/>
  <c r="Y167" i="11"/>
  <c r="Y168" i="11"/>
  <c r="Y169" i="11"/>
  <c r="Y170" i="11"/>
  <c r="Y171" i="11"/>
  <c r="Y172" i="11"/>
  <c r="Y173" i="11"/>
  <c r="Y174" i="11"/>
  <c r="Y175" i="11"/>
  <c r="Y176" i="11"/>
  <c r="Y177" i="11"/>
  <c r="Y178" i="11"/>
  <c r="Y179" i="11"/>
  <c r="Y180" i="11"/>
  <c r="Y181" i="11"/>
  <c r="Y182" i="11"/>
  <c r="Y183" i="11"/>
  <c r="Y184" i="11"/>
  <c r="Y185" i="11"/>
  <c r="Y186" i="11"/>
  <c r="Y187" i="11"/>
  <c r="Y188" i="11"/>
  <c r="Y189" i="11"/>
  <c r="Y190" i="11"/>
  <c r="Y191" i="11"/>
  <c r="Y192" i="11"/>
  <c r="Y193" i="11"/>
  <c r="Y194" i="11"/>
  <c r="Y195" i="11"/>
  <c r="Y196" i="11"/>
  <c r="Y197" i="11"/>
  <c r="Y198" i="11"/>
  <c r="Y199" i="11"/>
  <c r="Y200" i="11"/>
  <c r="Y201" i="11"/>
  <c r="Y202" i="11"/>
  <c r="Y203" i="11"/>
  <c r="Y204" i="11"/>
  <c r="Y205" i="11"/>
  <c r="Y206" i="11"/>
  <c r="Y207" i="11"/>
  <c r="Y208" i="11"/>
  <c r="Y209" i="11"/>
  <c r="Y210" i="11"/>
  <c r="Y211" i="11"/>
  <c r="Y212" i="11"/>
  <c r="Y213" i="11"/>
  <c r="Y214" i="11"/>
  <c r="Y215" i="11"/>
  <c r="Y216" i="11"/>
  <c r="Y217" i="11"/>
  <c r="Y218" i="11"/>
  <c r="Y219" i="11"/>
  <c r="Y220" i="11"/>
  <c r="Y221" i="11"/>
  <c r="Y222" i="11"/>
  <c r="Y223" i="11"/>
  <c r="Y224" i="11"/>
  <c r="Y225" i="11"/>
  <c r="Y226" i="11"/>
  <c r="Y227" i="11"/>
  <c r="Y228" i="11"/>
  <c r="Y229" i="11"/>
  <c r="Y230" i="11"/>
  <c r="Y231" i="11"/>
  <c r="Y232" i="11"/>
  <c r="Y233" i="11"/>
  <c r="Y234" i="11"/>
  <c r="Y235" i="11"/>
  <c r="Y236" i="11"/>
  <c r="Y237" i="11"/>
  <c r="Y238" i="11"/>
  <c r="Y239" i="11"/>
  <c r="Y240" i="11"/>
  <c r="Y241" i="11"/>
  <c r="B114" i="11"/>
  <c r="B157" i="2"/>
  <c r="B155" i="2"/>
  <c r="B156" i="2"/>
  <c r="K72" i="4"/>
  <c r="B72" i="4"/>
  <c r="B73" i="4"/>
  <c r="B74" i="4"/>
  <c r="B75" i="4"/>
  <c r="B77" i="4"/>
  <c r="B78" i="4"/>
  <c r="B108" i="11"/>
  <c r="B109" i="11"/>
  <c r="B110" i="11"/>
  <c r="B111" i="11"/>
  <c r="B112" i="11"/>
  <c r="B113" i="11"/>
  <c r="B152" i="2" l="1"/>
  <c r="B153" i="2"/>
  <c r="B154" i="2"/>
  <c r="K71" i="4"/>
  <c r="AJ70" i="4"/>
  <c r="AJ71" i="4"/>
  <c r="AJ72" i="4"/>
  <c r="AJ73" i="4"/>
  <c r="AJ74" i="4"/>
  <c r="AJ75" i="4"/>
  <c r="AJ76" i="4"/>
  <c r="AJ77" i="4"/>
  <c r="AJ78" i="4"/>
  <c r="AJ79" i="4"/>
  <c r="AJ80" i="4"/>
  <c r="AJ81" i="4"/>
  <c r="K70" i="4"/>
  <c r="B70" i="4"/>
  <c r="B71" i="4"/>
  <c r="DM10" i="7"/>
  <c r="B106" i="11" l="1"/>
  <c r="B107" i="11"/>
  <c r="B150" i="2"/>
  <c r="B151" i="2"/>
  <c r="AJ63" i="4"/>
  <c r="AJ64" i="4"/>
  <c r="AJ65" i="4"/>
  <c r="AJ66" i="4"/>
  <c r="AJ67" i="4"/>
  <c r="AJ68" i="4"/>
  <c r="AJ69" i="4"/>
  <c r="K69" i="4"/>
  <c r="B69" i="4"/>
  <c r="B105" i="11"/>
  <c r="B104" i="11"/>
  <c r="B149" i="2"/>
  <c r="B148" i="2"/>
  <c r="K67" i="4"/>
  <c r="K68" i="4"/>
  <c r="B67" i="4"/>
  <c r="B68" i="4"/>
  <c r="B147" i="2"/>
  <c r="B146" i="2"/>
  <c r="B102" i="11"/>
  <c r="B103" i="11"/>
  <c r="B100" i="11"/>
  <c r="B101" i="11"/>
  <c r="B144" i="2"/>
  <c r="B145" i="2"/>
  <c r="B66" i="4"/>
  <c r="K65" i="4"/>
  <c r="K66" i="4"/>
  <c r="B98" i="11" l="1"/>
  <c r="B99" i="11"/>
  <c r="B142" i="2"/>
  <c r="B143" i="2"/>
  <c r="B65" i="4"/>
  <c r="B96" i="11"/>
  <c r="B97" i="11"/>
  <c r="B140" i="2"/>
  <c r="B141" i="2"/>
  <c r="Z64" i="4"/>
  <c r="K64" i="4"/>
  <c r="B64" i="4"/>
  <c r="B138" i="2"/>
  <c r="B139" i="2"/>
  <c r="K63" i="4"/>
  <c r="B63" i="4"/>
  <c r="B94" i="11"/>
  <c r="B95" i="11"/>
  <c r="B92" i="11" l="1"/>
  <c r="B93" i="11"/>
  <c r="B135" i="2"/>
  <c r="B136" i="2"/>
  <c r="B137" i="2"/>
  <c r="AJ62" i="4"/>
  <c r="M62" i="4"/>
  <c r="K62" i="4"/>
  <c r="B62" i="4"/>
  <c r="B61" i="4"/>
  <c r="B90" i="11"/>
  <c r="B91" i="11"/>
  <c r="B134" i="2" l="1"/>
  <c r="AJ56" i="4"/>
  <c r="AJ57" i="4"/>
  <c r="AJ58" i="4"/>
  <c r="AJ59" i="4"/>
  <c r="AJ60" i="4"/>
  <c r="AJ61" i="4"/>
  <c r="K60" i="4"/>
  <c r="K61" i="4"/>
  <c r="B88" i="11"/>
  <c r="B89" i="11"/>
  <c r="B130" i="2"/>
  <c r="B131" i="2"/>
  <c r="B132" i="2"/>
  <c r="B133" i="2"/>
  <c r="B60" i="4"/>
  <c r="B86" i="11"/>
  <c r="B87" i="11"/>
  <c r="B85" i="11"/>
  <c r="B58" i="4"/>
  <c r="B59" i="4"/>
  <c r="B8" i="4" l="1"/>
  <c r="B27" i="4" l="1"/>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20" i="4"/>
  <c r="B21" i="4"/>
  <c r="B22" i="4"/>
  <c r="B23" i="4"/>
  <c r="B24" i="4"/>
  <c r="B25" i="4"/>
  <c r="B26" i="4"/>
  <c r="B19" i="4"/>
  <c r="B9" i="4"/>
  <c r="B10" i="4"/>
  <c r="B11" i="4"/>
  <c r="B12" i="4"/>
  <c r="B13" i="4"/>
  <c r="B14" i="4"/>
  <c r="B15" i="4"/>
  <c r="B16" i="4"/>
  <c r="B17" i="4"/>
  <c r="B18" i="4"/>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6" i="2"/>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12" i="11"/>
  <c r="B10" i="11"/>
  <c r="B6" i="11"/>
  <c r="B7" i="11"/>
  <c r="B3" i="6" l="1" a="1"/>
  <c r="B3" i="6" s="1"/>
  <c r="F484" i="4" a="1"/>
  <c r="F484" i="4" s="1"/>
  <c r="B10" i="6" a="1"/>
  <c r="B10" i="6" s="1"/>
  <c r="BF191" i="11"/>
  <c r="BF192" i="11"/>
  <c r="BF193" i="11"/>
  <c r="BF194" i="11"/>
  <c r="BF195" i="11"/>
  <c r="BF196" i="11"/>
  <c r="BF197" i="11"/>
  <c r="BF198" i="11"/>
  <c r="BF199" i="11"/>
  <c r="BF200" i="11"/>
  <c r="BF201" i="11"/>
  <c r="BF202" i="11"/>
  <c r="BF203" i="11"/>
  <c r="BF204" i="11"/>
  <c r="BF205" i="11"/>
  <c r="BF206" i="11"/>
  <c r="BF207" i="11"/>
  <c r="BF208" i="11"/>
  <c r="BF209" i="11"/>
  <c r="BF210" i="11"/>
  <c r="BF211" i="11"/>
  <c r="BF212" i="11"/>
  <c r="BF213" i="11"/>
  <c r="BF214" i="11"/>
  <c r="BF215" i="11"/>
  <c r="BF216" i="11"/>
  <c r="BF217" i="11"/>
  <c r="BF218" i="11"/>
  <c r="BF219" i="11"/>
  <c r="BF220" i="11"/>
  <c r="BF221" i="11"/>
  <c r="BF222" i="11"/>
  <c r="BF223" i="11"/>
  <c r="BF224" i="11"/>
  <c r="BF225" i="11"/>
  <c r="BF226" i="11"/>
  <c r="BF227" i="11"/>
  <c r="BF228" i="11"/>
  <c r="BF229" i="11"/>
  <c r="BF230" i="11"/>
  <c r="BF231" i="11"/>
  <c r="BF232" i="11"/>
  <c r="BF233" i="11"/>
  <c r="BF234" i="11"/>
  <c r="BF235" i="11"/>
  <c r="BF236" i="11"/>
  <c r="BF237" i="11"/>
  <c r="BF238" i="11"/>
  <c r="BF239" i="11"/>
  <c r="BD240" i="11"/>
  <c r="BE240" i="11"/>
  <c r="BF240" i="11"/>
  <c r="BD241" i="11"/>
  <c r="BE241" i="11"/>
  <c r="BF241" i="11"/>
  <c r="AZ9" i="4"/>
  <c r="AZ10" i="4"/>
  <c r="AZ11" i="4"/>
  <c r="AZ12" i="4"/>
  <c r="AZ13" i="4"/>
  <c r="AZ14" i="4"/>
  <c r="AZ15" i="4"/>
  <c r="AZ16" i="4"/>
  <c r="AZ17" i="4"/>
  <c r="AZ18" i="4"/>
  <c r="AZ19" i="4"/>
  <c r="AZ20" i="4"/>
  <c r="AZ21" i="4"/>
  <c r="AZ22" i="4"/>
  <c r="AZ23" i="4"/>
  <c r="AZ24" i="4"/>
  <c r="AZ25" i="4"/>
  <c r="AZ26" i="4"/>
  <c r="AZ27" i="4"/>
  <c r="AZ28" i="4"/>
  <c r="AZ29" i="4"/>
  <c r="AZ30" i="4"/>
  <c r="AZ31" i="4"/>
  <c r="AZ32" i="4"/>
  <c r="AZ33" i="4"/>
  <c r="AZ34" i="4"/>
  <c r="AZ35" i="4"/>
  <c r="AZ36" i="4"/>
  <c r="AZ37" i="4"/>
  <c r="AZ38" i="4"/>
  <c r="AZ39" i="4"/>
  <c r="AZ40" i="4"/>
  <c r="AZ41" i="4"/>
  <c r="AZ42" i="4"/>
  <c r="AZ43" i="4"/>
  <c r="AZ44" i="4"/>
  <c r="AZ45" i="4"/>
  <c r="AZ46" i="4"/>
  <c r="AZ47" i="4"/>
  <c r="AZ48" i="4"/>
  <c r="AZ49" i="4"/>
  <c r="AZ50" i="4"/>
  <c r="AZ51" i="4"/>
  <c r="AZ52" i="4"/>
  <c r="AZ53" i="4"/>
  <c r="AZ54" i="4"/>
  <c r="AZ55" i="4"/>
  <c r="AZ56" i="4"/>
  <c r="AZ57" i="4"/>
  <c r="AZ58" i="4"/>
  <c r="AZ59" i="4"/>
  <c r="AZ60" i="4"/>
  <c r="AZ61" i="4"/>
  <c r="AZ62" i="4"/>
  <c r="AZ63" i="4"/>
  <c r="AZ64" i="4"/>
  <c r="AZ65" i="4"/>
  <c r="AZ66" i="4"/>
  <c r="AZ67" i="4"/>
  <c r="AZ68" i="4"/>
  <c r="AZ69" i="4"/>
  <c r="AZ70" i="4"/>
  <c r="AZ71" i="4"/>
  <c r="AZ72" i="4"/>
  <c r="AZ73" i="4"/>
  <c r="AZ74" i="4"/>
  <c r="AZ75" i="4"/>
  <c r="AZ76" i="4"/>
  <c r="AZ77" i="4"/>
  <c r="AZ78" i="4"/>
  <c r="AZ79" i="4"/>
  <c r="AZ80" i="4"/>
  <c r="AZ81" i="4"/>
  <c r="AZ82" i="4"/>
  <c r="AZ83" i="4"/>
  <c r="AZ84" i="4"/>
  <c r="AZ85" i="4"/>
  <c r="AZ86" i="4"/>
  <c r="AZ87" i="4"/>
  <c r="AZ88" i="4"/>
  <c r="AZ89" i="4"/>
  <c r="AZ90" i="4"/>
  <c r="AZ91" i="4"/>
  <c r="AZ92" i="4"/>
  <c r="AZ93" i="4"/>
  <c r="AZ94" i="4"/>
  <c r="AZ95" i="4"/>
  <c r="AZ96" i="4"/>
  <c r="AZ97" i="4"/>
  <c r="AZ98" i="4"/>
  <c r="AZ99" i="4"/>
  <c r="AZ100" i="4"/>
  <c r="AZ101" i="4"/>
  <c r="AZ102" i="4"/>
  <c r="AZ103" i="4"/>
  <c r="AZ104" i="4"/>
  <c r="AZ105" i="4"/>
  <c r="AZ106" i="4"/>
  <c r="AZ107" i="4"/>
  <c r="AZ108" i="4"/>
  <c r="AZ109" i="4"/>
  <c r="AZ110" i="4"/>
  <c r="AZ111" i="4"/>
  <c r="AZ112" i="4"/>
  <c r="AZ113" i="4"/>
  <c r="AZ114" i="4"/>
  <c r="AZ115" i="4"/>
  <c r="AZ116" i="4"/>
  <c r="AZ117" i="4"/>
  <c r="AZ118" i="4"/>
  <c r="AZ119" i="4"/>
  <c r="AZ120" i="4"/>
  <c r="AZ121" i="4"/>
  <c r="AZ122" i="4"/>
  <c r="AZ123" i="4"/>
  <c r="AZ124" i="4"/>
  <c r="AZ125" i="4"/>
  <c r="AZ126" i="4"/>
  <c r="AZ127" i="4"/>
  <c r="AZ128" i="4"/>
  <c r="AZ129" i="4"/>
  <c r="AZ130" i="4"/>
  <c r="AZ131" i="4"/>
  <c r="AZ132" i="4"/>
  <c r="AZ133" i="4"/>
  <c r="AZ134" i="4"/>
  <c r="AZ135" i="4"/>
  <c r="AZ136" i="4"/>
  <c r="AZ137" i="4"/>
  <c r="AZ8" i="4"/>
  <c r="F79" i="18"/>
  <c r="H73" i="18"/>
  <c r="AQ80" i="11"/>
  <c r="N9" i="36"/>
  <c r="N8" i="36"/>
  <c r="N7" i="36"/>
  <c r="N6" i="36"/>
  <c r="N5" i="36"/>
  <c r="N11" i="36" l="1"/>
  <c r="AM4" i="31"/>
  <c r="AM5" i="31"/>
  <c r="AM6" i="31"/>
  <c r="AM7" i="31"/>
  <c r="AM8" i="31"/>
  <c r="AM9" i="31"/>
  <c r="AM10" i="31"/>
  <c r="AM11" i="31"/>
  <c r="AM12" i="31"/>
  <c r="AM13" i="31"/>
  <c r="AM14" i="31"/>
  <c r="AM15" i="31"/>
  <c r="AM16" i="31"/>
  <c r="AM17" i="31"/>
  <c r="AM18" i="31"/>
  <c r="AM19" i="31"/>
  <c r="AM20" i="31"/>
  <c r="AM21" i="31"/>
  <c r="AM22" i="31"/>
  <c r="AM23" i="31"/>
  <c r="AM24" i="31"/>
  <c r="AM25" i="31"/>
  <c r="AM26" i="31"/>
  <c r="AM27" i="31"/>
  <c r="AM28" i="31"/>
  <c r="AM29" i="31"/>
  <c r="AM30" i="31"/>
  <c r="AM31" i="31"/>
  <c r="AM32" i="31"/>
  <c r="AM33" i="31"/>
  <c r="AM34" i="31"/>
  <c r="AM35" i="31"/>
  <c r="AM36" i="31"/>
  <c r="AM37" i="31"/>
  <c r="AM38" i="31"/>
  <c r="AM39" i="31"/>
  <c r="AM40" i="31"/>
  <c r="AM41" i="31"/>
  <c r="AM42" i="31"/>
  <c r="AM43" i="31"/>
  <c r="AM44" i="31"/>
  <c r="AM45" i="31"/>
  <c r="AM46" i="31"/>
  <c r="AM47" i="31"/>
  <c r="AM48" i="31"/>
  <c r="AM49" i="31"/>
  <c r="AM50" i="31"/>
  <c r="AM51" i="31"/>
  <c r="AM52" i="31"/>
  <c r="AM53" i="31"/>
  <c r="AM54" i="31"/>
  <c r="AM55" i="31"/>
  <c r="AM56" i="31"/>
  <c r="AM57" i="31"/>
  <c r="AM58" i="31"/>
  <c r="AM59" i="31"/>
  <c r="AM60" i="31"/>
  <c r="AM61" i="31"/>
  <c r="AM62" i="31"/>
  <c r="AM63" i="31"/>
  <c r="AM64" i="31"/>
  <c r="AM65" i="31"/>
  <c r="AM66" i="31"/>
  <c r="AM67" i="31"/>
  <c r="AM68" i="31"/>
  <c r="AM69" i="31"/>
  <c r="AM70" i="31"/>
  <c r="AM71" i="31"/>
  <c r="AM72" i="31"/>
  <c r="AM73" i="31"/>
  <c r="AM74" i="31"/>
  <c r="AM75" i="31"/>
  <c r="AM76" i="31"/>
  <c r="AM77" i="31"/>
  <c r="AM78" i="31"/>
  <c r="AM79" i="31"/>
  <c r="AM80" i="31"/>
  <c r="AM81" i="31"/>
  <c r="AM82" i="31"/>
  <c r="AM83" i="31"/>
  <c r="AM84" i="31"/>
  <c r="AM85" i="31"/>
  <c r="AM86" i="31"/>
  <c r="AM87" i="31"/>
  <c r="AM88" i="31"/>
  <c r="AM89" i="31"/>
  <c r="AM90" i="31"/>
  <c r="AM91" i="31"/>
  <c r="AM92" i="31"/>
  <c r="AM93" i="31"/>
  <c r="AM94" i="31"/>
  <c r="AM95" i="31"/>
  <c r="AM96" i="31"/>
  <c r="AM97" i="31"/>
  <c r="AM98" i="31"/>
  <c r="AM99" i="31"/>
  <c r="AM100" i="31"/>
  <c r="AM101" i="31"/>
  <c r="AM102" i="31"/>
  <c r="AM103" i="31"/>
  <c r="AM104" i="31"/>
  <c r="AM105" i="31"/>
  <c r="AM106" i="31"/>
  <c r="AM107" i="31"/>
  <c r="AM108" i="31"/>
  <c r="AM109" i="31"/>
  <c r="AM110" i="31"/>
  <c r="AM111" i="31"/>
  <c r="AM112" i="31"/>
  <c r="AM113" i="31"/>
  <c r="AM114" i="31"/>
  <c r="AM115" i="31"/>
  <c r="AM116" i="31"/>
  <c r="AM117" i="31"/>
  <c r="AM118" i="31"/>
  <c r="AM119" i="31"/>
  <c r="AM120" i="31"/>
  <c r="AM121" i="31"/>
  <c r="AM122" i="31"/>
  <c r="AM123" i="31"/>
  <c r="AM124" i="31"/>
  <c r="AM125" i="31"/>
  <c r="AM126" i="31"/>
  <c r="AM127" i="31"/>
  <c r="AM128" i="31"/>
  <c r="AM129" i="31"/>
  <c r="AM130" i="31"/>
  <c r="AM131" i="31"/>
  <c r="AM132" i="31"/>
  <c r="AM133" i="31"/>
  <c r="AM134" i="31"/>
  <c r="AM135" i="31"/>
  <c r="AM136" i="31"/>
  <c r="AM137" i="31"/>
  <c r="AM138" i="31"/>
  <c r="AM139" i="31"/>
  <c r="AM140" i="31"/>
  <c r="AM141" i="31"/>
  <c r="AM142" i="31"/>
  <c r="AM143" i="31"/>
  <c r="AM144" i="31"/>
  <c r="AM145" i="31"/>
  <c r="AM146" i="31"/>
  <c r="AM147" i="31"/>
  <c r="AM148" i="31"/>
  <c r="AM149" i="31"/>
  <c r="AM150" i="31"/>
  <c r="AM151" i="31"/>
  <c r="AM152" i="31"/>
  <c r="AM153" i="31"/>
  <c r="AM154" i="31"/>
  <c r="AM155" i="31"/>
  <c r="AM156" i="31"/>
  <c r="AM157" i="31"/>
  <c r="AM158" i="31"/>
  <c r="AM159" i="31"/>
  <c r="AM160" i="31"/>
  <c r="AM161" i="31"/>
  <c r="AM162" i="31"/>
  <c r="AM163" i="31"/>
  <c r="AM164" i="31"/>
  <c r="AM165" i="31"/>
  <c r="AM166" i="31"/>
  <c r="AM167" i="31"/>
  <c r="AM168" i="31"/>
  <c r="AM169" i="31"/>
  <c r="AM170" i="31"/>
  <c r="AM171" i="31"/>
  <c r="AM172" i="31"/>
  <c r="AM173" i="31"/>
  <c r="AM174" i="31"/>
  <c r="AM175" i="31"/>
  <c r="AM176" i="31"/>
  <c r="AM177" i="31"/>
  <c r="AM178" i="31"/>
  <c r="AM179" i="31"/>
  <c r="AM180" i="31"/>
  <c r="AM181" i="31"/>
  <c r="AM182" i="31"/>
  <c r="AM183" i="31"/>
  <c r="AM184" i="31"/>
  <c r="AM185" i="31"/>
  <c r="AM186" i="31"/>
  <c r="AM187" i="31"/>
  <c r="AM188" i="31"/>
  <c r="AG4" i="31"/>
  <c r="AG5" i="31"/>
  <c r="AG6" i="31"/>
  <c r="AG7" i="31"/>
  <c r="AG8" i="31"/>
  <c r="AG9" i="31"/>
  <c r="AG10" i="31"/>
  <c r="AG11" i="31"/>
  <c r="AG12" i="31"/>
  <c r="AG13" i="31"/>
  <c r="AG14" i="31"/>
  <c r="AG15" i="31"/>
  <c r="AG16" i="31"/>
  <c r="AG17" i="31"/>
  <c r="AG18" i="31"/>
  <c r="AG19" i="31"/>
  <c r="AG20" i="31"/>
  <c r="AG21" i="31"/>
  <c r="AG22" i="31"/>
  <c r="AG23" i="31"/>
  <c r="AG24" i="31"/>
  <c r="AG25" i="31"/>
  <c r="AG26" i="31"/>
  <c r="AG27" i="31"/>
  <c r="AG28" i="31"/>
  <c r="AG29" i="31"/>
  <c r="AG30" i="31"/>
  <c r="AG31" i="31"/>
  <c r="AG32" i="31"/>
  <c r="AG33" i="31"/>
  <c r="AG34" i="31"/>
  <c r="AG35" i="31"/>
  <c r="AG36" i="31"/>
  <c r="AG37" i="31"/>
  <c r="AG38" i="31"/>
  <c r="AG39" i="31"/>
  <c r="AG40" i="31"/>
  <c r="AG41" i="31"/>
  <c r="AG42" i="31"/>
  <c r="AG43" i="31"/>
  <c r="AG44" i="31"/>
  <c r="AG45" i="31"/>
  <c r="AG46" i="31"/>
  <c r="AG47" i="31"/>
  <c r="AG48" i="31"/>
  <c r="AG49" i="31"/>
  <c r="AG50" i="31"/>
  <c r="AG51" i="31"/>
  <c r="AG52" i="31"/>
  <c r="AG53" i="31"/>
  <c r="AG54" i="31"/>
  <c r="AG55" i="31"/>
  <c r="AG56" i="31"/>
  <c r="AG57" i="31"/>
  <c r="AG58" i="31"/>
  <c r="AG59" i="31"/>
  <c r="AG60" i="31"/>
  <c r="AG61" i="31"/>
  <c r="AG62" i="31"/>
  <c r="AG63" i="31"/>
  <c r="AG64" i="31"/>
  <c r="AG65" i="31"/>
  <c r="AG66" i="31"/>
  <c r="AG67" i="31"/>
  <c r="AG68" i="31"/>
  <c r="AG69" i="31"/>
  <c r="AG70" i="31"/>
  <c r="AG71" i="31"/>
  <c r="AG72" i="31"/>
  <c r="AG73" i="31"/>
  <c r="AG74" i="31"/>
  <c r="AG75" i="31"/>
  <c r="AG76" i="31"/>
  <c r="AG77" i="31"/>
  <c r="AG78" i="31"/>
  <c r="AG79" i="31"/>
  <c r="AG80" i="31"/>
  <c r="AG81" i="31"/>
  <c r="AG82" i="31"/>
  <c r="AG83" i="31"/>
  <c r="AG84" i="31"/>
  <c r="AG85" i="31"/>
  <c r="AG86" i="31"/>
  <c r="AG87" i="31"/>
  <c r="AG88" i="31"/>
  <c r="AG89" i="31"/>
  <c r="AG90" i="31"/>
  <c r="AG91" i="31"/>
  <c r="AG92" i="31"/>
  <c r="AG93" i="31"/>
  <c r="AG94" i="31"/>
  <c r="AG95" i="31"/>
  <c r="AG96" i="31"/>
  <c r="AG97" i="31"/>
  <c r="AG98" i="31"/>
  <c r="AG99" i="31"/>
  <c r="AG100" i="31"/>
  <c r="AG101" i="31"/>
  <c r="AG102" i="31"/>
  <c r="AG103" i="31"/>
  <c r="AG104" i="31"/>
  <c r="AG105" i="31"/>
  <c r="AG106" i="31"/>
  <c r="AG107" i="31"/>
  <c r="AG108" i="31"/>
  <c r="AG109" i="31"/>
  <c r="AG110" i="31"/>
  <c r="AG111" i="31"/>
  <c r="AG112" i="31"/>
  <c r="AG113" i="31"/>
  <c r="AG114" i="31"/>
  <c r="AG115" i="31"/>
  <c r="AG116" i="31"/>
  <c r="AG117" i="31"/>
  <c r="AG118" i="31"/>
  <c r="AG119" i="31"/>
  <c r="AG120" i="31"/>
  <c r="AG121" i="31"/>
  <c r="AG122" i="31"/>
  <c r="AG123" i="31"/>
  <c r="AG124" i="31"/>
  <c r="AG125" i="31"/>
  <c r="AG126" i="31"/>
  <c r="AG127" i="31"/>
  <c r="AG128" i="31"/>
  <c r="AG129" i="31"/>
  <c r="AG130" i="31"/>
  <c r="AG131" i="31"/>
  <c r="AG132" i="31"/>
  <c r="AG133" i="31"/>
  <c r="AG134" i="31"/>
  <c r="AG135" i="31"/>
  <c r="AG136" i="31"/>
  <c r="AG137" i="31"/>
  <c r="AG138" i="31"/>
  <c r="AG139" i="31"/>
  <c r="AG140" i="31"/>
  <c r="AG141" i="31"/>
  <c r="AG142" i="31"/>
  <c r="AG143" i="31"/>
  <c r="AG144" i="31"/>
  <c r="AG145" i="31"/>
  <c r="AG146" i="31"/>
  <c r="AG147" i="31"/>
  <c r="AG148" i="31"/>
  <c r="AG149" i="31"/>
  <c r="AG150" i="31"/>
  <c r="AG151" i="31"/>
  <c r="AG152" i="31"/>
  <c r="AG153" i="31"/>
  <c r="AG154" i="31"/>
  <c r="AG155" i="31"/>
  <c r="AG156" i="31"/>
  <c r="AG157" i="31"/>
  <c r="AG158" i="31"/>
  <c r="AG159" i="31"/>
  <c r="AG160" i="31"/>
  <c r="AG161" i="31"/>
  <c r="AG162" i="31"/>
  <c r="AG163" i="31"/>
  <c r="AG164" i="31"/>
  <c r="AG165" i="31"/>
  <c r="AG166" i="31"/>
  <c r="AG167" i="31"/>
  <c r="AG168" i="31"/>
  <c r="AG169" i="31"/>
  <c r="AG170" i="31"/>
  <c r="AG171" i="31"/>
  <c r="AG172" i="31"/>
  <c r="AG173" i="31"/>
  <c r="AG174" i="31"/>
  <c r="AG175" i="31"/>
  <c r="AG176" i="31"/>
  <c r="AG177" i="31"/>
  <c r="AG178" i="31"/>
  <c r="AG179" i="31"/>
  <c r="AG180" i="31"/>
  <c r="AG181" i="31"/>
  <c r="AG182" i="31"/>
  <c r="AG183" i="31"/>
  <c r="AG184" i="31"/>
  <c r="AG185" i="31"/>
  <c r="AG186" i="31"/>
  <c r="AG187" i="31"/>
  <c r="AG188" i="31"/>
  <c r="AJ5" i="31" a="1"/>
  <c r="AJ5" i="31" s="1"/>
  <c r="AJ6" i="31" a="1"/>
  <c r="AJ6" i="31" s="1"/>
  <c r="AJ7" i="31" a="1"/>
  <c r="AJ7" i="31" s="1"/>
  <c r="AJ8" i="31" a="1"/>
  <c r="AJ8" i="31" s="1"/>
  <c r="AJ9" i="31" a="1"/>
  <c r="AJ9" i="31" s="1"/>
  <c r="AJ10" i="31" a="1"/>
  <c r="AJ10" i="31" s="1"/>
  <c r="AJ11" i="31" a="1"/>
  <c r="AJ11" i="31" s="1"/>
  <c r="AJ12" i="31" a="1"/>
  <c r="AJ12" i="31" s="1"/>
  <c r="AJ13" i="31" a="1"/>
  <c r="AJ13" i="31" s="1"/>
  <c r="AJ14" i="31" a="1"/>
  <c r="AJ14" i="31" s="1"/>
  <c r="AJ15" i="31" a="1"/>
  <c r="AJ15" i="31" s="1"/>
  <c r="AJ16" i="31" a="1"/>
  <c r="AJ16" i="31" s="1"/>
  <c r="AJ17" i="31" a="1"/>
  <c r="AJ17" i="31" s="1"/>
  <c r="AJ18" i="31" a="1"/>
  <c r="AJ18" i="31" s="1"/>
  <c r="AJ19" i="31" a="1"/>
  <c r="AJ19" i="31" s="1"/>
  <c r="AJ20" i="31" a="1"/>
  <c r="AJ20" i="31" s="1"/>
  <c r="AJ21" i="31" a="1"/>
  <c r="AJ21" i="31" s="1"/>
  <c r="AJ22" i="31" a="1"/>
  <c r="AJ22" i="31" s="1"/>
  <c r="AJ23" i="31" a="1"/>
  <c r="AJ23" i="31" s="1"/>
  <c r="AJ24" i="31" a="1"/>
  <c r="AJ24" i="31" s="1"/>
  <c r="AJ25" i="31" a="1"/>
  <c r="AJ25" i="31" s="1"/>
  <c r="AJ26" i="31" a="1"/>
  <c r="AJ26" i="31" s="1"/>
  <c r="AJ27" i="31" a="1"/>
  <c r="AJ27" i="31" s="1"/>
  <c r="AJ28" i="31" a="1"/>
  <c r="AJ28" i="31" s="1"/>
  <c r="AJ29" i="31" a="1"/>
  <c r="AJ29" i="31" s="1"/>
  <c r="AJ30" i="31" a="1"/>
  <c r="AJ30" i="31" s="1"/>
  <c r="AJ31" i="31" a="1"/>
  <c r="AJ31" i="31" s="1"/>
  <c r="AJ32" i="31" a="1"/>
  <c r="AJ32" i="31" s="1"/>
  <c r="AJ33" i="31" a="1"/>
  <c r="AJ33" i="31" s="1"/>
  <c r="AJ34" i="31" a="1"/>
  <c r="AJ34" i="31" s="1"/>
  <c r="AJ35" i="31" a="1"/>
  <c r="AJ35" i="31" s="1"/>
  <c r="AJ36" i="31" a="1"/>
  <c r="AJ36" i="31" s="1"/>
  <c r="AJ37" i="31" a="1"/>
  <c r="AJ37" i="31" s="1"/>
  <c r="AJ38" i="31" a="1"/>
  <c r="AJ38" i="31" s="1"/>
  <c r="AJ39" i="31" a="1"/>
  <c r="AJ39" i="31" s="1"/>
  <c r="AJ40" i="31" a="1"/>
  <c r="AJ40" i="31" s="1"/>
  <c r="AJ41" i="31" a="1"/>
  <c r="AJ41" i="31" s="1"/>
  <c r="AJ42" i="31" a="1"/>
  <c r="AJ42" i="31" s="1"/>
  <c r="AJ43" i="31" a="1"/>
  <c r="AJ43" i="31" s="1"/>
  <c r="AJ44" i="31" a="1"/>
  <c r="AJ44" i="31" s="1"/>
  <c r="AJ45" i="31" a="1"/>
  <c r="AJ45" i="31" s="1"/>
  <c r="AJ46" i="31" a="1"/>
  <c r="AJ46" i="31" s="1"/>
  <c r="AJ47" i="31" a="1"/>
  <c r="AJ47" i="31" s="1"/>
  <c r="AJ48" i="31" a="1"/>
  <c r="AJ48" i="31" s="1"/>
  <c r="AJ49" i="31" a="1"/>
  <c r="AJ49" i="31" s="1"/>
  <c r="AJ50" i="31" a="1"/>
  <c r="AJ50" i="31" s="1"/>
  <c r="AJ51" i="31" a="1"/>
  <c r="AJ51" i="31" s="1"/>
  <c r="AJ52" i="31" a="1"/>
  <c r="AJ52" i="31" s="1"/>
  <c r="AJ53" i="31" a="1"/>
  <c r="AJ53" i="31" s="1"/>
  <c r="AJ54" i="31" a="1"/>
  <c r="AJ54" i="31" s="1"/>
  <c r="AJ55" i="31" a="1"/>
  <c r="AJ55" i="31" s="1"/>
  <c r="AJ56" i="31" a="1"/>
  <c r="AJ56" i="31" s="1"/>
  <c r="AJ57" i="31" a="1"/>
  <c r="AJ57" i="31" s="1"/>
  <c r="AJ4" i="31" a="1"/>
  <c r="AJ4" i="31" s="1"/>
  <c r="AJ58" i="31" a="1"/>
  <c r="AJ58" i="31" s="1"/>
  <c r="AJ59" i="31" a="1"/>
  <c r="AJ59" i="31" s="1"/>
  <c r="AJ60" i="31" a="1"/>
  <c r="AJ60" i="31" s="1"/>
  <c r="AJ61" i="31" a="1"/>
  <c r="AJ61" i="31" s="1"/>
  <c r="AJ62" i="31" a="1"/>
  <c r="AJ62" i="31" s="1"/>
  <c r="AJ63" i="31" a="1"/>
  <c r="AJ63" i="31" s="1"/>
  <c r="AJ64" i="31" a="1"/>
  <c r="AJ64" i="31" s="1"/>
  <c r="AJ65" i="31" a="1"/>
  <c r="AJ65" i="31" s="1"/>
  <c r="AJ66" i="31" a="1"/>
  <c r="AJ66" i="31" s="1"/>
  <c r="AJ67" i="31" a="1"/>
  <c r="AJ67" i="31" s="1"/>
  <c r="AJ68" i="31" a="1"/>
  <c r="AJ68" i="31" s="1"/>
  <c r="AJ69" i="31" a="1"/>
  <c r="AJ69" i="31" s="1"/>
  <c r="AJ70" i="31" a="1"/>
  <c r="AJ70" i="31" s="1"/>
  <c r="AJ71" i="31" a="1"/>
  <c r="AJ71" i="31" s="1"/>
  <c r="AJ72" i="31" a="1"/>
  <c r="AJ72" i="31" s="1"/>
  <c r="AJ73" i="31" a="1"/>
  <c r="AJ73" i="31" s="1"/>
  <c r="AJ74" i="31" a="1"/>
  <c r="AJ74" i="31" s="1"/>
  <c r="AJ75" i="31" a="1"/>
  <c r="AJ75" i="31" s="1"/>
  <c r="AJ76" i="31" a="1"/>
  <c r="AJ76" i="31" s="1"/>
  <c r="AJ77" i="31" a="1"/>
  <c r="AJ77" i="31" s="1"/>
  <c r="AJ78" i="31" a="1"/>
  <c r="AJ78" i="31" s="1"/>
  <c r="AJ79" i="31" a="1"/>
  <c r="AJ79" i="31" s="1"/>
  <c r="AJ80" i="31" a="1"/>
  <c r="AJ80" i="31" s="1"/>
  <c r="AJ81" i="31" a="1"/>
  <c r="AJ81" i="31" s="1"/>
  <c r="AJ82" i="31" a="1"/>
  <c r="AJ82" i="31" s="1"/>
  <c r="AJ83" i="31" a="1"/>
  <c r="AJ83" i="31" s="1"/>
  <c r="AJ84" i="31" a="1"/>
  <c r="AJ84" i="31" s="1"/>
  <c r="AJ85" i="31" a="1"/>
  <c r="AJ85" i="31" s="1"/>
  <c r="AJ86" i="31" a="1"/>
  <c r="AJ86" i="31" s="1"/>
  <c r="AJ87" i="31" a="1"/>
  <c r="AJ87" i="31" s="1"/>
  <c r="AJ88" i="31" a="1"/>
  <c r="AJ88" i="31" s="1"/>
  <c r="AJ89" i="31" a="1"/>
  <c r="AJ89" i="31" s="1"/>
  <c r="AJ90" i="31" a="1"/>
  <c r="AJ90" i="31" s="1"/>
  <c r="AJ91" i="31" a="1"/>
  <c r="AJ91" i="31" s="1"/>
  <c r="AJ92" i="31" a="1"/>
  <c r="AJ92" i="31" s="1"/>
  <c r="AJ93" i="31" a="1"/>
  <c r="AJ93" i="31" s="1"/>
  <c r="AJ94" i="31" a="1"/>
  <c r="AJ94" i="31" s="1"/>
  <c r="AJ95" i="31" a="1"/>
  <c r="AJ95" i="31" s="1"/>
  <c r="AJ96" i="31" a="1"/>
  <c r="AJ96" i="31" s="1"/>
  <c r="AJ97" i="31" a="1"/>
  <c r="AJ97" i="31" s="1"/>
  <c r="AJ98" i="31" a="1"/>
  <c r="AJ98" i="31" s="1"/>
  <c r="AJ99" i="31" a="1"/>
  <c r="AJ99" i="31" s="1"/>
  <c r="AJ100" i="31" a="1"/>
  <c r="AJ100" i="31" s="1"/>
  <c r="AJ101" i="31" a="1"/>
  <c r="AJ101" i="31" s="1"/>
  <c r="AJ102" i="31" a="1"/>
  <c r="AJ102" i="31" s="1"/>
  <c r="AJ103" i="31" a="1"/>
  <c r="AJ103" i="31" s="1"/>
  <c r="AJ104" i="31" a="1"/>
  <c r="AJ104" i="31" s="1"/>
  <c r="AJ105" i="31" a="1"/>
  <c r="AJ105" i="31" s="1"/>
  <c r="AJ106" i="31" a="1"/>
  <c r="AJ106" i="31" s="1"/>
  <c r="AJ107" i="31" a="1"/>
  <c r="AJ107" i="31" s="1"/>
  <c r="AJ108" i="31" a="1"/>
  <c r="AJ108" i="31" s="1"/>
  <c r="AJ109" i="31" a="1"/>
  <c r="AJ109" i="31" s="1"/>
  <c r="AJ110" i="31" a="1"/>
  <c r="AJ110" i="31" s="1"/>
  <c r="AJ111" i="31" a="1"/>
  <c r="AJ111" i="31" s="1"/>
  <c r="AJ112" i="31" a="1"/>
  <c r="AJ112" i="31" s="1"/>
  <c r="AJ113" i="31" a="1"/>
  <c r="AJ113" i="31" s="1"/>
  <c r="AJ114" i="31" a="1"/>
  <c r="AJ114" i="31" s="1"/>
  <c r="AJ115" i="31" a="1"/>
  <c r="AJ115" i="31" s="1"/>
  <c r="AJ116" i="31" a="1"/>
  <c r="AJ116" i="31" s="1"/>
  <c r="AJ117" i="31" a="1"/>
  <c r="AJ117" i="31" s="1"/>
  <c r="AJ118" i="31" a="1"/>
  <c r="AJ118" i="31" s="1"/>
  <c r="AJ119" i="31" a="1"/>
  <c r="AJ119" i="31" s="1"/>
  <c r="AJ120" i="31" a="1"/>
  <c r="AJ120" i="31" s="1"/>
  <c r="AJ121" i="31" a="1"/>
  <c r="AJ121" i="31" s="1"/>
  <c r="AJ122" i="31" a="1"/>
  <c r="AJ122" i="31" s="1"/>
  <c r="AJ123" i="31" a="1"/>
  <c r="AJ123" i="31" s="1"/>
  <c r="AJ124" i="31" a="1"/>
  <c r="AJ124" i="31" s="1"/>
  <c r="AJ125" i="31" a="1"/>
  <c r="AJ125" i="31" s="1"/>
  <c r="AJ126" i="31" a="1"/>
  <c r="AJ126" i="31" s="1"/>
  <c r="AJ127" i="31" a="1"/>
  <c r="AJ127" i="31" s="1"/>
  <c r="AJ128" i="31" a="1"/>
  <c r="AJ128" i="31" s="1"/>
  <c r="AJ129" i="31" a="1"/>
  <c r="AJ129" i="31" s="1"/>
  <c r="AJ130" i="31" a="1"/>
  <c r="AJ130" i="31" s="1"/>
  <c r="AJ131" i="31" a="1"/>
  <c r="AJ131" i="31" s="1"/>
  <c r="AJ132" i="31" a="1"/>
  <c r="AJ132" i="31" s="1"/>
  <c r="AJ133" i="31" a="1"/>
  <c r="AJ133" i="31" s="1"/>
  <c r="AJ134" i="31" a="1"/>
  <c r="AJ134" i="31" s="1"/>
  <c r="AJ135" i="31" a="1"/>
  <c r="AJ135" i="31" s="1"/>
  <c r="AJ136" i="31" a="1"/>
  <c r="AJ136" i="31" s="1"/>
  <c r="AJ137" i="31" a="1"/>
  <c r="AJ137" i="31" s="1"/>
  <c r="AJ138" i="31" a="1"/>
  <c r="AJ138" i="31" s="1"/>
  <c r="AJ139" i="31" a="1"/>
  <c r="AJ139" i="31" s="1"/>
  <c r="AJ140" i="31" a="1"/>
  <c r="AJ140" i="31" s="1"/>
  <c r="AJ141" i="31" a="1"/>
  <c r="AJ141" i="31" s="1"/>
  <c r="AJ142" i="31" a="1"/>
  <c r="AJ142" i="31" s="1"/>
  <c r="AJ143" i="31" a="1"/>
  <c r="AJ143" i="31" s="1"/>
  <c r="AJ144" i="31" a="1"/>
  <c r="AJ144" i="31" s="1"/>
  <c r="AJ145" i="31" a="1"/>
  <c r="AJ145" i="31" s="1"/>
  <c r="AJ146" i="31" a="1"/>
  <c r="AJ146" i="31" s="1"/>
  <c r="AJ147" i="31" a="1"/>
  <c r="AJ147" i="31" s="1"/>
  <c r="AJ148" i="31" a="1"/>
  <c r="AJ148" i="31" s="1"/>
  <c r="AJ149" i="31" a="1"/>
  <c r="AJ149" i="31" s="1"/>
  <c r="AJ150" i="31" a="1"/>
  <c r="AJ150" i="31" s="1"/>
  <c r="AJ151" i="31" a="1"/>
  <c r="AJ151" i="31" s="1"/>
  <c r="AJ152" i="31" a="1"/>
  <c r="AJ152" i="31" s="1"/>
  <c r="AJ153" i="31" a="1"/>
  <c r="AJ153" i="31" s="1"/>
  <c r="AJ154" i="31" a="1"/>
  <c r="AJ154" i="31" s="1"/>
  <c r="AJ155" i="31" a="1"/>
  <c r="AJ155" i="31" s="1"/>
  <c r="AJ156" i="31" a="1"/>
  <c r="AJ156" i="31" s="1"/>
  <c r="AJ157" i="31" a="1"/>
  <c r="AJ157" i="31" s="1"/>
  <c r="AJ158" i="31" a="1"/>
  <c r="AJ158" i="31" s="1"/>
  <c r="AJ159" i="31" a="1"/>
  <c r="AJ159" i="31" s="1"/>
  <c r="AJ160" i="31" a="1"/>
  <c r="AJ160" i="31" s="1"/>
  <c r="AJ161" i="31" a="1"/>
  <c r="AJ161" i="31" s="1"/>
  <c r="AJ162" i="31" a="1"/>
  <c r="AJ162" i="31" s="1"/>
  <c r="AJ163" i="31" a="1"/>
  <c r="AJ163" i="31" s="1"/>
  <c r="AJ164" i="31" a="1"/>
  <c r="AJ164" i="31" s="1"/>
  <c r="AJ165" i="31" a="1"/>
  <c r="AJ165" i="31" s="1"/>
  <c r="AJ166" i="31" a="1"/>
  <c r="AJ166" i="31" s="1"/>
  <c r="AJ167" i="31" a="1"/>
  <c r="AJ167" i="31" s="1"/>
  <c r="AJ168" i="31" a="1"/>
  <c r="AJ168" i="31" s="1"/>
  <c r="AJ169" i="31" a="1"/>
  <c r="AJ169" i="31" s="1"/>
  <c r="AJ170" i="31" a="1"/>
  <c r="AJ170" i="31" s="1"/>
  <c r="AJ171" i="31" a="1"/>
  <c r="AJ171" i="31" s="1"/>
  <c r="AJ172" i="31" a="1"/>
  <c r="AJ172" i="31" s="1"/>
  <c r="AJ173" i="31" a="1"/>
  <c r="AJ173" i="31" s="1"/>
  <c r="AJ174" i="31" a="1"/>
  <c r="AJ174" i="31" s="1"/>
  <c r="AJ175" i="31" a="1"/>
  <c r="AJ175" i="31" s="1"/>
  <c r="AJ176" i="31" a="1"/>
  <c r="AJ176" i="31" s="1"/>
  <c r="AJ177" i="31" a="1"/>
  <c r="AJ177" i="31" s="1"/>
  <c r="AJ178" i="31" a="1"/>
  <c r="AJ178" i="31" s="1"/>
  <c r="AJ179" i="31" a="1"/>
  <c r="AJ179" i="31" s="1"/>
  <c r="AJ180" i="31" a="1"/>
  <c r="AJ180" i="31" s="1"/>
  <c r="AJ181" i="31" a="1"/>
  <c r="AJ181" i="31" s="1"/>
  <c r="AJ182" i="31" a="1"/>
  <c r="AJ182" i="31" s="1"/>
  <c r="AJ183" i="31" a="1"/>
  <c r="AJ183" i="31" s="1"/>
  <c r="AJ184" i="31" a="1"/>
  <c r="AJ184" i="31" s="1"/>
  <c r="AJ185" i="31" a="1"/>
  <c r="AJ185" i="31" s="1"/>
  <c r="AJ186" i="31" a="1"/>
  <c r="AJ186" i="31" s="1"/>
  <c r="AJ187" i="31" a="1"/>
  <c r="AJ187" i="31" s="1"/>
  <c r="AJ188" i="31" a="1"/>
  <c r="AJ188" i="31" s="1"/>
  <c r="A58" i="31"/>
  <c r="A59" i="31"/>
  <c r="A57" i="31"/>
  <c r="A40" i="31"/>
  <c r="A41" i="31"/>
  <c r="A42" i="31"/>
  <c r="A43" i="31"/>
  <c r="A39" i="31"/>
  <c r="V189" i="31"/>
  <c r="V190" i="31"/>
  <c r="V191" i="31"/>
  <c r="V192" i="31"/>
  <c r="V193" i="31"/>
  <c r="V194" i="31"/>
  <c r="V195" i="31"/>
  <c r="V196" i="31"/>
  <c r="V197" i="31"/>
  <c r="V198" i="31"/>
  <c r="V199" i="31"/>
  <c r="V200" i="31"/>
  <c r="V201" i="31"/>
  <c r="V202" i="31"/>
  <c r="V203" i="31"/>
  <c r="V204" i="31"/>
  <c r="V205" i="31"/>
  <c r="V206" i="31"/>
  <c r="V207" i="31"/>
  <c r="V208" i="31"/>
  <c r="V209" i="31"/>
  <c r="V210" i="31"/>
  <c r="V211" i="31"/>
  <c r="V212" i="31"/>
  <c r="V213" i="31"/>
  <c r="V214" i="31"/>
  <c r="V215" i="31"/>
  <c r="V216" i="31"/>
  <c r="V217" i="31"/>
  <c r="V218" i="31"/>
  <c r="V219" i="31"/>
  <c r="V220" i="31"/>
  <c r="V221" i="31"/>
  <c r="V222" i="31"/>
  <c r="V223" i="31"/>
  <c r="V224" i="31"/>
  <c r="V225" i="31"/>
  <c r="V226" i="31"/>
  <c r="V227" i="31"/>
  <c r="V228" i="31"/>
  <c r="V229" i="31"/>
  <c r="V230" i="31"/>
  <c r="V231" i="31"/>
  <c r="V232" i="31"/>
  <c r="V233" i="31"/>
  <c r="V234" i="31"/>
  <c r="V235" i="31"/>
  <c r="V236" i="31"/>
  <c r="V237" i="31"/>
  <c r="V238" i="31"/>
  <c r="V239" i="31"/>
  <c r="V240" i="31"/>
  <c r="U189" i="31"/>
  <c r="U190" i="31"/>
  <c r="U191" i="31"/>
  <c r="U192" i="31"/>
  <c r="U193" i="31"/>
  <c r="U194" i="31"/>
  <c r="U195" i="31"/>
  <c r="U196" i="31"/>
  <c r="U197" i="31"/>
  <c r="U198" i="31"/>
  <c r="U199" i="31"/>
  <c r="U200" i="31"/>
  <c r="U201" i="31"/>
  <c r="U202" i="31"/>
  <c r="U203" i="31"/>
  <c r="U204" i="31"/>
  <c r="U205" i="31"/>
  <c r="U206" i="31"/>
  <c r="U207" i="31"/>
  <c r="U208" i="31"/>
  <c r="U209" i="31"/>
  <c r="U210" i="31"/>
  <c r="U211" i="31"/>
  <c r="U212" i="31"/>
  <c r="U213" i="31"/>
  <c r="U214" i="31"/>
  <c r="U215" i="31"/>
  <c r="U216" i="31"/>
  <c r="U217" i="31"/>
  <c r="U218" i="31"/>
  <c r="U219" i="31"/>
  <c r="U220" i="31"/>
  <c r="U221" i="31"/>
  <c r="U222" i="31"/>
  <c r="U223" i="31"/>
  <c r="U224" i="31"/>
  <c r="U225" i="31"/>
  <c r="U226" i="31"/>
  <c r="U227" i="31"/>
  <c r="U228" i="31"/>
  <c r="U229" i="31"/>
  <c r="U230" i="31"/>
  <c r="U231" i="31"/>
  <c r="U232" i="31"/>
  <c r="U233" i="31"/>
  <c r="U234" i="31"/>
  <c r="U235" i="31"/>
  <c r="U236" i="31"/>
  <c r="U237" i="31"/>
  <c r="U238" i="31"/>
  <c r="U239" i="31"/>
  <c r="U240" i="31"/>
  <c r="AD240" i="31"/>
  <c r="X240" i="31"/>
  <c r="Y240" i="31" s="1"/>
  <c r="W240" i="31"/>
  <c r="A240" i="31"/>
  <c r="AD239" i="31"/>
  <c r="Y239" i="31"/>
  <c r="X239" i="31"/>
  <c r="W239" i="31"/>
  <c r="A239" i="31"/>
  <c r="AD238" i="31"/>
  <c r="Y238" i="31"/>
  <c r="X238" i="31"/>
  <c r="W238" i="31"/>
  <c r="A238" i="31"/>
  <c r="AD237" i="31"/>
  <c r="Y237" i="31"/>
  <c r="X237" i="31"/>
  <c r="W237" i="31"/>
  <c r="A237" i="31"/>
  <c r="AD236" i="31"/>
  <c r="Y236" i="31"/>
  <c r="X236" i="31"/>
  <c r="W236" i="31"/>
  <c r="A236" i="31"/>
  <c r="AD235" i="31"/>
  <c r="Y235" i="31"/>
  <c r="X235" i="31"/>
  <c r="W235" i="31"/>
  <c r="A235" i="31"/>
  <c r="AD234" i="31"/>
  <c r="Y234" i="31"/>
  <c r="X234" i="31"/>
  <c r="W234" i="31"/>
  <c r="A234" i="31"/>
  <c r="AD233" i="31"/>
  <c r="Y233" i="31"/>
  <c r="X233" i="31"/>
  <c r="W233" i="31"/>
  <c r="A233" i="31"/>
  <c r="AD232" i="31"/>
  <c r="Y232" i="31"/>
  <c r="X232" i="31"/>
  <c r="W232" i="31"/>
  <c r="A232" i="31"/>
  <c r="AD231" i="31"/>
  <c r="Y231" i="31"/>
  <c r="X231" i="31"/>
  <c r="W231" i="31"/>
  <c r="A231" i="31"/>
  <c r="AD230" i="31"/>
  <c r="Y230" i="31"/>
  <c r="X230" i="31"/>
  <c r="W230" i="31"/>
  <c r="A230" i="31"/>
  <c r="AD229" i="31"/>
  <c r="Y229" i="31"/>
  <c r="X229" i="31"/>
  <c r="W229" i="31"/>
  <c r="A229" i="31"/>
  <c r="AD228" i="31"/>
  <c r="Y228" i="31"/>
  <c r="X228" i="31"/>
  <c r="W228" i="31"/>
  <c r="A228" i="31"/>
  <c r="AD227" i="31"/>
  <c r="Y227" i="31"/>
  <c r="X227" i="31"/>
  <c r="W227" i="31"/>
  <c r="A227" i="31"/>
  <c r="AD226" i="31"/>
  <c r="Y226" i="31"/>
  <c r="X226" i="31"/>
  <c r="W226" i="31"/>
  <c r="A226" i="31"/>
  <c r="AD225" i="31"/>
  <c r="Y225" i="31"/>
  <c r="X225" i="31"/>
  <c r="W225" i="31"/>
  <c r="A225" i="31"/>
  <c r="AD224" i="31"/>
  <c r="Y224" i="31"/>
  <c r="X224" i="31"/>
  <c r="W224" i="31"/>
  <c r="A224" i="31"/>
  <c r="AD223" i="31"/>
  <c r="Y223" i="31"/>
  <c r="X223" i="31"/>
  <c r="W223" i="31"/>
  <c r="A223" i="31"/>
  <c r="AD222" i="31"/>
  <c r="Y222" i="31"/>
  <c r="X222" i="31"/>
  <c r="W222" i="31"/>
  <c r="A222" i="31"/>
  <c r="AD221" i="31"/>
  <c r="Y221" i="31"/>
  <c r="X221" i="31"/>
  <c r="W221" i="31"/>
  <c r="A221" i="31"/>
  <c r="AD220" i="31"/>
  <c r="Y220" i="31"/>
  <c r="X220" i="31"/>
  <c r="W220" i="31"/>
  <c r="A220" i="31"/>
  <c r="AD219" i="31"/>
  <c r="Y219" i="31"/>
  <c r="X219" i="31"/>
  <c r="W219" i="31"/>
  <c r="A219" i="31"/>
  <c r="AD218" i="31"/>
  <c r="Y218" i="31"/>
  <c r="X218" i="31"/>
  <c r="W218" i="31"/>
  <c r="A218" i="31"/>
  <c r="AD217" i="31"/>
  <c r="Y217" i="31"/>
  <c r="X217" i="31"/>
  <c r="W217" i="31"/>
  <c r="A217" i="31"/>
  <c r="AD216" i="31"/>
  <c r="Y216" i="31"/>
  <c r="X216" i="31"/>
  <c r="W216" i="31"/>
  <c r="A216" i="31"/>
  <c r="AD215" i="31"/>
  <c r="Y215" i="31"/>
  <c r="X215" i="31"/>
  <c r="W215" i="31"/>
  <c r="A215" i="31"/>
  <c r="AD214" i="31"/>
  <c r="Y214" i="31"/>
  <c r="X214" i="31"/>
  <c r="W214" i="31"/>
  <c r="A214" i="31"/>
  <c r="AD213" i="31"/>
  <c r="Y213" i="31"/>
  <c r="X213" i="31"/>
  <c r="W213" i="31"/>
  <c r="A213" i="31"/>
  <c r="AD212" i="31"/>
  <c r="Y212" i="31"/>
  <c r="X212" i="31"/>
  <c r="W212" i="31"/>
  <c r="A212" i="31"/>
  <c r="AD211" i="31"/>
  <c r="Y211" i="31"/>
  <c r="X211" i="31"/>
  <c r="W211" i="31"/>
  <c r="A211" i="31"/>
  <c r="AD210" i="31"/>
  <c r="Y210" i="31"/>
  <c r="X210" i="31"/>
  <c r="W210" i="31"/>
  <c r="A210" i="31"/>
  <c r="AD209" i="31"/>
  <c r="Y209" i="31"/>
  <c r="X209" i="31"/>
  <c r="W209" i="31"/>
  <c r="A209" i="31"/>
  <c r="AD208" i="31"/>
  <c r="Y208" i="31"/>
  <c r="X208" i="31"/>
  <c r="W208" i="31"/>
  <c r="A208" i="31"/>
  <c r="AD207" i="31"/>
  <c r="Y207" i="31"/>
  <c r="X207" i="31"/>
  <c r="W207" i="31"/>
  <c r="A207" i="31"/>
  <c r="AD206" i="31"/>
  <c r="Y206" i="31"/>
  <c r="X206" i="31"/>
  <c r="W206" i="31"/>
  <c r="A206" i="31"/>
  <c r="AD205" i="31"/>
  <c r="Y205" i="31"/>
  <c r="X205" i="31"/>
  <c r="W205" i="31"/>
  <c r="A205" i="31"/>
  <c r="AD204" i="31"/>
  <c r="Y204" i="31"/>
  <c r="X204" i="31"/>
  <c r="W204" i="31"/>
  <c r="A204" i="31"/>
  <c r="AD203" i="31"/>
  <c r="Y203" i="31"/>
  <c r="X203" i="31"/>
  <c r="W203" i="31"/>
  <c r="A203" i="31"/>
  <c r="AD202" i="31"/>
  <c r="Y202" i="31"/>
  <c r="X202" i="31"/>
  <c r="W202" i="31"/>
  <c r="A202" i="31"/>
  <c r="AD201" i="31"/>
  <c r="Y201" i="31"/>
  <c r="X201" i="31"/>
  <c r="W201" i="31"/>
  <c r="A201" i="31"/>
  <c r="AD200" i="31"/>
  <c r="Y200" i="31"/>
  <c r="X200" i="31"/>
  <c r="W200" i="31"/>
  <c r="A200" i="31"/>
  <c r="AD199" i="31"/>
  <c r="Y199" i="31"/>
  <c r="X199" i="31"/>
  <c r="W199" i="31"/>
  <c r="A199" i="31"/>
  <c r="AD198" i="31"/>
  <c r="Y198" i="31"/>
  <c r="X198" i="31"/>
  <c r="W198" i="31"/>
  <c r="A198" i="31"/>
  <c r="AD197" i="31"/>
  <c r="Y197" i="31"/>
  <c r="X197" i="31"/>
  <c r="W197" i="31"/>
  <c r="A197" i="31"/>
  <c r="AD196" i="31"/>
  <c r="Y196" i="31"/>
  <c r="X196" i="31"/>
  <c r="W196" i="31"/>
  <c r="A196" i="31"/>
  <c r="AD195" i="31"/>
  <c r="Y195" i="31"/>
  <c r="X195" i="31"/>
  <c r="W195" i="31"/>
  <c r="A195" i="31"/>
  <c r="AD194" i="31"/>
  <c r="Y194" i="31"/>
  <c r="X194" i="31"/>
  <c r="W194" i="31"/>
  <c r="A194" i="31"/>
  <c r="AD193" i="31"/>
  <c r="Y193" i="31"/>
  <c r="X193" i="31"/>
  <c r="W193" i="31"/>
  <c r="A193" i="31"/>
  <c r="AD192" i="31"/>
  <c r="Y192" i="31"/>
  <c r="X192" i="31"/>
  <c r="W192" i="31"/>
  <c r="A192" i="31"/>
  <c r="AD191" i="31"/>
  <c r="Y191" i="31"/>
  <c r="X191" i="31"/>
  <c r="W191" i="31"/>
  <c r="A191" i="31"/>
  <c r="AD190" i="31"/>
  <c r="Y190" i="31"/>
  <c r="X190" i="31"/>
  <c r="W190" i="31"/>
  <c r="A190" i="31"/>
  <c r="AD189" i="31"/>
  <c r="Y189" i="31"/>
  <c r="X189" i="31"/>
  <c r="W189" i="31"/>
  <c r="A189" i="31"/>
  <c r="AV188" i="31"/>
  <c r="AN188" i="31"/>
  <c r="AD188" i="31"/>
  <c r="Y188" i="31"/>
  <c r="T188" i="31"/>
  <c r="Q188" i="31"/>
  <c r="N188" i="31"/>
  <c r="K188" i="31"/>
  <c r="H188" i="31"/>
  <c r="A188" i="31"/>
  <c r="AV187" i="31"/>
  <c r="AN187" i="31"/>
  <c r="AD187" i="31"/>
  <c r="Y187" i="31"/>
  <c r="T187" i="31"/>
  <c r="Q187" i="31"/>
  <c r="N187" i="31"/>
  <c r="K187" i="31"/>
  <c r="H187" i="31"/>
  <c r="A187" i="31"/>
  <c r="AV186" i="31"/>
  <c r="AN186" i="31"/>
  <c r="AD186" i="31"/>
  <c r="Y186" i="31"/>
  <c r="T186" i="31"/>
  <c r="Q186" i="31"/>
  <c r="N186" i="31"/>
  <c r="K186" i="31"/>
  <c r="H186" i="31"/>
  <c r="A186" i="31"/>
  <c r="AV185" i="31"/>
  <c r="AN185" i="31"/>
  <c r="AD185" i="31"/>
  <c r="Y185" i="31"/>
  <c r="T185" i="31"/>
  <c r="Q185" i="31"/>
  <c r="N185" i="31"/>
  <c r="K185" i="31"/>
  <c r="H185" i="31"/>
  <c r="A185" i="31"/>
  <c r="AV184" i="31"/>
  <c r="AN184" i="31"/>
  <c r="AD184" i="31"/>
  <c r="Y184" i="31"/>
  <c r="T184" i="31"/>
  <c r="Q184" i="31"/>
  <c r="N184" i="31"/>
  <c r="K184" i="31"/>
  <c r="H184" i="31"/>
  <c r="A184" i="31"/>
  <c r="AV183" i="31"/>
  <c r="AN183" i="31"/>
  <c r="AD183" i="31"/>
  <c r="Y183" i="31"/>
  <c r="T183" i="31"/>
  <c r="Q183" i="31"/>
  <c r="N183" i="31"/>
  <c r="K183" i="31"/>
  <c r="H183" i="31"/>
  <c r="A183" i="31"/>
  <c r="AV182" i="31"/>
  <c r="AN182" i="31"/>
  <c r="AD182" i="31"/>
  <c r="Y182" i="31"/>
  <c r="T182" i="31"/>
  <c r="Q182" i="31"/>
  <c r="N182" i="31"/>
  <c r="K182" i="31"/>
  <c r="H182" i="31"/>
  <c r="A182" i="31"/>
  <c r="AV181" i="31"/>
  <c r="AN181" i="31"/>
  <c r="AD181" i="31"/>
  <c r="Y181" i="31"/>
  <c r="T181" i="31"/>
  <c r="Q181" i="31"/>
  <c r="N181" i="31"/>
  <c r="K181" i="31"/>
  <c r="H181" i="31"/>
  <c r="A181" i="31"/>
  <c r="AV180" i="31"/>
  <c r="AN180" i="31"/>
  <c r="AD180" i="31"/>
  <c r="Y180" i="31"/>
  <c r="T180" i="31"/>
  <c r="Q180" i="31"/>
  <c r="N180" i="31"/>
  <c r="K180" i="31"/>
  <c r="H180" i="31"/>
  <c r="A180" i="31"/>
  <c r="AV179" i="31"/>
  <c r="AN179" i="31"/>
  <c r="AD179" i="31"/>
  <c r="Y179" i="31"/>
  <c r="T179" i="31"/>
  <c r="Q179" i="31"/>
  <c r="N179" i="31"/>
  <c r="K179" i="31"/>
  <c r="H179" i="31"/>
  <c r="A179" i="31"/>
  <c r="AV178" i="31"/>
  <c r="AN178" i="31"/>
  <c r="AD178" i="31"/>
  <c r="Y178" i="31"/>
  <c r="T178" i="31"/>
  <c r="Q178" i="31"/>
  <c r="N178" i="31"/>
  <c r="K178" i="31"/>
  <c r="H178" i="31"/>
  <c r="A178" i="31"/>
  <c r="AV177" i="31"/>
  <c r="AN177" i="31"/>
  <c r="AD177" i="31"/>
  <c r="Y177" i="31"/>
  <c r="T177" i="31"/>
  <c r="Q177" i="31"/>
  <c r="N177" i="31"/>
  <c r="K177" i="31"/>
  <c r="H177" i="31"/>
  <c r="A177" i="31"/>
  <c r="AV176" i="31"/>
  <c r="AN176" i="31"/>
  <c r="AD176" i="31"/>
  <c r="Y176" i="31"/>
  <c r="T176" i="31"/>
  <c r="Q176" i="31"/>
  <c r="N176" i="31"/>
  <c r="K176" i="31"/>
  <c r="H176" i="31"/>
  <c r="A176" i="31"/>
  <c r="AV175" i="31"/>
  <c r="AN175" i="31"/>
  <c r="AD175" i="31"/>
  <c r="Y175" i="31"/>
  <c r="T175" i="31"/>
  <c r="Q175" i="31"/>
  <c r="N175" i="31"/>
  <c r="K175" i="31"/>
  <c r="H175" i="31"/>
  <c r="A175" i="31"/>
  <c r="AV174" i="31"/>
  <c r="AN174" i="31"/>
  <c r="AD174" i="31"/>
  <c r="Y174" i="31"/>
  <c r="T174" i="31"/>
  <c r="Q174" i="31"/>
  <c r="N174" i="31"/>
  <c r="K174" i="31"/>
  <c r="H174" i="31"/>
  <c r="A174" i="31"/>
  <c r="AV173" i="31"/>
  <c r="AN173" i="31"/>
  <c r="AD173" i="31"/>
  <c r="Y173" i="31"/>
  <c r="T173" i="31"/>
  <c r="Q173" i="31"/>
  <c r="N173" i="31"/>
  <c r="K173" i="31"/>
  <c r="H173" i="31"/>
  <c r="A173" i="31"/>
  <c r="AV172" i="31"/>
  <c r="AN172" i="31"/>
  <c r="AD172" i="31"/>
  <c r="Y172" i="31"/>
  <c r="T172" i="31"/>
  <c r="Q172" i="31"/>
  <c r="N172" i="31"/>
  <c r="K172" i="31"/>
  <c r="H172" i="31"/>
  <c r="A172" i="31"/>
  <c r="AV171" i="31"/>
  <c r="AN171" i="31"/>
  <c r="AD171" i="31"/>
  <c r="Y171" i="31"/>
  <c r="T171" i="31"/>
  <c r="Q171" i="31"/>
  <c r="N171" i="31"/>
  <c r="K171" i="31"/>
  <c r="H171" i="31"/>
  <c r="A171" i="31"/>
  <c r="AV170" i="31"/>
  <c r="AN170" i="31"/>
  <c r="AD170" i="31"/>
  <c r="Y170" i="31"/>
  <c r="T170" i="31"/>
  <c r="Q170" i="31"/>
  <c r="N170" i="31"/>
  <c r="K170" i="31"/>
  <c r="H170" i="31"/>
  <c r="A170" i="31"/>
  <c r="AV169" i="31"/>
  <c r="AN169" i="31"/>
  <c r="AD169" i="31"/>
  <c r="Y169" i="31"/>
  <c r="T169" i="31"/>
  <c r="Q169" i="31"/>
  <c r="N169" i="31"/>
  <c r="K169" i="31"/>
  <c r="H169" i="31"/>
  <c r="A169" i="31"/>
  <c r="AV168" i="31"/>
  <c r="AN168" i="31"/>
  <c r="AD168" i="31"/>
  <c r="Y168" i="31"/>
  <c r="T168" i="31"/>
  <c r="Q168" i="31"/>
  <c r="N168" i="31"/>
  <c r="K168" i="31"/>
  <c r="H168" i="31"/>
  <c r="A168" i="31"/>
  <c r="AV167" i="31"/>
  <c r="AN167" i="31"/>
  <c r="AD167" i="31"/>
  <c r="Y167" i="31"/>
  <c r="T167" i="31"/>
  <c r="Q167" i="31"/>
  <c r="N167" i="31"/>
  <c r="K167" i="31"/>
  <c r="H167" i="31"/>
  <c r="A167" i="31"/>
  <c r="AV166" i="31"/>
  <c r="AN166" i="31"/>
  <c r="AD166" i="31"/>
  <c r="Y166" i="31"/>
  <c r="T166" i="31"/>
  <c r="Q166" i="31"/>
  <c r="N166" i="31"/>
  <c r="K166" i="31"/>
  <c r="H166" i="31"/>
  <c r="A166" i="31"/>
  <c r="AV165" i="31"/>
  <c r="AN165" i="31"/>
  <c r="AD165" i="31"/>
  <c r="Y165" i="31"/>
  <c r="T165" i="31"/>
  <c r="Q165" i="31"/>
  <c r="N165" i="31"/>
  <c r="K165" i="31"/>
  <c r="H165" i="31"/>
  <c r="A165" i="31"/>
  <c r="AV164" i="31"/>
  <c r="AN164" i="31"/>
  <c r="AD164" i="31"/>
  <c r="Y164" i="31"/>
  <c r="T164" i="31"/>
  <c r="Q164" i="31"/>
  <c r="N164" i="31"/>
  <c r="K164" i="31"/>
  <c r="H164" i="31"/>
  <c r="A164" i="31"/>
  <c r="AV163" i="31"/>
  <c r="AN163" i="31"/>
  <c r="AD163" i="31"/>
  <c r="Y163" i="31"/>
  <c r="T163" i="31"/>
  <c r="Q163" i="31"/>
  <c r="N163" i="31"/>
  <c r="K163" i="31"/>
  <c r="H163" i="31"/>
  <c r="A163" i="31"/>
  <c r="AV162" i="31"/>
  <c r="AN162" i="31"/>
  <c r="AD162" i="31"/>
  <c r="Y162" i="31"/>
  <c r="T162" i="31"/>
  <c r="Q162" i="31"/>
  <c r="N162" i="31"/>
  <c r="K162" i="31"/>
  <c r="H162" i="31"/>
  <c r="A162" i="31"/>
  <c r="AV161" i="31"/>
  <c r="AN161" i="31"/>
  <c r="AD161" i="31"/>
  <c r="Y161" i="31"/>
  <c r="T161" i="31"/>
  <c r="Q161" i="31"/>
  <c r="N161" i="31"/>
  <c r="K161" i="31"/>
  <c r="H161" i="31"/>
  <c r="A161" i="31"/>
  <c r="AV160" i="31"/>
  <c r="AN160" i="31"/>
  <c r="AD160" i="31"/>
  <c r="Y160" i="31"/>
  <c r="T160" i="31"/>
  <c r="Q160" i="31"/>
  <c r="N160" i="31"/>
  <c r="K160" i="31"/>
  <c r="H160" i="31"/>
  <c r="A160" i="31"/>
  <c r="AV159" i="31"/>
  <c r="AN159" i="31"/>
  <c r="AD159" i="31"/>
  <c r="Y159" i="31"/>
  <c r="T159" i="31"/>
  <c r="Q159" i="31"/>
  <c r="N159" i="31"/>
  <c r="K159" i="31"/>
  <c r="H159" i="31"/>
  <c r="A159" i="31"/>
  <c r="AV158" i="31"/>
  <c r="AN158" i="31"/>
  <c r="AD158" i="31"/>
  <c r="Y158" i="31"/>
  <c r="T158" i="31"/>
  <c r="Q158" i="31"/>
  <c r="N158" i="31"/>
  <c r="K158" i="31"/>
  <c r="H158" i="31"/>
  <c r="A158" i="31"/>
  <c r="AV157" i="31"/>
  <c r="AN157" i="31"/>
  <c r="AD157" i="31"/>
  <c r="Y157" i="31"/>
  <c r="T157" i="31"/>
  <c r="Q157" i="31"/>
  <c r="N157" i="31"/>
  <c r="K157" i="31"/>
  <c r="H157" i="31"/>
  <c r="A157" i="31"/>
  <c r="AV156" i="31"/>
  <c r="AN156" i="31"/>
  <c r="AD156" i="31"/>
  <c r="Y156" i="31"/>
  <c r="T156" i="31"/>
  <c r="Q156" i="31"/>
  <c r="N156" i="31"/>
  <c r="K156" i="31"/>
  <c r="H156" i="31"/>
  <c r="A156" i="31"/>
  <c r="AV155" i="31"/>
  <c r="AN155" i="31"/>
  <c r="AD155" i="31"/>
  <c r="Y155" i="31"/>
  <c r="T155" i="31"/>
  <c r="Q155" i="31"/>
  <c r="N155" i="31"/>
  <c r="K155" i="31"/>
  <c r="H155" i="31"/>
  <c r="A155" i="31"/>
  <c r="AV154" i="31"/>
  <c r="AN154" i="31"/>
  <c r="AD154" i="31"/>
  <c r="Y154" i="31"/>
  <c r="T154" i="31"/>
  <c r="Q154" i="31"/>
  <c r="N154" i="31"/>
  <c r="K154" i="31"/>
  <c r="H154" i="31"/>
  <c r="A154" i="31"/>
  <c r="AV153" i="31"/>
  <c r="AN153" i="31"/>
  <c r="AD153" i="31"/>
  <c r="Y153" i="31"/>
  <c r="T153" i="31"/>
  <c r="Q153" i="31"/>
  <c r="N153" i="31"/>
  <c r="K153" i="31"/>
  <c r="H153" i="31"/>
  <c r="A153" i="31"/>
  <c r="AV152" i="31"/>
  <c r="AN152" i="31"/>
  <c r="AD152" i="31"/>
  <c r="Y152" i="31"/>
  <c r="T152" i="31"/>
  <c r="Q152" i="31"/>
  <c r="N152" i="31"/>
  <c r="K152" i="31"/>
  <c r="H152" i="31"/>
  <c r="A152" i="31"/>
  <c r="AV151" i="31"/>
  <c r="AN151" i="31"/>
  <c r="AD151" i="31"/>
  <c r="Y151" i="31"/>
  <c r="T151" i="31"/>
  <c r="Q151" i="31"/>
  <c r="N151" i="31"/>
  <c r="K151" i="31"/>
  <c r="H151" i="31"/>
  <c r="A151" i="31"/>
  <c r="AV150" i="31"/>
  <c r="AN150" i="31"/>
  <c r="AD150" i="31"/>
  <c r="Y150" i="31"/>
  <c r="T150" i="31"/>
  <c r="Q150" i="31"/>
  <c r="N150" i="31"/>
  <c r="K150" i="31"/>
  <c r="H150" i="31"/>
  <c r="A150" i="31"/>
  <c r="AV149" i="31"/>
  <c r="AN149" i="31"/>
  <c r="AD149" i="31"/>
  <c r="Y149" i="31"/>
  <c r="T149" i="31"/>
  <c r="Q149" i="31"/>
  <c r="N149" i="31"/>
  <c r="K149" i="31"/>
  <c r="H149" i="31"/>
  <c r="A149" i="31"/>
  <c r="AV148" i="31"/>
  <c r="AN148" i="31"/>
  <c r="AD148" i="31"/>
  <c r="Y148" i="31"/>
  <c r="T148" i="31"/>
  <c r="Q148" i="31"/>
  <c r="N148" i="31"/>
  <c r="K148" i="31"/>
  <c r="H148" i="31"/>
  <c r="A148" i="31"/>
  <c r="AV147" i="31"/>
  <c r="AN147" i="31"/>
  <c r="AD147" i="31"/>
  <c r="Y147" i="31"/>
  <c r="T147" i="31"/>
  <c r="Q147" i="31"/>
  <c r="N147" i="31"/>
  <c r="K147" i="31"/>
  <c r="H147" i="31"/>
  <c r="A147" i="31"/>
  <c r="AV146" i="31"/>
  <c r="AN146" i="31"/>
  <c r="AD146" i="31"/>
  <c r="Y146" i="31"/>
  <c r="T146" i="31"/>
  <c r="Q146" i="31"/>
  <c r="N146" i="31"/>
  <c r="K146" i="31"/>
  <c r="H146" i="31"/>
  <c r="A146" i="31"/>
  <c r="AV145" i="31"/>
  <c r="AN145" i="31"/>
  <c r="AD145" i="31"/>
  <c r="Y145" i="31"/>
  <c r="T145" i="31"/>
  <c r="Q145" i="31"/>
  <c r="N145" i="31"/>
  <c r="K145" i="31"/>
  <c r="H145" i="31"/>
  <c r="A145" i="31"/>
  <c r="AV144" i="31"/>
  <c r="AN144" i="31"/>
  <c r="AD144" i="31"/>
  <c r="Y144" i="31"/>
  <c r="T144" i="31"/>
  <c r="Q144" i="31"/>
  <c r="N144" i="31"/>
  <c r="K144" i="31"/>
  <c r="H144" i="31"/>
  <c r="A144" i="31"/>
  <c r="AV143" i="31"/>
  <c r="AN143" i="31"/>
  <c r="AD143" i="31"/>
  <c r="Y143" i="31"/>
  <c r="T143" i="31"/>
  <c r="Q143" i="31"/>
  <c r="N143" i="31"/>
  <c r="K143" i="31"/>
  <c r="H143" i="31"/>
  <c r="A143" i="31"/>
  <c r="AV142" i="31"/>
  <c r="AN142" i="31"/>
  <c r="AD142" i="31"/>
  <c r="Y142" i="31"/>
  <c r="T142" i="31"/>
  <c r="Q142" i="31"/>
  <c r="N142" i="31"/>
  <c r="K142" i="31"/>
  <c r="H142" i="31"/>
  <c r="A142" i="31"/>
  <c r="AV141" i="31"/>
  <c r="AN141" i="31"/>
  <c r="AD141" i="31"/>
  <c r="Y141" i="31"/>
  <c r="T141" i="31"/>
  <c r="Q141" i="31"/>
  <c r="N141" i="31"/>
  <c r="K141" i="31"/>
  <c r="H141" i="31"/>
  <c r="A141" i="31"/>
  <c r="AV140" i="31"/>
  <c r="AN140" i="31"/>
  <c r="AD140" i="31"/>
  <c r="Y140" i="31"/>
  <c r="T140" i="31"/>
  <c r="Q140" i="31"/>
  <c r="N140" i="31"/>
  <c r="K140" i="31"/>
  <c r="H140" i="31"/>
  <c r="A140" i="31"/>
  <c r="AV139" i="31"/>
  <c r="AN139" i="31"/>
  <c r="AD139" i="31"/>
  <c r="Y139" i="31"/>
  <c r="T139" i="31"/>
  <c r="Q139" i="31"/>
  <c r="N139" i="31"/>
  <c r="K139" i="31"/>
  <c r="H139" i="31"/>
  <c r="A139" i="31"/>
  <c r="AV138" i="31"/>
  <c r="AN138" i="31"/>
  <c r="AD138" i="31"/>
  <c r="Y138" i="31"/>
  <c r="T138" i="31"/>
  <c r="Q138" i="31"/>
  <c r="N138" i="31"/>
  <c r="K138" i="31"/>
  <c r="H138" i="31"/>
  <c r="A138" i="31"/>
  <c r="AV137" i="31"/>
  <c r="AN137" i="31"/>
  <c r="AD137" i="31"/>
  <c r="Y137" i="31"/>
  <c r="T137" i="31"/>
  <c r="Q137" i="31"/>
  <c r="N137" i="31"/>
  <c r="K137" i="31"/>
  <c r="H137" i="31"/>
  <c r="A137" i="31"/>
  <c r="AV136" i="31"/>
  <c r="AN136" i="31"/>
  <c r="AD136" i="31"/>
  <c r="Y136" i="31"/>
  <c r="T136" i="31"/>
  <c r="Q136" i="31"/>
  <c r="N136" i="31"/>
  <c r="K136" i="31"/>
  <c r="H136" i="31"/>
  <c r="A136" i="31"/>
  <c r="AV135" i="31"/>
  <c r="AN135" i="31"/>
  <c r="AD135" i="31"/>
  <c r="Y135" i="31"/>
  <c r="T135" i="31"/>
  <c r="Q135" i="31"/>
  <c r="N135" i="31"/>
  <c r="K135" i="31"/>
  <c r="H135" i="31"/>
  <c r="A135" i="31"/>
  <c r="AV134" i="31"/>
  <c r="AN134" i="31"/>
  <c r="AD134" i="31"/>
  <c r="Y134" i="31"/>
  <c r="T134" i="31"/>
  <c r="Q134" i="31"/>
  <c r="N134" i="31"/>
  <c r="K134" i="31"/>
  <c r="H134" i="31"/>
  <c r="A134" i="31"/>
  <c r="AV133" i="31"/>
  <c r="AN133" i="31"/>
  <c r="AD133" i="31"/>
  <c r="Y133" i="31"/>
  <c r="T133" i="31"/>
  <c r="Q133" i="31"/>
  <c r="N133" i="31"/>
  <c r="K133" i="31"/>
  <c r="H133" i="31"/>
  <c r="A133" i="31"/>
  <c r="AV132" i="31"/>
  <c r="AN132" i="31"/>
  <c r="AD132" i="31"/>
  <c r="Y132" i="31"/>
  <c r="T132" i="31"/>
  <c r="Q132" i="31"/>
  <c r="N132" i="31"/>
  <c r="K132" i="31"/>
  <c r="H132" i="31"/>
  <c r="A132" i="31"/>
  <c r="AV131" i="31"/>
  <c r="AN131" i="31"/>
  <c r="AD131" i="31"/>
  <c r="Y131" i="31"/>
  <c r="T131" i="31"/>
  <c r="Q131" i="31"/>
  <c r="N131" i="31"/>
  <c r="K131" i="31"/>
  <c r="H131" i="31"/>
  <c r="A131" i="31"/>
  <c r="AV130" i="31"/>
  <c r="AN130" i="31"/>
  <c r="AD130" i="31"/>
  <c r="Y130" i="31"/>
  <c r="T130" i="31"/>
  <c r="Q130" i="31"/>
  <c r="N130" i="31"/>
  <c r="K130" i="31"/>
  <c r="H130" i="31"/>
  <c r="A130" i="31"/>
  <c r="AV129" i="31"/>
  <c r="AN129" i="31"/>
  <c r="AD129" i="31"/>
  <c r="Y129" i="31"/>
  <c r="T129" i="31"/>
  <c r="Q129" i="31"/>
  <c r="N129" i="31"/>
  <c r="K129" i="31"/>
  <c r="H129" i="31"/>
  <c r="A129" i="31"/>
  <c r="AV128" i="31"/>
  <c r="AN128" i="31"/>
  <c r="AD128" i="31"/>
  <c r="Y128" i="31"/>
  <c r="T128" i="31"/>
  <c r="Q128" i="31"/>
  <c r="N128" i="31"/>
  <c r="K128" i="31"/>
  <c r="H128" i="31"/>
  <c r="A128" i="31"/>
  <c r="AV127" i="31"/>
  <c r="AN127" i="31"/>
  <c r="AD127" i="31"/>
  <c r="Y127" i="31"/>
  <c r="T127" i="31"/>
  <c r="Q127" i="31"/>
  <c r="N127" i="31"/>
  <c r="K127" i="31"/>
  <c r="H127" i="31"/>
  <c r="A127" i="31"/>
  <c r="AV126" i="31"/>
  <c r="AN126" i="31"/>
  <c r="AD126" i="31"/>
  <c r="Y126" i="31"/>
  <c r="T126" i="31"/>
  <c r="Q126" i="31"/>
  <c r="N126" i="31"/>
  <c r="K126" i="31"/>
  <c r="H126" i="31"/>
  <c r="A126" i="31"/>
  <c r="AV125" i="31"/>
  <c r="AN125" i="31"/>
  <c r="AD125" i="31"/>
  <c r="Y125" i="31"/>
  <c r="T125" i="31"/>
  <c r="Q125" i="31"/>
  <c r="N125" i="31"/>
  <c r="K125" i="31"/>
  <c r="H125" i="31"/>
  <c r="A125" i="31"/>
  <c r="AV124" i="31"/>
  <c r="AN124" i="31"/>
  <c r="AD124" i="31"/>
  <c r="Y124" i="31"/>
  <c r="T124" i="31"/>
  <c r="Q124" i="31"/>
  <c r="N124" i="31"/>
  <c r="K124" i="31"/>
  <c r="H124" i="31"/>
  <c r="A124" i="31"/>
  <c r="AV123" i="31"/>
  <c r="AN123" i="31"/>
  <c r="AD123" i="31"/>
  <c r="Y123" i="31"/>
  <c r="T123" i="31"/>
  <c r="Q123" i="31"/>
  <c r="N123" i="31"/>
  <c r="K123" i="31"/>
  <c r="H123" i="31"/>
  <c r="A123" i="31"/>
  <c r="AV122" i="31"/>
  <c r="AN122" i="31"/>
  <c r="AD122" i="31"/>
  <c r="Y122" i="31"/>
  <c r="T122" i="31"/>
  <c r="Q122" i="31"/>
  <c r="N122" i="31"/>
  <c r="K122" i="31"/>
  <c r="H122" i="31"/>
  <c r="A122" i="31"/>
  <c r="AV121" i="31"/>
  <c r="AN121" i="31"/>
  <c r="AD121" i="31"/>
  <c r="Y121" i="31"/>
  <c r="T121" i="31"/>
  <c r="Q121" i="31"/>
  <c r="N121" i="31"/>
  <c r="K121" i="31"/>
  <c r="H121" i="31"/>
  <c r="A121" i="31"/>
  <c r="AV120" i="31"/>
  <c r="AN120" i="31"/>
  <c r="AD120" i="31"/>
  <c r="Y120" i="31"/>
  <c r="T120" i="31"/>
  <c r="Q120" i="31"/>
  <c r="N120" i="31"/>
  <c r="K120" i="31"/>
  <c r="H120" i="31"/>
  <c r="A120" i="31"/>
  <c r="AV119" i="31"/>
  <c r="AN119" i="31"/>
  <c r="AD119" i="31"/>
  <c r="Y119" i="31"/>
  <c r="T119" i="31"/>
  <c r="Q119" i="31"/>
  <c r="N119" i="31"/>
  <c r="K119" i="31"/>
  <c r="H119" i="31"/>
  <c r="A119" i="31"/>
  <c r="AV118" i="31"/>
  <c r="AN118" i="31"/>
  <c r="AD118" i="31"/>
  <c r="Y118" i="31"/>
  <c r="T118" i="31"/>
  <c r="Q118" i="31"/>
  <c r="N118" i="31"/>
  <c r="K118" i="31"/>
  <c r="H118" i="31"/>
  <c r="A118" i="31"/>
  <c r="AV117" i="31"/>
  <c r="AN117" i="31"/>
  <c r="AD117" i="31"/>
  <c r="Y117" i="31"/>
  <c r="T117" i="31"/>
  <c r="Q117" i="31"/>
  <c r="N117" i="31"/>
  <c r="K117" i="31"/>
  <c r="H117" i="31"/>
  <c r="A117" i="31"/>
  <c r="AV116" i="31"/>
  <c r="AN116" i="31"/>
  <c r="AD116" i="31"/>
  <c r="Y116" i="31"/>
  <c r="T116" i="31"/>
  <c r="Q116" i="31"/>
  <c r="N116" i="31"/>
  <c r="K116" i="31"/>
  <c r="H116" i="31"/>
  <c r="A116" i="31"/>
  <c r="AV115" i="31"/>
  <c r="AN115" i="31"/>
  <c r="AD115" i="31"/>
  <c r="Y115" i="31"/>
  <c r="T115" i="31"/>
  <c r="Q115" i="31"/>
  <c r="N115" i="31"/>
  <c r="K115" i="31"/>
  <c r="H115" i="31"/>
  <c r="A115" i="31"/>
  <c r="AV114" i="31"/>
  <c r="AN114" i="31"/>
  <c r="AD114" i="31"/>
  <c r="Y114" i="31"/>
  <c r="T114" i="31"/>
  <c r="Q114" i="31"/>
  <c r="N114" i="31"/>
  <c r="K114" i="31"/>
  <c r="H114" i="31"/>
  <c r="A114" i="31"/>
  <c r="AV113" i="31"/>
  <c r="AN113" i="31"/>
  <c r="AD113" i="31"/>
  <c r="Y113" i="31"/>
  <c r="T113" i="31"/>
  <c r="Q113" i="31"/>
  <c r="N113" i="31"/>
  <c r="K113" i="31"/>
  <c r="H113" i="31"/>
  <c r="A113" i="31"/>
  <c r="AV112" i="31"/>
  <c r="AN112" i="31"/>
  <c r="AD112" i="31"/>
  <c r="Y112" i="31"/>
  <c r="T112" i="31"/>
  <c r="Q112" i="31"/>
  <c r="N112" i="31"/>
  <c r="K112" i="31"/>
  <c r="H112" i="31"/>
  <c r="A112" i="31"/>
  <c r="AV111" i="31"/>
  <c r="AN111" i="31"/>
  <c r="AD111" i="31"/>
  <c r="Y111" i="31"/>
  <c r="T111" i="31"/>
  <c r="Q111" i="31"/>
  <c r="N111" i="31"/>
  <c r="K111" i="31"/>
  <c r="H111" i="31"/>
  <c r="A111" i="31"/>
  <c r="AV110" i="31"/>
  <c r="AN110" i="31"/>
  <c r="AD110" i="31"/>
  <c r="Y110" i="31"/>
  <c r="T110" i="31"/>
  <c r="Q110" i="31"/>
  <c r="N110" i="31"/>
  <c r="K110" i="31"/>
  <c r="H110" i="31"/>
  <c r="A110" i="31"/>
  <c r="AV109" i="31"/>
  <c r="AN109" i="31"/>
  <c r="AD109" i="31"/>
  <c r="Y109" i="31"/>
  <c r="T109" i="31"/>
  <c r="Q109" i="31"/>
  <c r="N109" i="31"/>
  <c r="K109" i="31"/>
  <c r="H109" i="31"/>
  <c r="A109" i="31"/>
  <c r="AV108" i="31"/>
  <c r="AN108" i="31"/>
  <c r="AD108" i="31"/>
  <c r="Y108" i="31"/>
  <c r="T108" i="31"/>
  <c r="Q108" i="31"/>
  <c r="N108" i="31"/>
  <c r="K108" i="31"/>
  <c r="H108" i="31"/>
  <c r="A108" i="31"/>
  <c r="AV107" i="31"/>
  <c r="AN107" i="31"/>
  <c r="AD107" i="31"/>
  <c r="Y107" i="31"/>
  <c r="T107" i="31"/>
  <c r="Q107" i="31"/>
  <c r="N107" i="31"/>
  <c r="K107" i="31"/>
  <c r="H107" i="31"/>
  <c r="A107" i="31"/>
  <c r="AV106" i="31"/>
  <c r="AN106" i="31"/>
  <c r="AD106" i="31"/>
  <c r="Y106" i="31"/>
  <c r="T106" i="31"/>
  <c r="Q106" i="31"/>
  <c r="N106" i="31"/>
  <c r="K106" i="31"/>
  <c r="H106" i="31"/>
  <c r="A106" i="31"/>
  <c r="AV105" i="31"/>
  <c r="AN105" i="31"/>
  <c r="AD105" i="31"/>
  <c r="Y105" i="31"/>
  <c r="T105" i="31"/>
  <c r="Q105" i="31"/>
  <c r="N105" i="31"/>
  <c r="K105" i="31"/>
  <c r="H105" i="31"/>
  <c r="A105" i="31"/>
  <c r="AV104" i="31"/>
  <c r="AN104" i="31"/>
  <c r="AD104" i="31"/>
  <c r="Y104" i="31"/>
  <c r="T104" i="31"/>
  <c r="Q104" i="31"/>
  <c r="N104" i="31"/>
  <c r="K104" i="31"/>
  <c r="H104" i="31"/>
  <c r="A104" i="31"/>
  <c r="AV103" i="31"/>
  <c r="AN103" i="31"/>
  <c r="AD103" i="31"/>
  <c r="Y103" i="31"/>
  <c r="T103" i="31"/>
  <c r="Q103" i="31"/>
  <c r="N103" i="31"/>
  <c r="K103" i="31"/>
  <c r="H103" i="31"/>
  <c r="A103" i="31"/>
  <c r="AV102" i="31"/>
  <c r="AN102" i="31"/>
  <c r="AD102" i="31"/>
  <c r="Y102" i="31"/>
  <c r="T102" i="31"/>
  <c r="Q102" i="31"/>
  <c r="N102" i="31"/>
  <c r="K102" i="31"/>
  <c r="H102" i="31"/>
  <c r="A102" i="31"/>
  <c r="AV101" i="31"/>
  <c r="AN101" i="31"/>
  <c r="AD101" i="31"/>
  <c r="Y101" i="31"/>
  <c r="T101" i="31"/>
  <c r="Q101" i="31"/>
  <c r="N101" i="31"/>
  <c r="K101" i="31"/>
  <c r="H101" i="31"/>
  <c r="A101" i="31"/>
  <c r="AV100" i="31"/>
  <c r="AN100" i="31"/>
  <c r="AD100" i="31"/>
  <c r="Y100" i="31"/>
  <c r="T100" i="31"/>
  <c r="Q100" i="31"/>
  <c r="N100" i="31"/>
  <c r="K100" i="31"/>
  <c r="H100" i="31"/>
  <c r="A100" i="31"/>
  <c r="AV99" i="31"/>
  <c r="AN99" i="31"/>
  <c r="AD99" i="31"/>
  <c r="Y99" i="31"/>
  <c r="T99" i="31"/>
  <c r="Q99" i="31"/>
  <c r="N99" i="31"/>
  <c r="K99" i="31"/>
  <c r="H99" i="31"/>
  <c r="A99" i="31"/>
  <c r="AV98" i="31"/>
  <c r="AN98" i="31"/>
  <c r="AD98" i="31"/>
  <c r="Y98" i="31"/>
  <c r="T98" i="31"/>
  <c r="Q98" i="31"/>
  <c r="N98" i="31"/>
  <c r="K98" i="31"/>
  <c r="H98" i="31"/>
  <c r="A98" i="31"/>
  <c r="AV97" i="31"/>
  <c r="AN97" i="31"/>
  <c r="AD97" i="31"/>
  <c r="Y97" i="31"/>
  <c r="T97" i="31"/>
  <c r="Q97" i="31"/>
  <c r="N97" i="31"/>
  <c r="K97" i="31"/>
  <c r="H97" i="31"/>
  <c r="A97" i="31"/>
  <c r="AV96" i="31"/>
  <c r="AN96" i="31"/>
  <c r="AD96" i="31"/>
  <c r="Y96" i="31"/>
  <c r="T96" i="31"/>
  <c r="Q96" i="31"/>
  <c r="N96" i="31"/>
  <c r="K96" i="31"/>
  <c r="H96" i="31"/>
  <c r="A96" i="31"/>
  <c r="AV95" i="31"/>
  <c r="AN95" i="31"/>
  <c r="AD95" i="31"/>
  <c r="Y95" i="31"/>
  <c r="T95" i="31"/>
  <c r="Q95" i="31"/>
  <c r="N95" i="31"/>
  <c r="K95" i="31"/>
  <c r="H95" i="31"/>
  <c r="A95" i="31"/>
  <c r="AV94" i="31"/>
  <c r="AN94" i="31"/>
  <c r="AD94" i="31"/>
  <c r="Y94" i="31"/>
  <c r="T94" i="31"/>
  <c r="Q94" i="31"/>
  <c r="N94" i="31"/>
  <c r="K94" i="31"/>
  <c r="H94" i="31"/>
  <c r="A94" i="31"/>
  <c r="AV93" i="31"/>
  <c r="AN93" i="31"/>
  <c r="AD93" i="31"/>
  <c r="Y93" i="31"/>
  <c r="T93" i="31"/>
  <c r="Q93" i="31"/>
  <c r="N93" i="31"/>
  <c r="K93" i="31"/>
  <c r="H93" i="31"/>
  <c r="A93" i="31"/>
  <c r="AV92" i="31"/>
  <c r="AN92" i="31"/>
  <c r="AD92" i="31"/>
  <c r="Y92" i="31"/>
  <c r="T92" i="31"/>
  <c r="Q92" i="31"/>
  <c r="N92" i="31"/>
  <c r="K92" i="31"/>
  <c r="H92" i="31"/>
  <c r="A92" i="31"/>
  <c r="AV91" i="31"/>
  <c r="AN91" i="31"/>
  <c r="AD91" i="31"/>
  <c r="Y91" i="31"/>
  <c r="T91" i="31"/>
  <c r="Q91" i="31"/>
  <c r="N91" i="31"/>
  <c r="K91" i="31"/>
  <c r="H91" i="31"/>
  <c r="A91" i="31"/>
  <c r="AV90" i="31"/>
  <c r="AN90" i="31"/>
  <c r="AD90" i="31"/>
  <c r="Y90" i="31"/>
  <c r="T90" i="31"/>
  <c r="Q90" i="31"/>
  <c r="N90" i="31"/>
  <c r="K90" i="31"/>
  <c r="H90" i="31"/>
  <c r="A90" i="31"/>
  <c r="AV89" i="31"/>
  <c r="AN89" i="31"/>
  <c r="AD89" i="31"/>
  <c r="Y89" i="31"/>
  <c r="T89" i="31"/>
  <c r="Q89" i="31"/>
  <c r="N89" i="31"/>
  <c r="K89" i="31"/>
  <c r="H89" i="31"/>
  <c r="A89" i="31"/>
  <c r="AV88" i="31"/>
  <c r="AN88" i="31"/>
  <c r="AD88" i="31"/>
  <c r="Y88" i="31"/>
  <c r="T88" i="31"/>
  <c r="Q88" i="31"/>
  <c r="N88" i="31"/>
  <c r="K88" i="31"/>
  <c r="H88" i="31"/>
  <c r="A88" i="31"/>
  <c r="AV87" i="31"/>
  <c r="AN87" i="31"/>
  <c r="AD87" i="31"/>
  <c r="Y87" i="31"/>
  <c r="T87" i="31"/>
  <c r="Q87" i="31"/>
  <c r="N87" i="31"/>
  <c r="K87" i="31"/>
  <c r="H87" i="31"/>
  <c r="A87" i="31"/>
  <c r="AV86" i="31"/>
  <c r="AN86" i="31"/>
  <c r="AD86" i="31"/>
  <c r="Y86" i="31"/>
  <c r="T86" i="31"/>
  <c r="Q86" i="31"/>
  <c r="N86" i="31"/>
  <c r="K86" i="31"/>
  <c r="H86" i="31"/>
  <c r="A86" i="31"/>
  <c r="AV85" i="31"/>
  <c r="AN85" i="31"/>
  <c r="AD85" i="31"/>
  <c r="Y85" i="31"/>
  <c r="T85" i="31"/>
  <c r="Q85" i="31"/>
  <c r="N85" i="31"/>
  <c r="K85" i="31"/>
  <c r="H85" i="31"/>
  <c r="A85" i="31"/>
  <c r="AV84" i="31"/>
  <c r="AN84" i="31"/>
  <c r="AD84" i="31"/>
  <c r="Y84" i="31"/>
  <c r="T84" i="31"/>
  <c r="Q84" i="31"/>
  <c r="N84" i="31"/>
  <c r="K84" i="31"/>
  <c r="H84" i="31"/>
  <c r="A84" i="31"/>
  <c r="AV83" i="31"/>
  <c r="AN83" i="31"/>
  <c r="AD83" i="31"/>
  <c r="Y83" i="31"/>
  <c r="T83" i="31"/>
  <c r="Q83" i="31"/>
  <c r="N83" i="31"/>
  <c r="K83" i="31"/>
  <c r="H83" i="31"/>
  <c r="A83" i="31"/>
  <c r="AV82" i="31"/>
  <c r="AN82" i="31"/>
  <c r="AD82" i="31"/>
  <c r="Y82" i="31"/>
  <c r="T82" i="31"/>
  <c r="Q82" i="31"/>
  <c r="N82" i="31"/>
  <c r="K82" i="31"/>
  <c r="H82" i="31"/>
  <c r="A82" i="31"/>
  <c r="AV81" i="31"/>
  <c r="AN81" i="31"/>
  <c r="AD81" i="31"/>
  <c r="Y81" i="31"/>
  <c r="T81" i="31"/>
  <c r="Q81" i="31"/>
  <c r="N81" i="31"/>
  <c r="K81" i="31"/>
  <c r="H81" i="31"/>
  <c r="A81" i="31"/>
  <c r="AV80" i="31"/>
  <c r="AN80" i="31"/>
  <c r="AD80" i="31"/>
  <c r="Y80" i="31"/>
  <c r="T80" i="31"/>
  <c r="Q80" i="31"/>
  <c r="N80" i="31"/>
  <c r="K80" i="31"/>
  <c r="H80" i="31"/>
  <c r="A80" i="31"/>
  <c r="AV79" i="31"/>
  <c r="AN79" i="31"/>
  <c r="AD79" i="31"/>
  <c r="Y79" i="31"/>
  <c r="T79" i="31"/>
  <c r="Q79" i="31"/>
  <c r="N79" i="31"/>
  <c r="K79" i="31"/>
  <c r="H79" i="31"/>
  <c r="A79" i="31"/>
  <c r="AV78" i="31"/>
  <c r="AN78" i="31"/>
  <c r="AD78" i="31"/>
  <c r="Y78" i="31"/>
  <c r="T78" i="31"/>
  <c r="Q78" i="31"/>
  <c r="N78" i="31"/>
  <c r="K78" i="31"/>
  <c r="H78" i="31"/>
  <c r="A78" i="31"/>
  <c r="AV77" i="31"/>
  <c r="AN77" i="31"/>
  <c r="AD77" i="31"/>
  <c r="Y77" i="31"/>
  <c r="T77" i="31"/>
  <c r="Q77" i="31"/>
  <c r="N77" i="31"/>
  <c r="K77" i="31"/>
  <c r="H77" i="31"/>
  <c r="A77" i="31"/>
  <c r="AV76" i="31"/>
  <c r="AN76" i="31"/>
  <c r="AD76" i="31"/>
  <c r="Y76" i="31"/>
  <c r="T76" i="31"/>
  <c r="Q76" i="31"/>
  <c r="N76" i="31"/>
  <c r="K76" i="31"/>
  <c r="H76" i="31"/>
  <c r="AV75" i="31"/>
  <c r="AN75" i="31"/>
  <c r="AD75" i="31"/>
  <c r="T75" i="31"/>
  <c r="Q75" i="31"/>
  <c r="N75" i="31"/>
  <c r="K75" i="31"/>
  <c r="H75" i="31"/>
  <c r="AP75" i="31" s="1"/>
  <c r="AV74" i="31"/>
  <c r="AN74" i="31"/>
  <c r="AD74" i="31"/>
  <c r="T74" i="31"/>
  <c r="Q74" i="31"/>
  <c r="N74" i="31"/>
  <c r="K74" i="31"/>
  <c r="H74" i="31"/>
  <c r="AP74" i="31" s="1"/>
  <c r="AV73" i="31"/>
  <c r="AN73" i="31"/>
  <c r="AD73" i="31"/>
  <c r="T73" i="31"/>
  <c r="Q73" i="31"/>
  <c r="N73" i="31"/>
  <c r="K73" i="31"/>
  <c r="H73" i="31"/>
  <c r="AP73" i="31" s="1"/>
  <c r="AV72" i="31"/>
  <c r="AN72" i="31"/>
  <c r="AD72" i="31"/>
  <c r="T72" i="31"/>
  <c r="Q72" i="31"/>
  <c r="N72" i="31"/>
  <c r="K72" i="31"/>
  <c r="H72" i="31"/>
  <c r="AP72" i="31" s="1"/>
  <c r="AV71" i="31"/>
  <c r="AN71" i="31"/>
  <c r="AD71" i="31"/>
  <c r="T71" i="31"/>
  <c r="Q71" i="31"/>
  <c r="N71" i="31"/>
  <c r="K71" i="31"/>
  <c r="H71" i="31"/>
  <c r="AP71" i="31" s="1"/>
  <c r="AV70" i="31"/>
  <c r="AN70" i="31"/>
  <c r="AD70" i="31"/>
  <c r="T70" i="31"/>
  <c r="Q70" i="31"/>
  <c r="N70" i="31"/>
  <c r="K70" i="31"/>
  <c r="H70" i="31"/>
  <c r="AP70" i="31" s="1"/>
  <c r="AV69" i="31"/>
  <c r="AN69" i="31"/>
  <c r="AD69" i="31"/>
  <c r="T69" i="31"/>
  <c r="Q69" i="31"/>
  <c r="N69" i="31"/>
  <c r="K69" i="31"/>
  <c r="H69" i="31"/>
  <c r="AP69" i="31" s="1"/>
  <c r="AV68" i="31"/>
  <c r="AN68" i="31"/>
  <c r="AD68" i="31"/>
  <c r="T68" i="31"/>
  <c r="Q68" i="31"/>
  <c r="N68" i="31"/>
  <c r="K68" i="31"/>
  <c r="H68" i="31"/>
  <c r="AP68" i="31" s="1"/>
  <c r="AV67" i="31"/>
  <c r="AN67" i="31"/>
  <c r="AD67" i="31"/>
  <c r="T67" i="31"/>
  <c r="Q67" i="31"/>
  <c r="N67" i="31"/>
  <c r="K67" i="31"/>
  <c r="H67" i="31"/>
  <c r="AP67" i="31" s="1"/>
  <c r="AV66" i="31"/>
  <c r="AN66" i="31"/>
  <c r="AD66" i="31"/>
  <c r="T66" i="31"/>
  <c r="Q66" i="31"/>
  <c r="N66" i="31"/>
  <c r="K66" i="31"/>
  <c r="H66" i="31"/>
  <c r="AP66" i="31" s="1"/>
  <c r="AV65" i="31"/>
  <c r="AN65" i="31"/>
  <c r="AD65" i="31"/>
  <c r="T65" i="31"/>
  <c r="Q65" i="31"/>
  <c r="N65" i="31"/>
  <c r="K65" i="31"/>
  <c r="H65" i="31"/>
  <c r="AP65" i="31" s="1"/>
  <c r="AV64" i="31"/>
  <c r="AN64" i="31"/>
  <c r="AD64" i="31"/>
  <c r="T64" i="31"/>
  <c r="Q64" i="31"/>
  <c r="N64" i="31"/>
  <c r="K64" i="31"/>
  <c r="H64" i="31"/>
  <c r="AP64" i="31" s="1"/>
  <c r="AV63" i="31"/>
  <c r="AN63" i="31"/>
  <c r="AD63" i="31"/>
  <c r="T63" i="31"/>
  <c r="Q63" i="31"/>
  <c r="N63" i="31"/>
  <c r="K63" i="31"/>
  <c r="H63" i="31"/>
  <c r="AP63" i="31" s="1"/>
  <c r="AV62" i="31"/>
  <c r="AN62" i="31"/>
  <c r="AD62" i="31"/>
  <c r="T62" i="31"/>
  <c r="Q62" i="31"/>
  <c r="N62" i="31"/>
  <c r="K62" i="31"/>
  <c r="H62" i="31"/>
  <c r="AP62" i="31" s="1"/>
  <c r="AV61" i="31"/>
  <c r="AN61" i="31"/>
  <c r="AD61" i="31"/>
  <c r="T61" i="31"/>
  <c r="Q61" i="31"/>
  <c r="N61" i="31"/>
  <c r="K61" i="31"/>
  <c r="H61" i="31"/>
  <c r="AP61" i="31" s="1"/>
  <c r="AV60" i="31"/>
  <c r="AN60" i="31"/>
  <c r="AD60" i="31"/>
  <c r="T60" i="31"/>
  <c r="Q60" i="31"/>
  <c r="N60" i="31"/>
  <c r="K60" i="31"/>
  <c r="H60" i="31"/>
  <c r="AP60" i="31" s="1"/>
  <c r="AV59" i="31"/>
  <c r="AN59" i="31"/>
  <c r="AD59" i="31"/>
  <c r="T59" i="31"/>
  <c r="Q59" i="31"/>
  <c r="N59" i="31"/>
  <c r="K59" i="31"/>
  <c r="H59" i="31"/>
  <c r="AO59" i="31" s="1"/>
  <c r="AV58" i="31"/>
  <c r="AN58" i="31"/>
  <c r="AD58" i="31"/>
  <c r="T58" i="31"/>
  <c r="Q58" i="31"/>
  <c r="N58" i="31"/>
  <c r="K58" i="31"/>
  <c r="H58" i="31"/>
  <c r="AO58" i="31" s="1"/>
  <c r="AV57" i="31"/>
  <c r="AO57" i="31"/>
  <c r="AN57" i="31"/>
  <c r="AD57" i="31"/>
  <c r="T57" i="31"/>
  <c r="Q57" i="31"/>
  <c r="N57" i="31"/>
  <c r="K57" i="31"/>
  <c r="H57" i="31"/>
  <c r="AV56" i="31"/>
  <c r="AN56" i="31"/>
  <c r="AD56" i="31"/>
  <c r="T56" i="31"/>
  <c r="Q56" i="31"/>
  <c r="N56" i="31"/>
  <c r="K56" i="31"/>
  <c r="H56" i="31"/>
  <c r="AO56" i="31" s="1"/>
  <c r="AV55" i="31"/>
  <c r="AN55" i="31"/>
  <c r="AD55" i="31"/>
  <c r="T55" i="31"/>
  <c r="Q55" i="31"/>
  <c r="N55" i="31"/>
  <c r="K55" i="31"/>
  <c r="H55" i="31"/>
  <c r="AO55" i="31" s="1"/>
  <c r="AV54" i="31"/>
  <c r="AN54" i="31"/>
  <c r="AD54" i="31"/>
  <c r="T54" i="31"/>
  <c r="Q54" i="31"/>
  <c r="N54" i="31"/>
  <c r="K54" i="31"/>
  <c r="H54" i="31"/>
  <c r="AO54" i="31" s="1"/>
  <c r="AV53" i="31"/>
  <c r="AN53" i="31"/>
  <c r="AD53" i="31"/>
  <c r="T53" i="31"/>
  <c r="Q53" i="31"/>
  <c r="N53" i="31"/>
  <c r="K53" i="31"/>
  <c r="H53" i="31"/>
  <c r="AO53" i="31" s="1"/>
  <c r="AV52" i="31"/>
  <c r="AN52" i="31"/>
  <c r="AD52" i="31"/>
  <c r="T52" i="31"/>
  <c r="Q52" i="31"/>
  <c r="N52" i="31"/>
  <c r="K52" i="31"/>
  <c r="H52" i="31"/>
  <c r="AO52" i="31" s="1"/>
  <c r="AV51" i="31"/>
  <c r="AN51" i="31"/>
  <c r="AD51" i="31"/>
  <c r="T51" i="31"/>
  <c r="Q51" i="31"/>
  <c r="N51" i="31"/>
  <c r="K51" i="31"/>
  <c r="H51" i="31"/>
  <c r="AO51" i="31" s="1"/>
  <c r="AV50" i="31"/>
  <c r="AN50" i="31"/>
  <c r="AD50" i="31"/>
  <c r="T50" i="31"/>
  <c r="Q50" i="31"/>
  <c r="N50" i="31"/>
  <c r="K50" i="31"/>
  <c r="H50" i="31"/>
  <c r="AO50" i="31" s="1"/>
  <c r="AV49" i="31"/>
  <c r="AN49" i="31"/>
  <c r="AD49" i="31"/>
  <c r="T49" i="31"/>
  <c r="Q49" i="31"/>
  <c r="N49" i="31"/>
  <c r="K49" i="31"/>
  <c r="H49" i="31"/>
  <c r="AO49" i="31" s="1"/>
  <c r="AV48" i="31"/>
  <c r="AN48" i="31"/>
  <c r="AD48" i="31"/>
  <c r="T48" i="31"/>
  <c r="Q48" i="31"/>
  <c r="N48" i="31"/>
  <c r="K48" i="31"/>
  <c r="H48" i="31"/>
  <c r="AV47" i="31"/>
  <c r="AN47" i="31"/>
  <c r="AD47" i="31"/>
  <c r="T47" i="31"/>
  <c r="Q47" i="31"/>
  <c r="N47" i="31"/>
  <c r="K47" i="31"/>
  <c r="H47" i="31"/>
  <c r="AV46" i="31"/>
  <c r="AN46" i="31"/>
  <c r="AD46" i="31"/>
  <c r="T46" i="31"/>
  <c r="Q46" i="31"/>
  <c r="N46" i="31"/>
  <c r="K46" i="31"/>
  <c r="H46" i="31"/>
  <c r="AV45" i="31"/>
  <c r="AN45" i="31"/>
  <c r="AD45" i="31"/>
  <c r="T45" i="31"/>
  <c r="Q45" i="31"/>
  <c r="N45" i="31"/>
  <c r="K45" i="31"/>
  <c r="H45" i="31"/>
  <c r="AV44" i="31"/>
  <c r="AN44" i="31"/>
  <c r="AD44" i="31"/>
  <c r="T44" i="31"/>
  <c r="Q44" i="31"/>
  <c r="N44" i="31"/>
  <c r="K44" i="31"/>
  <c r="H44" i="31"/>
  <c r="AV43" i="31"/>
  <c r="AN43" i="31"/>
  <c r="AD43" i="31"/>
  <c r="T43" i="31"/>
  <c r="Q43" i="31"/>
  <c r="N43" i="31"/>
  <c r="K43" i="31"/>
  <c r="H43" i="31"/>
  <c r="AV42" i="31"/>
  <c r="AN42" i="31"/>
  <c r="AD42" i="31"/>
  <c r="T42" i="31"/>
  <c r="Q42" i="31"/>
  <c r="N42" i="31"/>
  <c r="K42" i="31"/>
  <c r="H42" i="31"/>
  <c r="AV41" i="31"/>
  <c r="AN41" i="31"/>
  <c r="AD41" i="31"/>
  <c r="T41" i="31"/>
  <c r="Q41" i="31"/>
  <c r="N41" i="31"/>
  <c r="K41" i="31"/>
  <c r="H41" i="31"/>
  <c r="AV40" i="31"/>
  <c r="AN40" i="31"/>
  <c r="AD40" i="31"/>
  <c r="T40" i="31"/>
  <c r="Q40" i="31"/>
  <c r="N40" i="31"/>
  <c r="K40" i="31"/>
  <c r="H40" i="31"/>
  <c r="AV39" i="31"/>
  <c r="AN39" i="31"/>
  <c r="AD39" i="31"/>
  <c r="T39" i="31"/>
  <c r="Q39" i="31"/>
  <c r="N39" i="31"/>
  <c r="K39" i="31"/>
  <c r="H39" i="31"/>
  <c r="AV38" i="31"/>
  <c r="AN38" i="31"/>
  <c r="AD38" i="31"/>
  <c r="T38" i="31"/>
  <c r="Q38" i="31"/>
  <c r="N38" i="31"/>
  <c r="K38" i="31"/>
  <c r="H38" i="31"/>
  <c r="AV37" i="31"/>
  <c r="AN37" i="31"/>
  <c r="AD37" i="31"/>
  <c r="T37" i="31"/>
  <c r="Q37" i="31"/>
  <c r="N37" i="31"/>
  <c r="K37" i="31"/>
  <c r="H37" i="31"/>
  <c r="AV36" i="31"/>
  <c r="AN36" i="31"/>
  <c r="AD36" i="31"/>
  <c r="T36" i="31"/>
  <c r="Q36" i="31"/>
  <c r="U36" i="31" s="1"/>
  <c r="N36" i="31"/>
  <c r="H36" i="31"/>
  <c r="AV35" i="31"/>
  <c r="AN35" i="31"/>
  <c r="AD35" i="31"/>
  <c r="T35" i="31"/>
  <c r="Q35" i="31"/>
  <c r="U35" i="31" s="1"/>
  <c r="N35" i="31"/>
  <c r="H35" i="31"/>
  <c r="AV34" i="31"/>
  <c r="AN34" i="31"/>
  <c r="AD34" i="31"/>
  <c r="T34" i="31"/>
  <c r="Q34" i="31"/>
  <c r="N34" i="31"/>
  <c r="K34" i="31"/>
  <c r="H34" i="31"/>
  <c r="AV33" i="31"/>
  <c r="AN33" i="31"/>
  <c r="AD33" i="31"/>
  <c r="T33" i="31"/>
  <c r="Q33" i="31"/>
  <c r="N33" i="31"/>
  <c r="K33" i="31"/>
  <c r="H33" i="31"/>
  <c r="AV32" i="31"/>
  <c r="AN32" i="31"/>
  <c r="AD32" i="31"/>
  <c r="T32" i="31"/>
  <c r="Q32" i="31"/>
  <c r="N32" i="31"/>
  <c r="K32" i="31"/>
  <c r="H32" i="31"/>
  <c r="AV31" i="31"/>
  <c r="AN31" i="31"/>
  <c r="AD31" i="31"/>
  <c r="T31" i="31"/>
  <c r="Q31" i="31"/>
  <c r="N31" i="31"/>
  <c r="K31" i="31"/>
  <c r="H31" i="31"/>
  <c r="AV30" i="31"/>
  <c r="AN30" i="31"/>
  <c r="AD30" i="31"/>
  <c r="T30" i="31"/>
  <c r="Q30" i="31"/>
  <c r="N30" i="31"/>
  <c r="K30" i="31"/>
  <c r="H30" i="31"/>
  <c r="AV29" i="31"/>
  <c r="AN29" i="31"/>
  <c r="AD29" i="31"/>
  <c r="T29" i="31"/>
  <c r="Q29" i="31"/>
  <c r="N29" i="31"/>
  <c r="K29" i="31"/>
  <c r="H29" i="31"/>
  <c r="AV28" i="31"/>
  <c r="AN28" i="31"/>
  <c r="AD28" i="31"/>
  <c r="T28" i="31"/>
  <c r="Q28" i="31"/>
  <c r="N28" i="31"/>
  <c r="K28" i="31"/>
  <c r="H28" i="31"/>
  <c r="AV27" i="31"/>
  <c r="AN27" i="31"/>
  <c r="AD27" i="31"/>
  <c r="T27" i="31"/>
  <c r="Q27" i="31"/>
  <c r="N27" i="31"/>
  <c r="K27" i="31"/>
  <c r="H27" i="31"/>
  <c r="AV26" i="31"/>
  <c r="AN26" i="31"/>
  <c r="AD26" i="31"/>
  <c r="T26" i="31"/>
  <c r="Q26" i="31"/>
  <c r="N26" i="31"/>
  <c r="K26" i="31"/>
  <c r="H26" i="31"/>
  <c r="AV25" i="31"/>
  <c r="AN25" i="31"/>
  <c r="AD25" i="31"/>
  <c r="T25" i="31"/>
  <c r="Q25" i="31"/>
  <c r="N25" i="31"/>
  <c r="K25" i="31"/>
  <c r="H25" i="31"/>
  <c r="AV24" i="31"/>
  <c r="AN24" i="31"/>
  <c r="AD24" i="31"/>
  <c r="T24" i="31"/>
  <c r="Q24" i="31"/>
  <c r="N24" i="31"/>
  <c r="K24" i="31"/>
  <c r="H24" i="31"/>
  <c r="AV23" i="31"/>
  <c r="AN23" i="31"/>
  <c r="AD23" i="31"/>
  <c r="T23" i="31"/>
  <c r="Q23" i="31"/>
  <c r="N23" i="31"/>
  <c r="K23" i="31"/>
  <c r="H23" i="31"/>
  <c r="AV22" i="31"/>
  <c r="AN22" i="31"/>
  <c r="AD22" i="31"/>
  <c r="T22" i="31"/>
  <c r="Q22" i="31"/>
  <c r="N22" i="31"/>
  <c r="K22" i="31"/>
  <c r="H22" i="31"/>
  <c r="AV21" i="31"/>
  <c r="AN21" i="31"/>
  <c r="AD21" i="31"/>
  <c r="T21" i="31"/>
  <c r="Q21" i="31"/>
  <c r="N21" i="31"/>
  <c r="K21" i="31"/>
  <c r="H21" i="31"/>
  <c r="AV20" i="31"/>
  <c r="AN20" i="31"/>
  <c r="AD20" i="31"/>
  <c r="T20" i="31"/>
  <c r="Q20" i="31"/>
  <c r="N20" i="31"/>
  <c r="K20" i="31"/>
  <c r="H20" i="31"/>
  <c r="AV19" i="31"/>
  <c r="AN19" i="31"/>
  <c r="AD19" i="31"/>
  <c r="T19" i="31"/>
  <c r="Q19" i="31"/>
  <c r="N19" i="31"/>
  <c r="K19" i="31"/>
  <c r="H19" i="31"/>
  <c r="AV18" i="31"/>
  <c r="AN18" i="31"/>
  <c r="AD18" i="31"/>
  <c r="T18" i="31"/>
  <c r="Q18" i="31"/>
  <c r="N18" i="31"/>
  <c r="K18" i="31"/>
  <c r="H18" i="31"/>
  <c r="AV17" i="31"/>
  <c r="AP17" i="31"/>
  <c r="AN17" i="31"/>
  <c r="AD17" i="31"/>
  <c r="T17" i="31"/>
  <c r="Q17" i="31"/>
  <c r="N17" i="31"/>
  <c r="K17" i="31"/>
  <c r="H17" i="31"/>
  <c r="AV16" i="31"/>
  <c r="AN16" i="31"/>
  <c r="AD16" i="31"/>
  <c r="T16" i="31"/>
  <c r="Q16" i="31"/>
  <c r="N16" i="31"/>
  <c r="K16" i="31"/>
  <c r="H16" i="31"/>
  <c r="AV15" i="31"/>
  <c r="AP15" i="31"/>
  <c r="AN15" i="31"/>
  <c r="AD15" i="31"/>
  <c r="T15" i="31"/>
  <c r="Q15" i="31"/>
  <c r="N15" i="31"/>
  <c r="K15" i="31"/>
  <c r="H15" i="31"/>
  <c r="AV14" i="31"/>
  <c r="AP14" i="31"/>
  <c r="AN14" i="31"/>
  <c r="AD14" i="31"/>
  <c r="T14" i="31"/>
  <c r="Q14" i="31"/>
  <c r="N14" i="31"/>
  <c r="K14" i="31"/>
  <c r="H14" i="31"/>
  <c r="AV13" i="31"/>
  <c r="AN13" i="31"/>
  <c r="AD13" i="31"/>
  <c r="T13" i="31"/>
  <c r="Q13" i="31"/>
  <c r="N13" i="31"/>
  <c r="K13" i="31"/>
  <c r="H13" i="31"/>
  <c r="AV12" i="31"/>
  <c r="AN12" i="31"/>
  <c r="AD12" i="31"/>
  <c r="T12" i="31"/>
  <c r="Q12" i="31"/>
  <c r="N12" i="31"/>
  <c r="K12" i="31"/>
  <c r="H12" i="31"/>
  <c r="AV11" i="31"/>
  <c r="AN11" i="31"/>
  <c r="AD11" i="31"/>
  <c r="T11" i="31"/>
  <c r="Q11" i="31"/>
  <c r="N11" i="31"/>
  <c r="K11" i="31"/>
  <c r="H11" i="31"/>
  <c r="AV10" i="31"/>
  <c r="AP10" i="31"/>
  <c r="AN10" i="31"/>
  <c r="AD10" i="31"/>
  <c r="T10" i="31"/>
  <c r="Q10" i="31"/>
  <c r="N10" i="31"/>
  <c r="K10" i="31"/>
  <c r="H10" i="31"/>
  <c r="AV9" i="31"/>
  <c r="AN9" i="31"/>
  <c r="AD9" i="31"/>
  <c r="Y9" i="31"/>
  <c r="T9" i="31"/>
  <c r="Q9" i="31"/>
  <c r="N9" i="31"/>
  <c r="K9" i="31"/>
  <c r="H9" i="31"/>
  <c r="AV8" i="31"/>
  <c r="AN8" i="31"/>
  <c r="AD8" i="31"/>
  <c r="T8" i="31"/>
  <c r="Q8" i="31"/>
  <c r="N8" i="31"/>
  <c r="K8" i="31"/>
  <c r="H8" i="31"/>
  <c r="AV7" i="31"/>
  <c r="AN7" i="31"/>
  <c r="Y7" i="31"/>
  <c r="T7" i="31"/>
  <c r="Q7" i="31"/>
  <c r="N7" i="31"/>
  <c r="K7" i="31"/>
  <c r="H7" i="31"/>
  <c r="C7" i="31"/>
  <c r="AT7" i="31" s="1"/>
  <c r="A7" i="31"/>
  <c r="AV6" i="31"/>
  <c r="AN6" i="31"/>
  <c r="Y6" i="31"/>
  <c r="T6" i="31"/>
  <c r="Q6" i="31"/>
  <c r="N6" i="31"/>
  <c r="K6" i="31"/>
  <c r="H6" i="31"/>
  <c r="C6" i="31"/>
  <c r="C8" i="31" s="1"/>
  <c r="A6" i="31"/>
  <c r="AV5" i="31"/>
  <c r="AN5" i="31"/>
  <c r="Y5" i="31"/>
  <c r="T5" i="31"/>
  <c r="Q5" i="31"/>
  <c r="N5" i="31"/>
  <c r="K5" i="31"/>
  <c r="H5" i="31"/>
  <c r="C5" i="31"/>
  <c r="AU5" i="31" s="1"/>
  <c r="A5" i="31"/>
  <c r="AV4" i="31"/>
  <c r="AN4" i="31"/>
  <c r="Y4" i="31"/>
  <c r="T4" i="31"/>
  <c r="Q4" i="31"/>
  <c r="N4" i="31"/>
  <c r="K4" i="31"/>
  <c r="H4" i="31"/>
  <c r="C4" i="31"/>
  <c r="AT4" i="31" s="1"/>
  <c r="A4" i="31"/>
  <c r="G1" i="11" a="1"/>
  <c r="G1" i="11" s="1"/>
  <c r="AJ53" i="4"/>
  <c r="H2" i="4" a="1"/>
  <c r="H2" i="4" s="1"/>
  <c r="U55" i="31" l="1"/>
  <c r="U78" i="31"/>
  <c r="U102" i="31"/>
  <c r="U126" i="31"/>
  <c r="U162" i="31"/>
  <c r="U174" i="31"/>
  <c r="U186" i="31"/>
  <c r="U138" i="31"/>
  <c r="U49" i="31"/>
  <c r="U53" i="31"/>
  <c r="U57" i="31"/>
  <c r="V62" i="31"/>
  <c r="V66" i="31"/>
  <c r="V8" i="31"/>
  <c r="U17" i="31"/>
  <c r="V37" i="31"/>
  <c r="V41" i="31"/>
  <c r="U45" i="31"/>
  <c r="U90" i="31"/>
  <c r="U111" i="31"/>
  <c r="U123" i="31"/>
  <c r="U135" i="31"/>
  <c r="V136" i="31"/>
  <c r="U114" i="31"/>
  <c r="U159" i="31"/>
  <c r="U171" i="31"/>
  <c r="U31" i="31"/>
  <c r="V71" i="31"/>
  <c r="V76" i="31"/>
  <c r="U99" i="31"/>
  <c r="V112" i="31"/>
  <c r="V124" i="31"/>
  <c r="U87" i="31"/>
  <c r="V88" i="31"/>
  <c r="V100" i="31"/>
  <c r="U147" i="31"/>
  <c r="V148" i="31"/>
  <c r="V160" i="31"/>
  <c r="V172" i="31"/>
  <c r="U183" i="31"/>
  <c r="U5" i="31"/>
  <c r="U19" i="31"/>
  <c r="U150" i="31"/>
  <c r="U67" i="31"/>
  <c r="U13" i="31"/>
  <c r="U18" i="31"/>
  <c r="U22" i="31"/>
  <c r="U26" i="31"/>
  <c r="U34" i="31"/>
  <c r="V46" i="31"/>
  <c r="V50" i="31"/>
  <c r="V54" i="31"/>
  <c r="U58" i="31"/>
  <c r="V184" i="31"/>
  <c r="U30" i="31"/>
  <c r="U70" i="31"/>
  <c r="V75" i="31"/>
  <c r="U85" i="31"/>
  <c r="V86" i="31"/>
  <c r="U97" i="31"/>
  <c r="V98" i="31"/>
  <c r="U109" i="31"/>
  <c r="V110" i="31"/>
  <c r="U121" i="31"/>
  <c r="V122" i="31"/>
  <c r="U133" i="31"/>
  <c r="V134" i="31"/>
  <c r="V45" i="31"/>
  <c r="V49" i="31"/>
  <c r="V53" i="31"/>
  <c r="V57" i="31"/>
  <c r="V70" i="31"/>
  <c r="U74" i="31"/>
  <c r="U84" i="31"/>
  <c r="V85" i="31"/>
  <c r="U96" i="31"/>
  <c r="U108" i="31"/>
  <c r="V109" i="31"/>
  <c r="U120" i="31"/>
  <c r="U132" i="31"/>
  <c r="V133" i="31"/>
  <c r="U144" i="31"/>
  <c r="V145" i="31"/>
  <c r="U156" i="31"/>
  <c r="V157" i="31"/>
  <c r="U168" i="31"/>
  <c r="V169" i="31"/>
  <c r="U180" i="31"/>
  <c r="V181" i="31"/>
  <c r="U7" i="31"/>
  <c r="V6" i="31"/>
  <c r="U11" i="31"/>
  <c r="V16" i="31"/>
  <c r="U20" i="31"/>
  <c r="U24" i="31"/>
  <c r="U28" i="31"/>
  <c r="U32" i="31"/>
  <c r="V44" i="31"/>
  <c r="V48" i="31"/>
  <c r="V52" i="31"/>
  <c r="V73" i="31"/>
  <c r="U81" i="31"/>
  <c r="V82" i="31"/>
  <c r="U93" i="31"/>
  <c r="U105" i="31"/>
  <c r="V106" i="31"/>
  <c r="U117" i="31"/>
  <c r="U129" i="31"/>
  <c r="V130" i="31"/>
  <c r="V9" i="31"/>
  <c r="V38" i="31"/>
  <c r="V42" i="31"/>
  <c r="U46" i="31"/>
  <c r="U50" i="31"/>
  <c r="U54" i="31"/>
  <c r="V59" i="31"/>
  <c r="V63" i="31"/>
  <c r="V67" i="31"/>
  <c r="U71" i="31"/>
  <c r="U76" i="31"/>
  <c r="V77" i="31"/>
  <c r="U88" i="31"/>
  <c r="V89" i="31"/>
  <c r="U100" i="31"/>
  <c r="V101" i="31"/>
  <c r="U112" i="31"/>
  <c r="V113" i="31"/>
  <c r="U124" i="31"/>
  <c r="V125" i="31"/>
  <c r="U136" i="31"/>
  <c r="V137" i="31"/>
  <c r="U148" i="31"/>
  <c r="V149" i="31"/>
  <c r="U160" i="31"/>
  <c r="V161" i="31"/>
  <c r="U172" i="31"/>
  <c r="V173" i="31"/>
  <c r="U184" i="31"/>
  <c r="V185" i="31"/>
  <c r="U145" i="31"/>
  <c r="V146" i="31"/>
  <c r="U157" i="31"/>
  <c r="V158" i="31"/>
  <c r="U169" i="31"/>
  <c r="V170" i="31"/>
  <c r="U181" i="31"/>
  <c r="V182" i="31"/>
  <c r="U66" i="31"/>
  <c r="V97" i="31"/>
  <c r="V135" i="31"/>
  <c r="V147" i="31"/>
  <c r="V159" i="31"/>
  <c r="V171" i="31"/>
  <c r="V183" i="31"/>
  <c r="V56" i="31"/>
  <c r="V94" i="31"/>
  <c r="V118" i="31"/>
  <c r="U141" i="31"/>
  <c r="V142" i="31"/>
  <c r="U153" i="31"/>
  <c r="V154" i="31"/>
  <c r="U165" i="31"/>
  <c r="V166" i="31"/>
  <c r="U177" i="31"/>
  <c r="V178" i="31"/>
  <c r="V5" i="31"/>
  <c r="V20" i="31"/>
  <c r="V32" i="31"/>
  <c r="U39" i="31"/>
  <c r="U60" i="31"/>
  <c r="U64" i="31"/>
  <c r="U68" i="31"/>
  <c r="U80" i="31"/>
  <c r="V81" i="31"/>
  <c r="U92" i="31"/>
  <c r="V93" i="31"/>
  <c r="U104" i="31"/>
  <c r="V105" i="31"/>
  <c r="U116" i="31"/>
  <c r="V117" i="31"/>
  <c r="U128" i="31"/>
  <c r="V129" i="31"/>
  <c r="U140" i="31"/>
  <c r="V141" i="31"/>
  <c r="U152" i="31"/>
  <c r="V153" i="31"/>
  <c r="U164" i="31"/>
  <c r="V165" i="31"/>
  <c r="U176" i="31"/>
  <c r="V177" i="31"/>
  <c r="U188" i="31"/>
  <c r="U4" i="31"/>
  <c r="V11" i="31"/>
  <c r="U15" i="31"/>
  <c r="V24" i="31"/>
  <c r="V28" i="31"/>
  <c r="V39" i="31"/>
  <c r="U43" i="31"/>
  <c r="U47" i="31"/>
  <c r="U51" i="31"/>
  <c r="V60" i="31"/>
  <c r="V64" i="31"/>
  <c r="V68" i="31"/>
  <c r="U79" i="31"/>
  <c r="V80" i="31"/>
  <c r="U91" i="31"/>
  <c r="V92" i="31"/>
  <c r="U103" i="31"/>
  <c r="U115" i="31"/>
  <c r="U127" i="31"/>
  <c r="U139" i="31"/>
  <c r="V140" i="31"/>
  <c r="U151" i="31"/>
  <c r="V152" i="31"/>
  <c r="U163" i="31"/>
  <c r="V164" i="31"/>
  <c r="U175" i="31"/>
  <c r="V176" i="31"/>
  <c r="U187" i="31"/>
  <c r="V188" i="31"/>
  <c r="U8" i="31"/>
  <c r="V13" i="31"/>
  <c r="V18" i="31"/>
  <c r="V22" i="31"/>
  <c r="V26" i="31"/>
  <c r="V30" i="31"/>
  <c r="V34" i="31"/>
  <c r="U37" i="31"/>
  <c r="U41" i="31"/>
  <c r="V58" i="31"/>
  <c r="U62" i="31"/>
  <c r="U75" i="31"/>
  <c r="U86" i="31"/>
  <c r="V87" i="31"/>
  <c r="U98" i="31"/>
  <c r="V99" i="31"/>
  <c r="U110" i="31"/>
  <c r="V111" i="31"/>
  <c r="U122" i="31"/>
  <c r="V123" i="31"/>
  <c r="U134" i="31"/>
  <c r="U146" i="31"/>
  <c r="U158" i="31"/>
  <c r="U170" i="31"/>
  <c r="U182" i="31"/>
  <c r="U33" i="31"/>
  <c r="V121" i="31"/>
  <c r="U12" i="31"/>
  <c r="V17" i="31"/>
  <c r="U21" i="31"/>
  <c r="U25" i="31"/>
  <c r="U29" i="31"/>
  <c r="V12" i="31"/>
  <c r="V21" i="31"/>
  <c r="V25" i="31"/>
  <c r="V29" i="31"/>
  <c r="V33" i="31"/>
  <c r="U40" i="31"/>
  <c r="U61" i="31"/>
  <c r="U65" i="31"/>
  <c r="U69" i="31"/>
  <c r="V74" i="31"/>
  <c r="U83" i="31"/>
  <c r="V84" i="31"/>
  <c r="U95" i="31"/>
  <c r="V96" i="31"/>
  <c r="U107" i="31"/>
  <c r="V108" i="31"/>
  <c r="U119" i="31"/>
  <c r="V120" i="31"/>
  <c r="U131" i="31"/>
  <c r="V132" i="31"/>
  <c r="U143" i="31"/>
  <c r="V144" i="31"/>
  <c r="U155" i="31"/>
  <c r="V156" i="31"/>
  <c r="U167" i="31"/>
  <c r="V168" i="31"/>
  <c r="U179" i="31"/>
  <c r="V180" i="31"/>
  <c r="U6" i="31"/>
  <c r="V7" i="31"/>
  <c r="U16" i="31"/>
  <c r="V36" i="31"/>
  <c r="V40" i="31"/>
  <c r="U44" i="31"/>
  <c r="U48" i="31"/>
  <c r="U52" i="31"/>
  <c r="U56" i="31"/>
  <c r="V61" i="31"/>
  <c r="V65" i="31"/>
  <c r="V69" i="31"/>
  <c r="U73" i="31"/>
  <c r="U82" i="31"/>
  <c r="V83" i="31"/>
  <c r="U94" i="31"/>
  <c r="V95" i="31"/>
  <c r="U106" i="31"/>
  <c r="V107" i="31"/>
  <c r="U118" i="31"/>
  <c r="V119" i="31"/>
  <c r="U130" i="31"/>
  <c r="V131" i="31"/>
  <c r="U142" i="31"/>
  <c r="V143" i="31"/>
  <c r="U154" i="31"/>
  <c r="V155" i="31"/>
  <c r="U166" i="31"/>
  <c r="V167" i="31"/>
  <c r="U178" i="31"/>
  <c r="V179" i="31"/>
  <c r="V4" i="31"/>
  <c r="U10" i="31"/>
  <c r="V15" i="31"/>
  <c r="U72" i="31"/>
  <c r="V104" i="31"/>
  <c r="V116" i="31"/>
  <c r="V128" i="31"/>
  <c r="V10" i="31"/>
  <c r="U14" i="31"/>
  <c r="U23" i="31"/>
  <c r="U27" i="31"/>
  <c r="V35" i="31"/>
  <c r="V43" i="31"/>
  <c r="V47" i="31"/>
  <c r="V51" i="31"/>
  <c r="V55" i="31"/>
  <c r="V72" i="31"/>
  <c r="V79" i="31"/>
  <c r="V91" i="31"/>
  <c r="V103" i="31"/>
  <c r="V115" i="31"/>
  <c r="V127" i="31"/>
  <c r="V139" i="31"/>
  <c r="V151" i="31"/>
  <c r="V163" i="31"/>
  <c r="V175" i="31"/>
  <c r="V187" i="31"/>
  <c r="U9" i="31"/>
  <c r="V14" i="31"/>
  <c r="V19" i="31"/>
  <c r="V23" i="31"/>
  <c r="V27" i="31"/>
  <c r="V31" i="31"/>
  <c r="U38" i="31"/>
  <c r="U42" i="31"/>
  <c r="U59" i="31"/>
  <c r="U63" i="31"/>
  <c r="U77" i="31"/>
  <c r="V78" i="31"/>
  <c r="U89" i="31"/>
  <c r="V90" i="31"/>
  <c r="U101" i="31"/>
  <c r="V102" i="31"/>
  <c r="U113" i="31"/>
  <c r="V114" i="31"/>
  <c r="U125" i="31"/>
  <c r="V126" i="31"/>
  <c r="U137" i="31"/>
  <c r="V138" i="31"/>
  <c r="U149" i="31"/>
  <c r="V150" i="31"/>
  <c r="U161" i="31"/>
  <c r="V162" i="31"/>
  <c r="U173" i="31"/>
  <c r="V174" i="31"/>
  <c r="U185" i="31"/>
  <c r="V186" i="31"/>
  <c r="W33" i="31"/>
  <c r="W130" i="31"/>
  <c r="X91" i="31"/>
  <c r="X96" i="31"/>
  <c r="AQ127" i="31"/>
  <c r="AQ187" i="31"/>
  <c r="X43" i="31"/>
  <c r="Y43" i="31" s="1"/>
  <c r="X44" i="31"/>
  <c r="Y44" i="31" s="1"/>
  <c r="AQ44" i="31" s="1"/>
  <c r="W14" i="31"/>
  <c r="W35" i="31"/>
  <c r="AU7" i="31"/>
  <c r="W54" i="31"/>
  <c r="X158" i="31"/>
  <c r="X167" i="31"/>
  <c r="X179" i="31"/>
  <c r="X59" i="31"/>
  <c r="Y59" i="31" s="1"/>
  <c r="AQ59" i="31" s="1"/>
  <c r="X97" i="31"/>
  <c r="AQ101" i="31"/>
  <c r="X60" i="31"/>
  <c r="Y60" i="31" s="1"/>
  <c r="AQ60" i="31" s="1"/>
  <c r="AQ100" i="31"/>
  <c r="X141" i="31"/>
  <c r="W94" i="31"/>
  <c r="W7" i="31"/>
  <c r="X4" i="31"/>
  <c r="AQ181" i="31"/>
  <c r="W73" i="31"/>
  <c r="AQ156" i="31"/>
  <c r="W29" i="31"/>
  <c r="W44" i="31"/>
  <c r="W103" i="31"/>
  <c r="X28" i="31"/>
  <c r="Y28" i="31" s="1"/>
  <c r="AQ28" i="31" s="1"/>
  <c r="X66" i="31"/>
  <c r="Y66" i="31" s="1"/>
  <c r="AQ66" i="31" s="1"/>
  <c r="W100" i="31"/>
  <c r="W102" i="31"/>
  <c r="W10" i="31"/>
  <c r="X18" i="31"/>
  <c r="Y18" i="31" s="1"/>
  <c r="AQ18" i="31" s="1"/>
  <c r="W88" i="31"/>
  <c r="W113" i="31"/>
  <c r="W4" i="31"/>
  <c r="X12" i="31"/>
  <c r="Y12" i="31" s="1"/>
  <c r="X84" i="31"/>
  <c r="W101" i="31"/>
  <c r="AQ119" i="31"/>
  <c r="X124" i="31"/>
  <c r="W141" i="31"/>
  <c r="X155" i="31"/>
  <c r="W156" i="31"/>
  <c r="X166" i="31"/>
  <c r="X178" i="31"/>
  <c r="AQ185" i="31"/>
  <c r="X7" i="31"/>
  <c r="X51" i="31"/>
  <c r="Y51" i="31" s="1"/>
  <c r="AQ109" i="31"/>
  <c r="W110" i="31"/>
  <c r="X136" i="31"/>
  <c r="X165" i="31"/>
  <c r="X177" i="31"/>
  <c r="AQ85" i="31"/>
  <c r="AQ104" i="31"/>
  <c r="W109" i="31"/>
  <c r="X122" i="31"/>
  <c r="X134" i="31"/>
  <c r="AQ144" i="31"/>
  <c r="X153" i="31"/>
  <c r="X164" i="31"/>
  <c r="X176" i="31"/>
  <c r="X188" i="31"/>
  <c r="X30" i="31"/>
  <c r="Y30" i="31" s="1"/>
  <c r="AQ30" i="31" s="1"/>
  <c r="AQ103" i="31"/>
  <c r="AQ115" i="31"/>
  <c r="AQ157" i="31"/>
  <c r="W163" i="31"/>
  <c r="AQ174" i="31"/>
  <c r="W175" i="31"/>
  <c r="W187" i="31"/>
  <c r="X79" i="31"/>
  <c r="AQ97" i="31"/>
  <c r="X107" i="31"/>
  <c r="X33" i="31"/>
  <c r="Y33" i="31" s="1"/>
  <c r="X40" i="31"/>
  <c r="Y40" i="31" s="1"/>
  <c r="AQ40" i="31" s="1"/>
  <c r="X45" i="31"/>
  <c r="Y45" i="31" s="1"/>
  <c r="AQ45" i="31" s="1"/>
  <c r="W66" i="31"/>
  <c r="X106" i="31"/>
  <c r="X119" i="31"/>
  <c r="AQ141" i="31"/>
  <c r="X149" i="31"/>
  <c r="X173" i="31"/>
  <c r="X185" i="31"/>
  <c r="X36" i="31"/>
  <c r="Y36" i="31" s="1"/>
  <c r="AQ36" i="31" s="1"/>
  <c r="AQ117" i="31"/>
  <c r="X118" i="31"/>
  <c r="AQ125" i="31"/>
  <c r="W134" i="31"/>
  <c r="X148" i="31"/>
  <c r="X172" i="31"/>
  <c r="AQ179" i="31"/>
  <c r="X184" i="31"/>
  <c r="X54" i="31"/>
  <c r="Y54" i="31" s="1"/>
  <c r="W60" i="31"/>
  <c r="X104" i="31"/>
  <c r="AQ111" i="31"/>
  <c r="X129" i="31"/>
  <c r="AQ137" i="31"/>
  <c r="X171" i="31"/>
  <c r="X183" i="31"/>
  <c r="W24" i="31"/>
  <c r="W15" i="31"/>
  <c r="AP57" i="31"/>
  <c r="X90" i="31"/>
  <c r="AQ91" i="31"/>
  <c r="W115" i="31"/>
  <c r="X128" i="31"/>
  <c r="X147" i="31"/>
  <c r="AQ149" i="31"/>
  <c r="X170" i="31"/>
  <c r="X182" i="31"/>
  <c r="X14" i="31"/>
  <c r="Y14" i="31" s="1"/>
  <c r="AQ14" i="31" s="1"/>
  <c r="W31" i="31"/>
  <c r="X63" i="31"/>
  <c r="Y63" i="31" s="1"/>
  <c r="X88" i="31"/>
  <c r="X114" i="31"/>
  <c r="W146" i="31"/>
  <c r="X159" i="31"/>
  <c r="AQ168" i="31"/>
  <c r="W169" i="31"/>
  <c r="AQ180" i="31"/>
  <c r="W181" i="31"/>
  <c r="W19" i="31"/>
  <c r="W131" i="31"/>
  <c r="X85" i="31"/>
  <c r="X127" i="31"/>
  <c r="X175" i="31"/>
  <c r="AQ186" i="31"/>
  <c r="X17" i="31"/>
  <c r="Y17" i="31" s="1"/>
  <c r="X80" i="31"/>
  <c r="X82" i="31"/>
  <c r="AQ153" i="31"/>
  <c r="AQ161" i="31"/>
  <c r="X163" i="31"/>
  <c r="X169" i="31"/>
  <c r="X181" i="31"/>
  <c r="W39" i="31"/>
  <c r="X46" i="31"/>
  <c r="Y46" i="31" s="1"/>
  <c r="AQ46" i="31" s="1"/>
  <c r="X76" i="31"/>
  <c r="AQ94" i="31"/>
  <c r="X102" i="31"/>
  <c r="X103" i="31"/>
  <c r="X113" i="31"/>
  <c r="X115" i="31"/>
  <c r="W128" i="31"/>
  <c r="AQ134" i="31"/>
  <c r="W176" i="31"/>
  <c r="X187" i="31"/>
  <c r="AQ7" i="31"/>
  <c r="W11" i="31"/>
  <c r="W18" i="31"/>
  <c r="X21" i="31"/>
  <c r="Y21" i="31" s="1"/>
  <c r="X22" i="31"/>
  <c r="Y22" i="31" s="1"/>
  <c r="X25" i="31"/>
  <c r="Y25" i="31" s="1"/>
  <c r="X31" i="31"/>
  <c r="Y31" i="31" s="1"/>
  <c r="AQ31" i="31" s="1"/>
  <c r="X39" i="31"/>
  <c r="Y39" i="31" s="1"/>
  <c r="AQ39" i="31" s="1"/>
  <c r="W43" i="31"/>
  <c r="X73" i="31"/>
  <c r="Y73" i="31" s="1"/>
  <c r="AQ73" i="31" s="1"/>
  <c r="X77" i="31"/>
  <c r="W79" i="31"/>
  <c r="X100" i="31"/>
  <c r="W119" i="31"/>
  <c r="W122" i="31"/>
  <c r="W124" i="31"/>
  <c r="X156" i="31"/>
  <c r="W164" i="31"/>
  <c r="W170" i="31"/>
  <c r="W177" i="31"/>
  <c r="W178" i="31"/>
  <c r="X16" i="31"/>
  <c r="Y16" i="31" s="1"/>
  <c r="AQ16" i="31" s="1"/>
  <c r="W45" i="31"/>
  <c r="X53" i="31"/>
  <c r="Y53" i="31" s="1"/>
  <c r="AQ88" i="31"/>
  <c r="X101" i="31"/>
  <c r="W106" i="31"/>
  <c r="W107" i="31"/>
  <c r="X109" i="31"/>
  <c r="AQ131" i="31"/>
  <c r="W145" i="31"/>
  <c r="W165" i="31"/>
  <c r="W166" i="31"/>
  <c r="W171" i="31"/>
  <c r="W172" i="31"/>
  <c r="W182" i="31"/>
  <c r="W183" i="31"/>
  <c r="W184" i="31"/>
  <c r="X10" i="31"/>
  <c r="Y10" i="31" s="1"/>
  <c r="AQ10" i="31" s="1"/>
  <c r="X11" i="31"/>
  <c r="Y11" i="31" s="1"/>
  <c r="AQ11" i="31" s="1"/>
  <c r="W5" i="31"/>
  <c r="X6" i="31"/>
  <c r="X29" i="31"/>
  <c r="Y29" i="31" s="1"/>
  <c r="AQ29" i="31" s="1"/>
  <c r="X42" i="31"/>
  <c r="Y42" i="31" s="1"/>
  <c r="AQ42" i="31" s="1"/>
  <c r="X65" i="31"/>
  <c r="Y65" i="31" s="1"/>
  <c r="X74" i="31"/>
  <c r="Y74" i="31" s="1"/>
  <c r="AQ74" i="31" s="1"/>
  <c r="AQ78" i="31"/>
  <c r="AQ82" i="31"/>
  <c r="W96" i="31"/>
  <c r="X98" i="31"/>
  <c r="X110" i="31"/>
  <c r="AQ112" i="31"/>
  <c r="X145" i="31"/>
  <c r="W148" i="31"/>
  <c r="X152" i="31"/>
  <c r="W188" i="31"/>
  <c r="X9" i="31"/>
  <c r="X20" i="31"/>
  <c r="Y20" i="31" s="1"/>
  <c r="AQ20" i="31" s="1"/>
  <c r="X24" i="31"/>
  <c r="Y24" i="31" s="1"/>
  <c r="W28" i="31"/>
  <c r="X34" i="31"/>
  <c r="Y34" i="31" s="1"/>
  <c r="AQ34" i="31" s="1"/>
  <c r="W59" i="31"/>
  <c r="X94" i="31"/>
  <c r="W95" i="31"/>
  <c r="AQ128" i="31"/>
  <c r="AQ175" i="31"/>
  <c r="X47" i="31"/>
  <c r="Y47" i="31" s="1"/>
  <c r="AQ47" i="31" s="1"/>
  <c r="X52" i="31"/>
  <c r="Y52" i="31" s="1"/>
  <c r="W90" i="31"/>
  <c r="X95" i="31"/>
  <c r="AQ105" i="31"/>
  <c r="AQ116" i="31"/>
  <c r="W133" i="31"/>
  <c r="X135" i="31"/>
  <c r="W137" i="31"/>
  <c r="X146" i="31"/>
  <c r="W158" i="31"/>
  <c r="AQ163" i="31"/>
  <c r="AQ169" i="31"/>
  <c r="X15" i="31"/>
  <c r="Y15" i="31" s="1"/>
  <c r="W20" i="31"/>
  <c r="X37" i="31"/>
  <c r="Y37" i="31" s="1"/>
  <c r="X41" i="31"/>
  <c r="Y41" i="31" s="1"/>
  <c r="X58" i="31"/>
  <c r="Y58" i="31" s="1"/>
  <c r="X64" i="31"/>
  <c r="Y64" i="31" s="1"/>
  <c r="AQ64" i="31" s="1"/>
  <c r="AQ77" i="31"/>
  <c r="W84" i="31"/>
  <c r="W89" i="31"/>
  <c r="AQ106" i="31"/>
  <c r="AQ122" i="31"/>
  <c r="X133" i="31"/>
  <c r="W147" i="31"/>
  <c r="W153" i="31"/>
  <c r="X8" i="31"/>
  <c r="Y8" i="31" s="1"/>
  <c r="W13" i="31"/>
  <c r="X19" i="31"/>
  <c r="Y19" i="31" s="1"/>
  <c r="AQ19" i="31" s="1"/>
  <c r="X23" i="31"/>
  <c r="Y23" i="31" s="1"/>
  <c r="X89" i="31"/>
  <c r="AQ107" i="31"/>
  <c r="AQ110" i="31"/>
  <c r="X130" i="31"/>
  <c r="AQ143" i="31"/>
  <c r="AU8" i="31"/>
  <c r="AT8" i="31"/>
  <c r="C10" i="31"/>
  <c r="AU4" i="31"/>
  <c r="X5" i="31"/>
  <c r="C9" i="31"/>
  <c r="AQ9" i="31"/>
  <c r="X13" i="31"/>
  <c r="Y13" i="31" s="1"/>
  <c r="AQ76" i="31"/>
  <c r="X48" i="31"/>
  <c r="Y48" i="31" s="1"/>
  <c r="AQ48" i="31" s="1"/>
  <c r="W48" i="31"/>
  <c r="W82" i="31"/>
  <c r="AQ6" i="31"/>
  <c r="AQ80" i="31"/>
  <c r="W8" i="31"/>
  <c r="W16" i="31"/>
  <c r="W30" i="31"/>
  <c r="X35" i="31"/>
  <c r="Y35" i="31" s="1"/>
  <c r="W46" i="31"/>
  <c r="W47" i="31"/>
  <c r="X61" i="31"/>
  <c r="Y61" i="31" s="1"/>
  <c r="AQ61" i="31" s="1"/>
  <c r="W61" i="31"/>
  <c r="X70" i="31"/>
  <c r="Y70" i="31" s="1"/>
  <c r="AQ70" i="31" s="1"/>
  <c r="W70" i="31"/>
  <c r="AQ5" i="31"/>
  <c r="AQ4" i="31"/>
  <c r="W17" i="31"/>
  <c r="W25" i="31"/>
  <c r="W34" i="31"/>
  <c r="X69" i="31"/>
  <c r="Y69" i="31" s="1"/>
  <c r="AQ69" i="31" s="1"/>
  <c r="W69" i="31"/>
  <c r="W9" i="31"/>
  <c r="W21" i="31"/>
  <c r="W32" i="31"/>
  <c r="X67" i="31"/>
  <c r="Y67" i="31" s="1"/>
  <c r="AQ67" i="31" s="1"/>
  <c r="W67" i="31"/>
  <c r="X68" i="31"/>
  <c r="Y68" i="31" s="1"/>
  <c r="AQ68" i="31" s="1"/>
  <c r="W68" i="31"/>
  <c r="X71" i="31"/>
  <c r="Y71" i="31" s="1"/>
  <c r="AQ71" i="31" s="1"/>
  <c r="W71" i="31"/>
  <c r="W72" i="31"/>
  <c r="X49" i="31"/>
  <c r="Y49" i="31" s="1"/>
  <c r="W49" i="31"/>
  <c r="X55" i="31"/>
  <c r="Y55" i="31" s="1"/>
  <c r="W55" i="31"/>
  <c r="W78" i="31"/>
  <c r="X78" i="31"/>
  <c r="X27" i="31"/>
  <c r="Y27" i="31" s="1"/>
  <c r="W27" i="31"/>
  <c r="X62" i="31"/>
  <c r="Y62" i="31" s="1"/>
  <c r="W62" i="31"/>
  <c r="X26" i="31"/>
  <c r="Y26" i="31" s="1"/>
  <c r="X32" i="31"/>
  <c r="Y32" i="31" s="1"/>
  <c r="X108" i="31"/>
  <c r="W108" i="31"/>
  <c r="X56" i="31"/>
  <c r="Y56" i="31" s="1"/>
  <c r="AQ56" i="31" s="1"/>
  <c r="W56" i="31"/>
  <c r="AT6" i="31"/>
  <c r="X38" i="31"/>
  <c r="Y38" i="31" s="1"/>
  <c r="W38" i="31"/>
  <c r="W81" i="31"/>
  <c r="X81" i="31"/>
  <c r="X116" i="31"/>
  <c r="W116" i="31"/>
  <c r="W12" i="31"/>
  <c r="W22" i="31"/>
  <c r="W23" i="31"/>
  <c r="AQ133" i="31"/>
  <c r="AT5" i="31"/>
  <c r="W6" i="31"/>
  <c r="AU6" i="31"/>
  <c r="W37" i="31"/>
  <c r="X50" i="31"/>
  <c r="Y50" i="31" s="1"/>
  <c r="W50" i="31"/>
  <c r="X57" i="31"/>
  <c r="Y57" i="31" s="1"/>
  <c r="W57" i="31"/>
  <c r="AQ95" i="31"/>
  <c r="AQ89" i="31"/>
  <c r="W97" i="31"/>
  <c r="W98" i="31"/>
  <c r="X99" i="31"/>
  <c r="W99" i="31"/>
  <c r="AQ114" i="31"/>
  <c r="AQ130" i="31"/>
  <c r="W77" i="31"/>
  <c r="W85" i="31"/>
  <c r="X86" i="31"/>
  <c r="W86" i="31"/>
  <c r="X87" i="31"/>
  <c r="W87" i="31"/>
  <c r="W91" i="31"/>
  <c r="X92" i="31"/>
  <c r="W92" i="31"/>
  <c r="X93" i="31"/>
  <c r="W93" i="31"/>
  <c r="X120" i="31"/>
  <c r="W120" i="31"/>
  <c r="AQ136" i="31"/>
  <c r="AQ139" i="31"/>
  <c r="W51" i="31"/>
  <c r="W63" i="31"/>
  <c r="X75" i="31"/>
  <c r="Y75" i="31" s="1"/>
  <c r="AQ75" i="31" s="1"/>
  <c r="AQ79" i="31"/>
  <c r="W83" i="31"/>
  <c r="W40" i="31"/>
  <c r="AQ81" i="31"/>
  <c r="X83" i="31"/>
  <c r="X112" i="31"/>
  <c r="W112" i="31"/>
  <c r="AQ118" i="31"/>
  <c r="W41" i="31"/>
  <c r="W52" i="31"/>
  <c r="W58" i="31"/>
  <c r="W64" i="31"/>
  <c r="AQ99" i="31"/>
  <c r="W26" i="31"/>
  <c r="W42" i="31"/>
  <c r="W76" i="31"/>
  <c r="AQ87" i="31"/>
  <c r="AQ93" i="31"/>
  <c r="AQ121" i="31"/>
  <c r="W53" i="31"/>
  <c r="W65" i="31"/>
  <c r="X72" i="31"/>
  <c r="Y72" i="31" s="1"/>
  <c r="AQ72" i="31" s="1"/>
  <c r="W74" i="31"/>
  <c r="W75" i="31"/>
  <c r="W80" i="31"/>
  <c r="X125" i="31"/>
  <c r="W125" i="31"/>
  <c r="AQ83" i="31"/>
  <c r="X144" i="31"/>
  <c r="AQ159" i="31"/>
  <c r="AQ147" i="31"/>
  <c r="AQ155" i="31"/>
  <c r="AQ123" i="31"/>
  <c r="AQ164" i="31"/>
  <c r="X131" i="31"/>
  <c r="X137" i="31"/>
  <c r="AQ170" i="31"/>
  <c r="AQ84" i="31"/>
  <c r="AQ90" i="31"/>
  <c r="AQ96" i="31"/>
  <c r="X111" i="31"/>
  <c r="AQ120" i="31"/>
  <c r="X132" i="31"/>
  <c r="W132" i="31"/>
  <c r="X138" i="31"/>
  <c r="W138" i="31"/>
  <c r="X151" i="31"/>
  <c r="AQ176" i="31"/>
  <c r="X105" i="31"/>
  <c r="W105" i="31"/>
  <c r="W121" i="31"/>
  <c r="X126" i="31"/>
  <c r="W126" i="31"/>
  <c r="AQ129" i="31"/>
  <c r="AQ108" i="31"/>
  <c r="AQ113" i="31"/>
  <c r="AQ140" i="31"/>
  <c r="X142" i="31"/>
  <c r="W142" i="31"/>
  <c r="X160" i="31"/>
  <c r="W160" i="31"/>
  <c r="AQ182" i="31"/>
  <c r="AQ135" i="31"/>
  <c r="AQ151" i="31"/>
  <c r="X154" i="31"/>
  <c r="W154" i="31"/>
  <c r="AQ162" i="31"/>
  <c r="AQ86" i="31"/>
  <c r="AQ92" i="31"/>
  <c r="AQ98" i="31"/>
  <c r="AQ124" i="31"/>
  <c r="AQ150" i="31"/>
  <c r="AQ188" i="31"/>
  <c r="W104" i="31"/>
  <c r="W118" i="31"/>
  <c r="X121" i="31"/>
  <c r="X123" i="31"/>
  <c r="W136" i="31"/>
  <c r="AQ152" i="31"/>
  <c r="AQ102" i="31"/>
  <c r="W114" i="31"/>
  <c r="X117" i="31"/>
  <c r="AQ126" i="31"/>
  <c r="W127" i="31"/>
  <c r="X140" i="31"/>
  <c r="W139" i="31"/>
  <c r="W143" i="31"/>
  <c r="AQ148" i="31"/>
  <c r="X150" i="31"/>
  <c r="X162" i="31"/>
  <c r="W162" i="31"/>
  <c r="W149" i="31"/>
  <c r="X168" i="31"/>
  <c r="W168" i="31"/>
  <c r="X174" i="31"/>
  <c r="W174" i="31"/>
  <c r="AQ146" i="31"/>
  <c r="W157" i="31"/>
  <c r="X180" i="31"/>
  <c r="W180" i="31"/>
  <c r="X186" i="31"/>
  <c r="W186" i="31"/>
  <c r="X139" i="31"/>
  <c r="W140" i="31"/>
  <c r="X143" i="31"/>
  <c r="W144" i="31"/>
  <c r="W150" i="31"/>
  <c r="X157" i="31"/>
  <c r="AQ158" i="31"/>
  <c r="AQ154" i="31"/>
  <c r="X161" i="31"/>
  <c r="W161" i="31"/>
  <c r="W111" i="31"/>
  <c r="W117" i="31"/>
  <c r="W123" i="31"/>
  <c r="W129" i="31"/>
  <c r="AQ132" i="31"/>
  <c r="W135" i="31"/>
  <c r="AQ138" i="31"/>
  <c r="AQ142" i="31"/>
  <c r="AQ145" i="31"/>
  <c r="W152" i="31"/>
  <c r="W155" i="31"/>
  <c r="W159" i="31"/>
  <c r="W151" i="31"/>
  <c r="W167" i="31"/>
  <c r="W173" i="31"/>
  <c r="W179" i="31"/>
  <c r="W185" i="31"/>
  <c r="AQ165" i="31"/>
  <c r="AQ171" i="31"/>
  <c r="AQ177" i="31"/>
  <c r="AQ183" i="31"/>
  <c r="AQ160" i="31"/>
  <c r="AQ166" i="31"/>
  <c r="AQ172" i="31"/>
  <c r="AQ178" i="31"/>
  <c r="AQ184" i="31"/>
  <c r="AQ167" i="31"/>
  <c r="AQ173" i="31"/>
  <c r="AQ59" i="11"/>
  <c r="AR103" i="2"/>
  <c r="AQ12" i="31" l="1"/>
  <c r="AQ17" i="31"/>
  <c r="AQ57" i="31"/>
  <c r="AQ33" i="31"/>
  <c r="AQ23" i="31"/>
  <c r="AQ53" i="31"/>
  <c r="AQ63" i="31"/>
  <c r="AQ54" i="31"/>
  <c r="AQ8" i="31"/>
  <c r="AS9" i="31" s="1"/>
  <c r="AQ25" i="31"/>
  <c r="AQ22" i="31"/>
  <c r="AQ58" i="31"/>
  <c r="AQ43" i="31"/>
  <c r="AQ52" i="31"/>
  <c r="AQ41" i="31"/>
  <c r="AQ51" i="31"/>
  <c r="AQ37" i="31"/>
  <c r="AQ13" i="31"/>
  <c r="AQ24" i="31"/>
  <c r="AQ21" i="31"/>
  <c r="AQ38" i="31"/>
  <c r="AQ49" i="31"/>
  <c r="AQ27" i="31"/>
  <c r="AQ35" i="31"/>
  <c r="AQ15" i="31"/>
  <c r="AQ65" i="31"/>
  <c r="AQ55" i="31"/>
  <c r="AQ62" i="31"/>
  <c r="AS4" i="31"/>
  <c r="AQ26" i="31"/>
  <c r="AU9" i="31"/>
  <c r="AT9" i="31"/>
  <c r="C11" i="31"/>
  <c r="AS5" i="31"/>
  <c r="AS7" i="31"/>
  <c r="AS6" i="31"/>
  <c r="AQ32" i="31"/>
  <c r="AU10" i="31"/>
  <c r="AT10" i="31"/>
  <c r="C12" i="31"/>
  <c r="AQ50" i="31"/>
  <c r="AS10" i="31" l="1"/>
  <c r="AS11" i="31"/>
  <c r="AS12" i="31"/>
  <c r="AS14" i="31"/>
  <c r="AS13" i="31"/>
  <c r="AS8" i="31"/>
  <c r="AS15" i="31"/>
  <c r="AS25" i="31"/>
  <c r="AS27" i="31"/>
  <c r="AS26" i="31"/>
  <c r="AS19" i="31"/>
  <c r="AS82" i="31"/>
  <c r="AS40" i="31"/>
  <c r="AS181" i="31"/>
  <c r="AS43" i="31"/>
  <c r="AS135" i="31"/>
  <c r="AS179" i="31"/>
  <c r="AS17" i="31"/>
  <c r="AS42" i="31"/>
  <c r="AS16" i="31"/>
  <c r="AS159" i="31"/>
  <c r="AS29" i="31"/>
  <c r="AS20" i="31"/>
  <c r="AS175" i="31"/>
  <c r="AS18" i="31"/>
  <c r="AS30" i="31"/>
  <c r="AS24" i="31"/>
  <c r="AS21" i="31"/>
  <c r="AS31" i="31"/>
  <c r="AS35" i="31"/>
  <c r="AS23" i="31"/>
  <c r="AS45" i="31"/>
  <c r="AS83" i="31"/>
  <c r="AS125" i="31"/>
  <c r="AS28" i="31"/>
  <c r="AS47" i="31"/>
  <c r="AS48" i="31"/>
  <c r="AS108" i="31"/>
  <c r="AS171" i="31"/>
  <c r="AS22" i="31"/>
  <c r="AS92" i="31"/>
  <c r="AS53" i="31"/>
  <c r="AS88" i="31"/>
  <c r="AS147" i="31"/>
  <c r="AS165" i="31"/>
  <c r="AS57" i="31"/>
  <c r="AS65" i="31"/>
  <c r="AS60" i="31"/>
  <c r="AS93" i="31"/>
  <c r="AS94" i="31"/>
  <c r="AS95" i="31"/>
  <c r="AS120" i="31"/>
  <c r="AS139" i="31"/>
  <c r="AS161" i="31"/>
  <c r="AS137" i="31"/>
  <c r="AS187" i="31"/>
  <c r="AS89" i="31"/>
  <c r="AS34" i="31"/>
  <c r="AS63" i="31"/>
  <c r="AS73" i="31"/>
  <c r="AS66" i="31"/>
  <c r="AS99" i="31"/>
  <c r="AS100" i="31"/>
  <c r="AS118" i="31"/>
  <c r="AS129" i="31"/>
  <c r="AS143" i="31"/>
  <c r="AS156" i="31"/>
  <c r="AS167" i="31"/>
  <c r="AS146" i="31"/>
  <c r="AS177" i="31"/>
  <c r="AS37" i="31"/>
  <c r="AS61" i="31"/>
  <c r="AS80" i="31"/>
  <c r="AS79" i="31"/>
  <c r="AS72" i="31"/>
  <c r="AS111" i="31"/>
  <c r="AS101" i="31"/>
  <c r="AS121" i="31"/>
  <c r="AS140" i="31"/>
  <c r="AS150" i="31"/>
  <c r="AS124" i="31"/>
  <c r="AS173" i="31"/>
  <c r="AS152" i="31"/>
  <c r="AS183" i="31"/>
  <c r="AS54" i="31"/>
  <c r="AS109" i="31"/>
  <c r="AS33" i="31"/>
  <c r="AS98" i="31"/>
  <c r="AS132" i="31"/>
  <c r="AS102" i="31"/>
  <c r="AS123" i="31"/>
  <c r="AS85" i="31"/>
  <c r="AS149" i="31"/>
  <c r="AS130" i="31"/>
  <c r="AS162" i="31"/>
  <c r="AS158" i="31"/>
  <c r="AS166" i="31"/>
  <c r="AS51" i="31"/>
  <c r="AS87" i="31"/>
  <c r="AS127" i="31"/>
  <c r="AS131" i="31"/>
  <c r="AS69" i="31"/>
  <c r="C14" i="31"/>
  <c r="AU12" i="31"/>
  <c r="AT12" i="31"/>
  <c r="AS36" i="31"/>
  <c r="AS49" i="31"/>
  <c r="AS38" i="31"/>
  <c r="AS41" i="31"/>
  <c r="AS44" i="31"/>
  <c r="AS32" i="31"/>
  <c r="AS138" i="31"/>
  <c r="AS142" i="31"/>
  <c r="AS133" i="31"/>
  <c r="AS91" i="31"/>
  <c r="AS110" i="31"/>
  <c r="AS136" i="31"/>
  <c r="AS168" i="31"/>
  <c r="AS164" i="31"/>
  <c r="AS172" i="31"/>
  <c r="AS151" i="31"/>
  <c r="AS154" i="31"/>
  <c r="AS174" i="31"/>
  <c r="AS70" i="31"/>
  <c r="AS56" i="31"/>
  <c r="AS62" i="31"/>
  <c r="AS52" i="31"/>
  <c r="AS59" i="31"/>
  <c r="AS67" i="31"/>
  <c r="AS115" i="31"/>
  <c r="AS103" i="31"/>
  <c r="AS84" i="31"/>
  <c r="AS144" i="31"/>
  <c r="AS122" i="31"/>
  <c r="AS155" i="31"/>
  <c r="AS180" i="31"/>
  <c r="AS176" i="31"/>
  <c r="AS184" i="31"/>
  <c r="AS55" i="31"/>
  <c r="AS97" i="31"/>
  <c r="AS170" i="31"/>
  <c r="AS71" i="31"/>
  <c r="AS77" i="31"/>
  <c r="AS58" i="31"/>
  <c r="AS68" i="31"/>
  <c r="AS126" i="31"/>
  <c r="AS105" i="31"/>
  <c r="AS90" i="31"/>
  <c r="AS145" i="31"/>
  <c r="AS128" i="31"/>
  <c r="AS107" i="31"/>
  <c r="AS186" i="31"/>
  <c r="AS182" i="31"/>
  <c r="AS157" i="31"/>
  <c r="AS39" i="31"/>
  <c r="AS64" i="31"/>
  <c r="AS78" i="31"/>
  <c r="AS160" i="31"/>
  <c r="AS106" i="31"/>
  <c r="AS96" i="31"/>
  <c r="AS185" i="31"/>
  <c r="AS134" i="31"/>
  <c r="AS113" i="31"/>
  <c r="AS163" i="31"/>
  <c r="AS188" i="31"/>
  <c r="AT11" i="31"/>
  <c r="C13" i="31"/>
  <c r="AU11" i="31"/>
  <c r="AS50" i="31"/>
  <c r="AS141" i="31"/>
  <c r="AS104" i="31"/>
  <c r="AS116" i="31"/>
  <c r="AS178" i="31"/>
  <c r="AS81" i="31"/>
  <c r="AS112" i="31"/>
  <c r="AS75" i="31"/>
  <c r="AS46" i="31"/>
  <c r="AS86" i="31"/>
  <c r="AS76" i="31"/>
  <c r="AS114" i="31"/>
  <c r="AS117" i="31"/>
  <c r="AS74" i="31"/>
  <c r="AS148" i="31"/>
  <c r="AS119" i="31"/>
  <c r="AS169" i="31"/>
  <c r="AS153" i="31"/>
  <c r="AE28" i="13"/>
  <c r="AE29" i="13"/>
  <c r="AE27" i="13"/>
  <c r="AE26" i="13"/>
  <c r="AM245" i="4"/>
  <c r="AP245" i="4" s="1"/>
  <c r="AM246" i="4"/>
  <c r="AP246" i="4" s="1"/>
  <c r="AM247" i="4"/>
  <c r="AP247" i="4" s="1"/>
  <c r="AM248" i="4"/>
  <c r="AP248" i="4" s="1"/>
  <c r="AM249" i="4"/>
  <c r="AP249" i="4" s="1"/>
  <c r="AM250" i="4"/>
  <c r="AP250" i="4" s="1"/>
  <c r="AM251" i="4"/>
  <c r="AP251" i="4" s="1"/>
  <c r="AM252" i="4"/>
  <c r="AP252" i="4" s="1"/>
  <c r="AM253" i="4"/>
  <c r="AP253" i="4" s="1"/>
  <c r="AM254" i="4"/>
  <c r="AP254" i="4" s="1"/>
  <c r="AM255" i="4"/>
  <c r="AP255" i="4" s="1"/>
  <c r="AM256" i="4"/>
  <c r="AP256" i="4" s="1"/>
  <c r="AM257" i="4"/>
  <c r="AP257" i="4" s="1"/>
  <c r="AM258" i="4"/>
  <c r="AP258" i="4" s="1"/>
  <c r="AM259" i="4"/>
  <c r="AP259" i="4" s="1"/>
  <c r="AM260" i="4"/>
  <c r="AP260" i="4" s="1"/>
  <c r="AM261" i="4"/>
  <c r="AP261" i="4" s="1"/>
  <c r="AM262" i="4"/>
  <c r="AP262" i="4" s="1"/>
  <c r="AJ49" i="4"/>
  <c r="AJ50" i="4"/>
  <c r="AJ51" i="4"/>
  <c r="AJ52" i="4"/>
  <c r="AJ54" i="4"/>
  <c r="AJ55" i="4"/>
  <c r="AP69" i="11"/>
  <c r="C72"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113" i="2"/>
  <c r="J112" i="2"/>
  <c r="AR112" i="2" s="1"/>
  <c r="E123" i="18"/>
  <c r="G49" i="18"/>
  <c r="G51" i="18"/>
  <c r="C15" i="31" l="1"/>
  <c r="AT13" i="31"/>
  <c r="AU13" i="31"/>
  <c r="C16" i="31"/>
  <c r="AU14" i="31"/>
  <c r="AT14" i="31"/>
  <c r="AJ29" i="4"/>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6" i="2"/>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54" i="11"/>
  <c r="AD55" i="11"/>
  <c r="AD56" i="11"/>
  <c r="AD57" i="11"/>
  <c r="AD58" i="11"/>
  <c r="AD59" i="11"/>
  <c r="AD60" i="11"/>
  <c r="AD61" i="11"/>
  <c r="AD62" i="11"/>
  <c r="AD63" i="11"/>
  <c r="AD64" i="11"/>
  <c r="AD65" i="11"/>
  <c r="AD66" i="11"/>
  <c r="AD67" i="11"/>
  <c r="AD68" i="11"/>
  <c r="AD69" i="11"/>
  <c r="AD70" i="11"/>
  <c r="AD71" i="11"/>
  <c r="AD72" i="11"/>
  <c r="AD73" i="11"/>
  <c r="AD74" i="11"/>
  <c r="AD75" i="11"/>
  <c r="AD76" i="11"/>
  <c r="AD77" i="11"/>
  <c r="AD78" i="11"/>
  <c r="AD79" i="11"/>
  <c r="AD80" i="11"/>
  <c r="AD81" i="11"/>
  <c r="AD82" i="11"/>
  <c r="AD83" i="11"/>
  <c r="AD84" i="11"/>
  <c r="AD85" i="11"/>
  <c r="AD86" i="11"/>
  <c r="AD87" i="11"/>
  <c r="AD88" i="11"/>
  <c r="AD89" i="11"/>
  <c r="AD90" i="11"/>
  <c r="AD91" i="11"/>
  <c r="AD92" i="11"/>
  <c r="AD93" i="11"/>
  <c r="AD94" i="11"/>
  <c r="AD95" i="11"/>
  <c r="AD96" i="11"/>
  <c r="AD97" i="11"/>
  <c r="AD98" i="11"/>
  <c r="AD99" i="11"/>
  <c r="AD100" i="11"/>
  <c r="AD101" i="11"/>
  <c r="AD102" i="11"/>
  <c r="AD103" i="11"/>
  <c r="AD104" i="11"/>
  <c r="AD105" i="11"/>
  <c r="AD106" i="11"/>
  <c r="AD107" i="11"/>
  <c r="AD108" i="11"/>
  <c r="AD109" i="11"/>
  <c r="AD110" i="11"/>
  <c r="AD111" i="11"/>
  <c r="AD112" i="11"/>
  <c r="AD113" i="11"/>
  <c r="AD114" i="11"/>
  <c r="AD115" i="11"/>
  <c r="AD116" i="11"/>
  <c r="AD117" i="11"/>
  <c r="AD118" i="11"/>
  <c r="AD119" i="11"/>
  <c r="AD120" i="11"/>
  <c r="AD121" i="11"/>
  <c r="AD122" i="11"/>
  <c r="AD123" i="11"/>
  <c r="AD124" i="11"/>
  <c r="AD125" i="11"/>
  <c r="AD126" i="11"/>
  <c r="AD127" i="11"/>
  <c r="AD128" i="11"/>
  <c r="AD129" i="11"/>
  <c r="AD130" i="11"/>
  <c r="AD131" i="11"/>
  <c r="AD132" i="11"/>
  <c r="AD133" i="11"/>
  <c r="AD134" i="11"/>
  <c r="AD135" i="11"/>
  <c r="AD136" i="11"/>
  <c r="AD137" i="11"/>
  <c r="AD138" i="11"/>
  <c r="AD139" i="11"/>
  <c r="AD140" i="11"/>
  <c r="AD141" i="11"/>
  <c r="AD142" i="11"/>
  <c r="AD143" i="11"/>
  <c r="AD144" i="11"/>
  <c r="AD145" i="11"/>
  <c r="AD146" i="11"/>
  <c r="AD147" i="11"/>
  <c r="AD148" i="11"/>
  <c r="AD149" i="11"/>
  <c r="AD150" i="11"/>
  <c r="AD151" i="11"/>
  <c r="AD152" i="11"/>
  <c r="AD153" i="11"/>
  <c r="AD154" i="11"/>
  <c r="AD155" i="11"/>
  <c r="AD156" i="11"/>
  <c r="AD157" i="11"/>
  <c r="AD158" i="11"/>
  <c r="AD159" i="11"/>
  <c r="AD160" i="11"/>
  <c r="AD161" i="11"/>
  <c r="AD162" i="11"/>
  <c r="AD163" i="11"/>
  <c r="AD164" i="11"/>
  <c r="AD165" i="11"/>
  <c r="AD166" i="11"/>
  <c r="AD167" i="11"/>
  <c r="AD168" i="11"/>
  <c r="AD169" i="11"/>
  <c r="AD170" i="11"/>
  <c r="AD171" i="11"/>
  <c r="AD172" i="11"/>
  <c r="AD173" i="11"/>
  <c r="AD174" i="11"/>
  <c r="AD175" i="11"/>
  <c r="AD176" i="11"/>
  <c r="AD177" i="11"/>
  <c r="AD178" i="11"/>
  <c r="AD179" i="11"/>
  <c r="AD180" i="11"/>
  <c r="AD181" i="11"/>
  <c r="AD182" i="11"/>
  <c r="AD183" i="11"/>
  <c r="AD184" i="11"/>
  <c r="AD185" i="11"/>
  <c r="AD186" i="11"/>
  <c r="AD187" i="11"/>
  <c r="AD188" i="11"/>
  <c r="AD189" i="11"/>
  <c r="AD190" i="11"/>
  <c r="AD191" i="11"/>
  <c r="AD192" i="11"/>
  <c r="AD193" i="11"/>
  <c r="AD194" i="11"/>
  <c r="AD195" i="11"/>
  <c r="AD196" i="11"/>
  <c r="AD197" i="11"/>
  <c r="AD198" i="11"/>
  <c r="AD199" i="11"/>
  <c r="AD200" i="11"/>
  <c r="AD201" i="11"/>
  <c r="AD202" i="11"/>
  <c r="AD203" i="11"/>
  <c r="AD204" i="11"/>
  <c r="AD205" i="11"/>
  <c r="AD206" i="11"/>
  <c r="AD207" i="11"/>
  <c r="AD208" i="11"/>
  <c r="AD209" i="11"/>
  <c r="AD210" i="11"/>
  <c r="AD211" i="11"/>
  <c r="AD212" i="11"/>
  <c r="AD213" i="11"/>
  <c r="AD214" i="11"/>
  <c r="AD215" i="11"/>
  <c r="AD216" i="11"/>
  <c r="AD217" i="11"/>
  <c r="AD218" i="11"/>
  <c r="AD219" i="11"/>
  <c r="AD220" i="11"/>
  <c r="AD221" i="11"/>
  <c r="AD222" i="11"/>
  <c r="AD223" i="11"/>
  <c r="AD224" i="11"/>
  <c r="AD225" i="11"/>
  <c r="AD226" i="11"/>
  <c r="AD227" i="11"/>
  <c r="AD228" i="11"/>
  <c r="AD229" i="11"/>
  <c r="AD230" i="11"/>
  <c r="AD231" i="11"/>
  <c r="AD232" i="11"/>
  <c r="AD233" i="11"/>
  <c r="AD234" i="11"/>
  <c r="AD235" i="11"/>
  <c r="AD236" i="11"/>
  <c r="AD237" i="11"/>
  <c r="AD238" i="11"/>
  <c r="AD239" i="11"/>
  <c r="AD240" i="11"/>
  <c r="AD241" i="11"/>
  <c r="AD242" i="11"/>
  <c r="AD10" i="11"/>
  <c r="AP52" i="11"/>
  <c r="AP62" i="11"/>
  <c r="AP55" i="11"/>
  <c r="K79" i="18"/>
  <c r="K74" i="18"/>
  <c r="K73" i="18"/>
  <c r="G80" i="18"/>
  <c r="G79" i="18" a="1"/>
  <c r="G79" i="18" s="1"/>
  <c r="C84" i="18"/>
  <c r="D84" i="18"/>
  <c r="B84" i="18"/>
  <c r="CR24" i="7"/>
  <c r="CR66" i="7"/>
  <c r="CR67" i="7"/>
  <c r="CR26" i="7"/>
  <c r="CP8" i="7"/>
  <c r="CP66" i="7"/>
  <c r="CP67" i="7"/>
  <c r="B96" i="18"/>
  <c r="E76" i="18"/>
  <c r="E77" i="18"/>
  <c r="E78" i="18"/>
  <c r="E79" i="18"/>
  <c r="F94" i="18"/>
  <c r="G94" i="18"/>
  <c r="F92" i="18"/>
  <c r="G92" i="18"/>
  <c r="F93" i="18"/>
  <c r="G93" i="18"/>
  <c r="F90" i="18"/>
  <c r="G90" i="18"/>
  <c r="F91" i="18"/>
  <c r="G91" i="18"/>
  <c r="C88" i="18"/>
  <c r="G89" i="18"/>
  <c r="F89" i="18"/>
  <c r="C89" i="18" s="1"/>
  <c r="C18" i="31" l="1"/>
  <c r="AU16" i="31"/>
  <c r="AT16" i="31"/>
  <c r="C17" i="31"/>
  <c r="AU15" i="31"/>
  <c r="AT15" i="31"/>
  <c r="C91" i="18"/>
  <c r="C90" i="18"/>
  <c r="C93" i="18"/>
  <c r="C92" i="18"/>
  <c r="C94" i="18"/>
  <c r="H79" i="18"/>
  <c r="C96" i="18"/>
  <c r="AD1" i="11" a="1"/>
  <c r="AD1" i="11" s="1"/>
  <c r="J6" i="11"/>
  <c r="M6" i="11"/>
  <c r="P6" i="11"/>
  <c r="S6" i="11"/>
  <c r="V6" i="11"/>
  <c r="J7" i="11"/>
  <c r="M7" i="11"/>
  <c r="P7" i="11"/>
  <c r="S7" i="11"/>
  <c r="V7" i="11"/>
  <c r="Y6" i="11"/>
  <c r="AN6" i="11"/>
  <c r="AP6" i="11"/>
  <c r="BF6" i="11"/>
  <c r="Y7" i="11"/>
  <c r="AN7" i="11"/>
  <c r="AP7" i="11"/>
  <c r="BF7" i="11"/>
  <c r="C6" i="11"/>
  <c r="C7" i="11"/>
  <c r="D7" i="11"/>
  <c r="BC7" i="11" s="1"/>
  <c r="D6" i="11"/>
  <c r="BC6" i="11" s="1"/>
  <c r="AW13" i="14"/>
  <c r="AI15" i="14"/>
  <c r="AH15" i="14"/>
  <c r="AW7" i="14"/>
  <c r="AW8" i="14"/>
  <c r="AW9" i="14"/>
  <c r="AW10" i="14"/>
  <c r="AW11" i="14"/>
  <c r="AW12" i="14"/>
  <c r="AW14" i="14"/>
  <c r="AW16" i="14"/>
  <c r="AW17" i="14"/>
  <c r="AW18" i="14"/>
  <c r="AW19" i="14"/>
  <c r="AW20" i="14"/>
  <c r="AW21" i="14"/>
  <c r="AW22" i="14"/>
  <c r="AW23" i="14"/>
  <c r="AW24" i="14"/>
  <c r="AW25" i="14"/>
  <c r="AW26" i="14"/>
  <c r="AW27" i="14"/>
  <c r="AW28" i="14"/>
  <c r="AW29" i="14"/>
  <c r="AW30" i="14"/>
  <c r="AW31" i="14"/>
  <c r="AW32" i="14"/>
  <c r="AW6" i="14"/>
  <c r="AD27" i="14"/>
  <c r="AD31" i="14"/>
  <c r="AD32" i="14"/>
  <c r="W28" i="14"/>
  <c r="AD28" i="14" s="1"/>
  <c r="W29" i="14"/>
  <c r="AD29" i="14" s="1"/>
  <c r="W30" i="14"/>
  <c r="AD30" i="14" s="1"/>
  <c r="I31" i="14"/>
  <c r="I32" i="14"/>
  <c r="E74" i="18"/>
  <c r="E75" i="18"/>
  <c r="E82" i="18"/>
  <c r="I31" i="13"/>
  <c r="I32" i="13"/>
  <c r="I33" i="13"/>
  <c r="M8" i="14"/>
  <c r="M11" i="14"/>
  <c r="AU7" i="11" l="1"/>
  <c r="AS6" i="11"/>
  <c r="AU17" i="31"/>
  <c r="AT17" i="31"/>
  <c r="C19" i="31"/>
  <c r="AU18" i="31"/>
  <c r="AT18" i="31"/>
  <c r="C20" i="31"/>
  <c r="AW15" i="14"/>
  <c r="E84" i="18"/>
  <c r="G84" i="18"/>
  <c r="F80" i="18"/>
  <c r="D96" i="18"/>
  <c r="C85" i="18"/>
  <c r="AS7" i="11"/>
  <c r="AU6" i="11"/>
  <c r="BH7" i="11"/>
  <c r="BH6" i="11"/>
  <c r="W7" i="11"/>
  <c r="X6" i="11"/>
  <c r="F82" i="18"/>
  <c r="X7" i="11"/>
  <c r="W6" i="11"/>
  <c r="AU19" i="31" l="1"/>
  <c r="AT19" i="31"/>
  <c r="C21" i="31"/>
  <c r="C22" i="31"/>
  <c r="AT20" i="31"/>
  <c r="AU20" i="31"/>
  <c r="H80" i="18"/>
  <c r="F84" i="18"/>
  <c r="C24" i="31" l="1"/>
  <c r="AU22" i="31"/>
  <c r="AT22" i="31"/>
  <c r="AU21" i="31"/>
  <c r="AT21" i="31"/>
  <c r="C23" i="31"/>
  <c r="J81" i="18"/>
  <c r="K81" i="18" s="1"/>
  <c r="J80" i="18"/>
  <c r="K80" i="18" s="1"/>
  <c r="AU23" i="31" l="1"/>
  <c r="C25" i="31"/>
  <c r="AT23" i="31"/>
  <c r="AU24" i="31"/>
  <c r="AT24" i="31"/>
  <c r="C26" i="31"/>
  <c r="G50" i="18"/>
  <c r="G48" i="18"/>
  <c r="G53" i="18"/>
  <c r="G52" i="18"/>
  <c r="K81" i="7"/>
  <c r="K88" i="7"/>
  <c r="K89" i="7"/>
  <c r="AT26" i="31" l="1"/>
  <c r="C28" i="31"/>
  <c r="AU26" i="31"/>
  <c r="AU25" i="31"/>
  <c r="AT25" i="31"/>
  <c r="C27" i="31"/>
  <c r="G56" i="18"/>
  <c r="K87" i="7"/>
  <c r="K86" i="7"/>
  <c r="K85" i="7"/>
  <c r="K84" i="7"/>
  <c r="K83" i="7"/>
  <c r="K82" i="7"/>
  <c r="K80" i="7"/>
  <c r="K79" i="7"/>
  <c r="C30" i="31" l="1"/>
  <c r="AU28" i="31"/>
  <c r="AT28" i="31"/>
  <c r="AT27" i="31"/>
  <c r="C29" i="31"/>
  <c r="AU27" i="31"/>
  <c r="C34" i="18"/>
  <c r="AR107" i="2"/>
  <c r="D26" i="18"/>
  <c r="C55" i="18" s="1"/>
  <c r="E55" i="18" s="1"/>
  <c r="I26" i="18"/>
  <c r="J26" i="18"/>
  <c r="K26" i="18"/>
  <c r="C49" i="18"/>
  <c r="BH26" i="7"/>
  <c r="BO26" i="7"/>
  <c r="BV26" i="7"/>
  <c r="CC26" i="7"/>
  <c r="CJ26" i="7"/>
  <c r="CQ26" i="7"/>
  <c r="AJ47" i="4"/>
  <c r="AJ48" i="4"/>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J106" i="2"/>
  <c r="K47" i="4"/>
  <c r="AL47" i="4" s="1"/>
  <c r="K48" i="4"/>
  <c r="AL48" i="4" s="1"/>
  <c r="K49" i="4"/>
  <c r="AL49" i="4" s="1"/>
  <c r="K50" i="4"/>
  <c r="K51" i="4"/>
  <c r="K52" i="4"/>
  <c r="AL52" i="4" s="1"/>
  <c r="K53" i="4"/>
  <c r="AL53" i="4" s="1"/>
  <c r="K54" i="4"/>
  <c r="K55" i="4"/>
  <c r="K56" i="4"/>
  <c r="K57" i="4"/>
  <c r="AL57" i="4" s="1"/>
  <c r="K58" i="4"/>
  <c r="K59" i="4"/>
  <c r="AL60" i="4"/>
  <c r="AL61" i="4"/>
  <c r="AL62" i="4"/>
  <c r="AL63" i="4"/>
  <c r="AL64" i="4"/>
  <c r="AL65" i="4"/>
  <c r="AL66" i="4"/>
  <c r="AL68" i="4"/>
  <c r="AL69" i="4"/>
  <c r="AL70" i="4"/>
  <c r="AL71" i="4"/>
  <c r="AL72" i="4"/>
  <c r="AL73" i="4"/>
  <c r="AL74" i="4"/>
  <c r="AL75" i="4"/>
  <c r="AL76" i="4"/>
  <c r="AL77" i="4"/>
  <c r="AL78" i="4"/>
  <c r="AL79" i="4"/>
  <c r="AL80" i="4"/>
  <c r="AL81" i="4"/>
  <c r="AL82" i="4"/>
  <c r="AL83" i="4"/>
  <c r="AL84" i="4"/>
  <c r="AL85" i="4"/>
  <c r="AL86" i="4"/>
  <c r="AL107" i="4"/>
  <c r="AL108" i="4"/>
  <c r="AL109" i="4"/>
  <c r="AL110" i="4"/>
  <c r="AL111" i="4"/>
  <c r="AL112" i="4"/>
  <c r="AL113" i="4"/>
  <c r="AL114" i="4"/>
  <c r="AL115" i="4"/>
  <c r="AL116" i="4"/>
  <c r="AL117" i="4"/>
  <c r="AL118" i="4"/>
  <c r="AL119" i="4"/>
  <c r="AL120" i="4"/>
  <c r="AL121" i="4"/>
  <c r="AL122" i="4"/>
  <c r="AL123" i="4"/>
  <c r="AL124" i="4"/>
  <c r="AL125" i="4"/>
  <c r="AL126" i="4"/>
  <c r="AL127" i="4"/>
  <c r="AL128" i="4"/>
  <c r="AL129" i="4"/>
  <c r="AL130" i="4"/>
  <c r="AL131" i="4"/>
  <c r="AL132" i="4"/>
  <c r="AL133" i="4"/>
  <c r="AL134" i="4"/>
  <c r="AL135" i="4"/>
  <c r="AL136" i="4"/>
  <c r="AL137" i="4"/>
  <c r="AL138" i="4"/>
  <c r="AL139" i="4"/>
  <c r="AL140" i="4"/>
  <c r="AL141" i="4"/>
  <c r="AL142" i="4"/>
  <c r="AL143" i="4"/>
  <c r="AL144" i="4"/>
  <c r="AL145" i="4"/>
  <c r="AL146" i="4"/>
  <c r="AL147" i="4"/>
  <c r="AL148" i="4"/>
  <c r="AL149" i="4"/>
  <c r="AL150"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L196" i="4"/>
  <c r="AL197" i="4"/>
  <c r="AL198" i="4"/>
  <c r="AL199" i="4"/>
  <c r="AL200" i="4"/>
  <c r="AL201" i="4"/>
  <c r="AL202" i="4"/>
  <c r="AL203" i="4"/>
  <c r="AL204" i="4"/>
  <c r="AL205" i="4"/>
  <c r="AL206" i="4"/>
  <c r="AL207" i="4"/>
  <c r="AL208" i="4"/>
  <c r="AL209" i="4"/>
  <c r="AL210" i="4"/>
  <c r="AL211" i="4"/>
  <c r="AL212" i="4"/>
  <c r="AL213" i="4"/>
  <c r="AL214" i="4"/>
  <c r="AL215" i="4"/>
  <c r="AL216" i="4"/>
  <c r="AL217" i="4"/>
  <c r="AL218" i="4"/>
  <c r="AL219" i="4"/>
  <c r="AL220" i="4"/>
  <c r="AL221" i="4"/>
  <c r="AL222" i="4"/>
  <c r="AL223" i="4"/>
  <c r="AL224" i="4"/>
  <c r="AL225" i="4"/>
  <c r="AL226" i="4"/>
  <c r="AL227" i="4"/>
  <c r="AL228" i="4"/>
  <c r="AL229" i="4"/>
  <c r="AL230" i="4"/>
  <c r="AL231" i="4"/>
  <c r="AL232" i="4"/>
  <c r="AL233" i="4"/>
  <c r="AL234" i="4"/>
  <c r="AL235" i="4"/>
  <c r="AL236" i="4"/>
  <c r="AL237" i="4"/>
  <c r="AL238" i="4"/>
  <c r="AL239" i="4"/>
  <c r="AL240" i="4"/>
  <c r="AL241" i="4"/>
  <c r="AL242" i="4"/>
  <c r="AL243" i="4"/>
  <c r="AL244" i="4"/>
  <c r="AL245" i="4"/>
  <c r="AL246" i="4"/>
  <c r="AL247" i="4"/>
  <c r="AL248" i="4"/>
  <c r="AL249" i="4"/>
  <c r="AL250" i="4"/>
  <c r="AL251" i="4"/>
  <c r="AL252" i="4"/>
  <c r="AL253" i="4"/>
  <c r="AL254" i="4"/>
  <c r="AL255" i="4"/>
  <c r="AL256" i="4"/>
  <c r="AL257" i="4"/>
  <c r="AL258" i="4"/>
  <c r="AL259" i="4"/>
  <c r="AL260" i="4"/>
  <c r="AL261" i="4"/>
  <c r="AL262" i="4"/>
  <c r="AJ7" i="4"/>
  <c r="AJ8" i="4"/>
  <c r="AJ9" i="4"/>
  <c r="AJ10" i="4"/>
  <c r="AJ11" i="4"/>
  <c r="AJ12" i="4"/>
  <c r="AJ13" i="4"/>
  <c r="AJ14" i="4"/>
  <c r="AJ15" i="4"/>
  <c r="AJ16" i="4"/>
  <c r="AJ17" i="4"/>
  <c r="AJ18" i="4"/>
  <c r="AJ19" i="4"/>
  <c r="AJ20" i="4"/>
  <c r="AJ21" i="4"/>
  <c r="AJ22" i="4"/>
  <c r="AJ23" i="4"/>
  <c r="AJ24" i="4"/>
  <c r="AJ25" i="4"/>
  <c r="AJ26" i="4"/>
  <c r="AJ27" i="4"/>
  <c r="AJ28" i="4"/>
  <c r="AJ30" i="4"/>
  <c r="AJ31" i="4"/>
  <c r="AJ32" i="4"/>
  <c r="AJ33" i="4"/>
  <c r="AJ34" i="4"/>
  <c r="AJ35" i="4"/>
  <c r="AJ36" i="4"/>
  <c r="AJ37" i="4"/>
  <c r="AJ38" i="4"/>
  <c r="AJ39" i="4"/>
  <c r="AJ40" i="4"/>
  <c r="AJ41" i="4"/>
  <c r="AJ42" i="4"/>
  <c r="AJ43" i="4"/>
  <c r="AJ44" i="4"/>
  <c r="AJ45" i="4"/>
  <c r="AJ46" i="4"/>
  <c r="AJ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I252" i="4"/>
  <c r="AI253" i="4"/>
  <c r="AI254" i="4"/>
  <c r="AI255" i="4"/>
  <c r="AI256" i="4"/>
  <c r="AI257" i="4"/>
  <c r="AI258" i="4"/>
  <c r="AI259" i="4"/>
  <c r="AI260" i="4"/>
  <c r="AI261" i="4"/>
  <c r="AI262" i="4"/>
  <c r="AI6" i="4"/>
  <c r="AH6" i="4"/>
  <c r="AH8" i="4"/>
  <c r="AH7"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AH40" i="4"/>
  <c r="AH41" i="4"/>
  <c r="AH42" i="4"/>
  <c r="AH43" i="4"/>
  <c r="AH44" i="4"/>
  <c r="AH45" i="4"/>
  <c r="AH46" i="4"/>
  <c r="AH47" i="4"/>
  <c r="AH48" i="4"/>
  <c r="AH49" i="4"/>
  <c r="AH50" i="4"/>
  <c r="AH51" i="4"/>
  <c r="AH52" i="4"/>
  <c r="AH53" i="4"/>
  <c r="AH54" i="4"/>
  <c r="AH55" i="4"/>
  <c r="AH56" i="4"/>
  <c r="AH57" i="4"/>
  <c r="AH58" i="4"/>
  <c r="AH59" i="4"/>
  <c r="AH60" i="4"/>
  <c r="AH61" i="4"/>
  <c r="AH62" i="4"/>
  <c r="AH63" i="4"/>
  <c r="AH64" i="4"/>
  <c r="AH65" i="4"/>
  <c r="AH66" i="4"/>
  <c r="AH67" i="4"/>
  <c r="AH68" i="4"/>
  <c r="AH69" i="4"/>
  <c r="AH70" i="4"/>
  <c r="AH71" i="4"/>
  <c r="AH72" i="4"/>
  <c r="AH74" i="4"/>
  <c r="AH75" i="4"/>
  <c r="AH76" i="4"/>
  <c r="AH77" i="4"/>
  <c r="AH78" i="4"/>
  <c r="AH79" i="4"/>
  <c r="AH80" i="4"/>
  <c r="AH81" i="4"/>
  <c r="AH82" i="4"/>
  <c r="AH83" i="4"/>
  <c r="AH84" i="4"/>
  <c r="AH85" i="4"/>
  <c r="AH86" i="4"/>
  <c r="AH107"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1" i="4"/>
  <c r="AH132" i="4"/>
  <c r="AH133" i="4"/>
  <c r="AH134" i="4"/>
  <c r="AH135" i="4"/>
  <c r="AH136" i="4"/>
  <c r="AH137" i="4"/>
  <c r="AH138" i="4"/>
  <c r="AH139" i="4"/>
  <c r="AH140" i="4"/>
  <c r="AH141" i="4"/>
  <c r="AH142" i="4"/>
  <c r="AH143" i="4"/>
  <c r="AH144" i="4"/>
  <c r="AH145" i="4"/>
  <c r="AH146"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AH226" i="4"/>
  <c r="AH227" i="4"/>
  <c r="AH228" i="4"/>
  <c r="AH229" i="4"/>
  <c r="AH230" i="4"/>
  <c r="AH231" i="4"/>
  <c r="AH232" i="4"/>
  <c r="AH233" i="4"/>
  <c r="AH234" i="4"/>
  <c r="AH235" i="4"/>
  <c r="AH236" i="4"/>
  <c r="AH237" i="4"/>
  <c r="AH238" i="4"/>
  <c r="AH239" i="4"/>
  <c r="AH240" i="4"/>
  <c r="AH241" i="4"/>
  <c r="AH242" i="4"/>
  <c r="AH243" i="4"/>
  <c r="AH244" i="4"/>
  <c r="AH245" i="4"/>
  <c r="AH246" i="4"/>
  <c r="AH247" i="4"/>
  <c r="AH248" i="4"/>
  <c r="AH249" i="4"/>
  <c r="AH250" i="4"/>
  <c r="AH251" i="4"/>
  <c r="AH252" i="4"/>
  <c r="AH253" i="4"/>
  <c r="AH254" i="4"/>
  <c r="AH255" i="4"/>
  <c r="AH256" i="4"/>
  <c r="AH257" i="4"/>
  <c r="AH258" i="4"/>
  <c r="AH259" i="4"/>
  <c r="AH260" i="4"/>
  <c r="AH261" i="4"/>
  <c r="AH262" i="4"/>
  <c r="Z7" i="4"/>
  <c r="AF7" i="4" s="1"/>
  <c r="Z8" i="4"/>
  <c r="AF8" i="4" s="1"/>
  <c r="Z9" i="4"/>
  <c r="AF9" i="4" s="1"/>
  <c r="Z10" i="4"/>
  <c r="AF10" i="4" s="1"/>
  <c r="Z11" i="4"/>
  <c r="AF11" i="4" s="1"/>
  <c r="Z12" i="4"/>
  <c r="AF12" i="4" s="1"/>
  <c r="Z13" i="4"/>
  <c r="AF13" i="4" s="1"/>
  <c r="Z14" i="4"/>
  <c r="AF14" i="4" s="1"/>
  <c r="Z15" i="4"/>
  <c r="AF15" i="4" s="1"/>
  <c r="Z16" i="4"/>
  <c r="AF16" i="4" s="1"/>
  <c r="Z17" i="4"/>
  <c r="AF17" i="4" s="1"/>
  <c r="Z18" i="4"/>
  <c r="AF18" i="4" s="1"/>
  <c r="Z19" i="4"/>
  <c r="AF19" i="4" s="1"/>
  <c r="Z20" i="4"/>
  <c r="AF20" i="4" s="1"/>
  <c r="Z21" i="4"/>
  <c r="AF21" i="4" s="1"/>
  <c r="Z22" i="4"/>
  <c r="AF22" i="4" s="1"/>
  <c r="Z23" i="4"/>
  <c r="AF23" i="4" s="1"/>
  <c r="Z24" i="4"/>
  <c r="AF24" i="4" s="1"/>
  <c r="Z25" i="4"/>
  <c r="AF25" i="4" s="1"/>
  <c r="Z26" i="4"/>
  <c r="AF26" i="4" s="1"/>
  <c r="Z27" i="4"/>
  <c r="AF27" i="4" s="1"/>
  <c r="Z28" i="4"/>
  <c r="AF28" i="4" s="1"/>
  <c r="Z29" i="4"/>
  <c r="AF29" i="4" s="1"/>
  <c r="Z30" i="4"/>
  <c r="AF30" i="4" s="1"/>
  <c r="Z31" i="4"/>
  <c r="AF31" i="4" s="1"/>
  <c r="Z32" i="4"/>
  <c r="AF32" i="4" s="1"/>
  <c r="Z33" i="4"/>
  <c r="AF33" i="4" s="1"/>
  <c r="Z34" i="4"/>
  <c r="AF34" i="4" s="1"/>
  <c r="Z35" i="4"/>
  <c r="AF35" i="4" s="1"/>
  <c r="Z36" i="4"/>
  <c r="AF36" i="4" s="1"/>
  <c r="Z37" i="4"/>
  <c r="AF37" i="4" s="1"/>
  <c r="Z38" i="4"/>
  <c r="AF38" i="4" s="1"/>
  <c r="Z39" i="4"/>
  <c r="AF39" i="4" s="1"/>
  <c r="Z40" i="4"/>
  <c r="AF40" i="4" s="1"/>
  <c r="Z41" i="4"/>
  <c r="AF41" i="4" s="1"/>
  <c r="Z42" i="4"/>
  <c r="AF42" i="4" s="1"/>
  <c r="Z43" i="4"/>
  <c r="AF43" i="4" s="1"/>
  <c r="Z44" i="4"/>
  <c r="AF44" i="4" s="1"/>
  <c r="Z45" i="4"/>
  <c r="AF45" i="4" s="1"/>
  <c r="Z46" i="4"/>
  <c r="AF46" i="4" s="1"/>
  <c r="Z47" i="4"/>
  <c r="AF47" i="4" s="1"/>
  <c r="Z48" i="4"/>
  <c r="AF48" i="4" s="1"/>
  <c r="Z49" i="4"/>
  <c r="AF49" i="4" s="1"/>
  <c r="Z50" i="4"/>
  <c r="AF50" i="4" s="1"/>
  <c r="Z51" i="4"/>
  <c r="AF51" i="4" s="1"/>
  <c r="Z52" i="4"/>
  <c r="AF52" i="4" s="1"/>
  <c r="Z53" i="4"/>
  <c r="AF53" i="4" s="1"/>
  <c r="Z54" i="4"/>
  <c r="AF54" i="4" s="1"/>
  <c r="Z55" i="4"/>
  <c r="AF55" i="4" s="1"/>
  <c r="Z56" i="4"/>
  <c r="AF56" i="4" s="1"/>
  <c r="Z57" i="4"/>
  <c r="AF57" i="4" s="1"/>
  <c r="Z58" i="4"/>
  <c r="AF58" i="4" s="1"/>
  <c r="Z59" i="4"/>
  <c r="AF59" i="4" s="1"/>
  <c r="Z60" i="4"/>
  <c r="AF60" i="4" s="1"/>
  <c r="Z61" i="4"/>
  <c r="AF61" i="4" s="1"/>
  <c r="Z62" i="4"/>
  <c r="AF62" i="4" s="1"/>
  <c r="Z63" i="4"/>
  <c r="AF63" i="4" s="1"/>
  <c r="AF64" i="4"/>
  <c r="Z65" i="4"/>
  <c r="AF65" i="4" s="1"/>
  <c r="Z66" i="4"/>
  <c r="AF66" i="4" s="1"/>
  <c r="Z67" i="4"/>
  <c r="AF67" i="4" s="1"/>
  <c r="Z68" i="4"/>
  <c r="AF68" i="4" s="1"/>
  <c r="Z69" i="4"/>
  <c r="AF69" i="4" s="1"/>
  <c r="Z70" i="4"/>
  <c r="AF70" i="4" s="1"/>
  <c r="Z71" i="4"/>
  <c r="AF71" i="4" s="1"/>
  <c r="Z72" i="4"/>
  <c r="AF72" i="4" s="1"/>
  <c r="Z73" i="4"/>
  <c r="AF73" i="4" s="1"/>
  <c r="Z74" i="4"/>
  <c r="AF74" i="4" s="1"/>
  <c r="Z75" i="4"/>
  <c r="AF75" i="4" s="1"/>
  <c r="Z76" i="4"/>
  <c r="AF76" i="4" s="1"/>
  <c r="Z77" i="4"/>
  <c r="AF77" i="4" s="1"/>
  <c r="Z78" i="4"/>
  <c r="AF78" i="4" s="1"/>
  <c r="Z79" i="4"/>
  <c r="AF79" i="4" s="1"/>
  <c r="Z80" i="4"/>
  <c r="AF80" i="4" s="1"/>
  <c r="AF81" i="4"/>
  <c r="Z82" i="4"/>
  <c r="AF82" i="4" s="1"/>
  <c r="Z83" i="4"/>
  <c r="AF83" i="4" s="1"/>
  <c r="Z84" i="4"/>
  <c r="AF84" i="4" s="1"/>
  <c r="Z85" i="4"/>
  <c r="AF85" i="4" s="1"/>
  <c r="Z86" i="4"/>
  <c r="AF86" i="4" s="1"/>
  <c r="Z107" i="4"/>
  <c r="AF107" i="4" s="1"/>
  <c r="Z108" i="4"/>
  <c r="AF108" i="4" s="1"/>
  <c r="Z109" i="4"/>
  <c r="AF109" i="4" s="1"/>
  <c r="Z110" i="4"/>
  <c r="AF110" i="4" s="1"/>
  <c r="Z111" i="4"/>
  <c r="AF111" i="4" s="1"/>
  <c r="Z112" i="4"/>
  <c r="AF112" i="4" s="1"/>
  <c r="Z113" i="4"/>
  <c r="AF113" i="4" s="1"/>
  <c r="Z114" i="4"/>
  <c r="AF114" i="4" s="1"/>
  <c r="Z115" i="4"/>
  <c r="AF115" i="4" s="1"/>
  <c r="Z116" i="4"/>
  <c r="AF116" i="4" s="1"/>
  <c r="Z117" i="4"/>
  <c r="AF117" i="4" s="1"/>
  <c r="Z118" i="4"/>
  <c r="AF118" i="4" s="1"/>
  <c r="Z119" i="4"/>
  <c r="AF119" i="4" s="1"/>
  <c r="Z120" i="4"/>
  <c r="AF120" i="4" s="1"/>
  <c r="Z121" i="4"/>
  <c r="AF121" i="4" s="1"/>
  <c r="Z122" i="4"/>
  <c r="AF122" i="4" s="1"/>
  <c r="Z123" i="4"/>
  <c r="AF123" i="4" s="1"/>
  <c r="Z124" i="4"/>
  <c r="AF124" i="4" s="1"/>
  <c r="Z125" i="4"/>
  <c r="AF125" i="4" s="1"/>
  <c r="Z126" i="4"/>
  <c r="AF126" i="4" s="1"/>
  <c r="Z127" i="4"/>
  <c r="AF127" i="4" s="1"/>
  <c r="Z128" i="4"/>
  <c r="AF128" i="4" s="1"/>
  <c r="Z129" i="4"/>
  <c r="AF129" i="4" s="1"/>
  <c r="Z130" i="4"/>
  <c r="AF130" i="4" s="1"/>
  <c r="Z131" i="4"/>
  <c r="AF131" i="4" s="1"/>
  <c r="Z132" i="4"/>
  <c r="AF132" i="4" s="1"/>
  <c r="Z133" i="4"/>
  <c r="AF133" i="4" s="1"/>
  <c r="Z134" i="4"/>
  <c r="AF134" i="4" s="1"/>
  <c r="Z135" i="4"/>
  <c r="AF135" i="4" s="1"/>
  <c r="Z136" i="4"/>
  <c r="AF136" i="4" s="1"/>
  <c r="Z137" i="4"/>
  <c r="AF137" i="4" s="1"/>
  <c r="Z138" i="4"/>
  <c r="AF138" i="4" s="1"/>
  <c r="Z139" i="4"/>
  <c r="AF139" i="4" s="1"/>
  <c r="Z140" i="4"/>
  <c r="AF140" i="4" s="1"/>
  <c r="Z141" i="4"/>
  <c r="AF141" i="4" s="1"/>
  <c r="Z142" i="4"/>
  <c r="AF142" i="4" s="1"/>
  <c r="Z143" i="4"/>
  <c r="AF143" i="4" s="1"/>
  <c r="Z144" i="4"/>
  <c r="AF144" i="4" s="1"/>
  <c r="Z145" i="4"/>
  <c r="AF145" i="4" s="1"/>
  <c r="Z146" i="4"/>
  <c r="AF146" i="4" s="1"/>
  <c r="Z147" i="4"/>
  <c r="AF147" i="4" s="1"/>
  <c r="Z148" i="4"/>
  <c r="AF148" i="4" s="1"/>
  <c r="Z149" i="4"/>
  <c r="AF149" i="4" s="1"/>
  <c r="Z150" i="4"/>
  <c r="AF150" i="4" s="1"/>
  <c r="Z151" i="4"/>
  <c r="AF151" i="4" s="1"/>
  <c r="Z152" i="4"/>
  <c r="AF152" i="4" s="1"/>
  <c r="Z153" i="4"/>
  <c r="AF153" i="4" s="1"/>
  <c r="Z154" i="4"/>
  <c r="AF154" i="4" s="1"/>
  <c r="Z155" i="4"/>
  <c r="AF155" i="4" s="1"/>
  <c r="Z156" i="4"/>
  <c r="AF156" i="4" s="1"/>
  <c r="Z157" i="4"/>
  <c r="AF157" i="4" s="1"/>
  <c r="Z158" i="4"/>
  <c r="AF158" i="4" s="1"/>
  <c r="Z159" i="4"/>
  <c r="AF159" i="4" s="1"/>
  <c r="Z160" i="4"/>
  <c r="AF160" i="4" s="1"/>
  <c r="Z161" i="4"/>
  <c r="AF161" i="4" s="1"/>
  <c r="Z162" i="4"/>
  <c r="AF162" i="4" s="1"/>
  <c r="Z163" i="4"/>
  <c r="AF163" i="4" s="1"/>
  <c r="Z164" i="4"/>
  <c r="AF164" i="4" s="1"/>
  <c r="Z165" i="4"/>
  <c r="AF165" i="4" s="1"/>
  <c r="Z166" i="4"/>
  <c r="AF166" i="4" s="1"/>
  <c r="Z167" i="4"/>
  <c r="AF167" i="4" s="1"/>
  <c r="Z168" i="4"/>
  <c r="AF168" i="4" s="1"/>
  <c r="Z169" i="4"/>
  <c r="AF169" i="4" s="1"/>
  <c r="Z170" i="4"/>
  <c r="AF170" i="4" s="1"/>
  <c r="Z171" i="4"/>
  <c r="AF171" i="4" s="1"/>
  <c r="Z172" i="4"/>
  <c r="AF172" i="4" s="1"/>
  <c r="Z173" i="4"/>
  <c r="AF173" i="4" s="1"/>
  <c r="Z174" i="4"/>
  <c r="AF174" i="4" s="1"/>
  <c r="Z175" i="4"/>
  <c r="AF175" i="4" s="1"/>
  <c r="Z176" i="4"/>
  <c r="AF176" i="4" s="1"/>
  <c r="Z177" i="4"/>
  <c r="AF177" i="4" s="1"/>
  <c r="Z178" i="4"/>
  <c r="AF178" i="4" s="1"/>
  <c r="Z179" i="4"/>
  <c r="AF179" i="4" s="1"/>
  <c r="Z180" i="4"/>
  <c r="AF180" i="4" s="1"/>
  <c r="Z181" i="4"/>
  <c r="AF181" i="4" s="1"/>
  <c r="Z182" i="4"/>
  <c r="AF182" i="4" s="1"/>
  <c r="Z183" i="4"/>
  <c r="AF183" i="4" s="1"/>
  <c r="Z184" i="4"/>
  <c r="AF184" i="4" s="1"/>
  <c r="Z185" i="4"/>
  <c r="AF185" i="4" s="1"/>
  <c r="Z186" i="4"/>
  <c r="AF186" i="4" s="1"/>
  <c r="Z187" i="4"/>
  <c r="AF187" i="4" s="1"/>
  <c r="Z188" i="4"/>
  <c r="AF188" i="4" s="1"/>
  <c r="Z189" i="4"/>
  <c r="AF189" i="4" s="1"/>
  <c r="Z190" i="4"/>
  <c r="AF190" i="4" s="1"/>
  <c r="Z191" i="4"/>
  <c r="AF191" i="4" s="1"/>
  <c r="Z192" i="4"/>
  <c r="AF192" i="4" s="1"/>
  <c r="Z193" i="4"/>
  <c r="AF193" i="4" s="1"/>
  <c r="Z194" i="4"/>
  <c r="AF194" i="4" s="1"/>
  <c r="Z195" i="4"/>
  <c r="AF195" i="4" s="1"/>
  <c r="Z196" i="4"/>
  <c r="AF196" i="4" s="1"/>
  <c r="Z197" i="4"/>
  <c r="AF197" i="4" s="1"/>
  <c r="Z198" i="4"/>
  <c r="AF198" i="4" s="1"/>
  <c r="Z199" i="4"/>
  <c r="AF199" i="4" s="1"/>
  <c r="Z200" i="4"/>
  <c r="AF200" i="4" s="1"/>
  <c r="Z201" i="4"/>
  <c r="AF201" i="4" s="1"/>
  <c r="Z202" i="4"/>
  <c r="AF202" i="4" s="1"/>
  <c r="Z203" i="4"/>
  <c r="AF203" i="4" s="1"/>
  <c r="Z204" i="4"/>
  <c r="AF204" i="4" s="1"/>
  <c r="Z205" i="4"/>
  <c r="AF205" i="4" s="1"/>
  <c r="Z206" i="4"/>
  <c r="AF206" i="4" s="1"/>
  <c r="Z207" i="4"/>
  <c r="AF207" i="4" s="1"/>
  <c r="Z208" i="4"/>
  <c r="AF208" i="4" s="1"/>
  <c r="Z209" i="4"/>
  <c r="AF209" i="4" s="1"/>
  <c r="Z210" i="4"/>
  <c r="AF210" i="4" s="1"/>
  <c r="Z211" i="4"/>
  <c r="AF211" i="4" s="1"/>
  <c r="Z212" i="4"/>
  <c r="AF212" i="4" s="1"/>
  <c r="Z213" i="4"/>
  <c r="AF213" i="4" s="1"/>
  <c r="Z214" i="4"/>
  <c r="AF214" i="4" s="1"/>
  <c r="Z215" i="4"/>
  <c r="AF215" i="4" s="1"/>
  <c r="Z216" i="4"/>
  <c r="AF216" i="4" s="1"/>
  <c r="Z217" i="4"/>
  <c r="AF217" i="4" s="1"/>
  <c r="Z218" i="4"/>
  <c r="AF218" i="4" s="1"/>
  <c r="Z219" i="4"/>
  <c r="AF219" i="4" s="1"/>
  <c r="Z220" i="4"/>
  <c r="AF220" i="4" s="1"/>
  <c r="Z221" i="4"/>
  <c r="AF221" i="4" s="1"/>
  <c r="Z222" i="4"/>
  <c r="AF222" i="4" s="1"/>
  <c r="Z223" i="4"/>
  <c r="AF223" i="4" s="1"/>
  <c r="Z224" i="4"/>
  <c r="AF224" i="4" s="1"/>
  <c r="Z225" i="4"/>
  <c r="AF225" i="4" s="1"/>
  <c r="Z226" i="4"/>
  <c r="AF226" i="4" s="1"/>
  <c r="Z227" i="4"/>
  <c r="AF227" i="4" s="1"/>
  <c r="Z228" i="4"/>
  <c r="AF228" i="4" s="1"/>
  <c r="Z229" i="4"/>
  <c r="AF229" i="4" s="1"/>
  <c r="Z230" i="4"/>
  <c r="AF230" i="4" s="1"/>
  <c r="Z231" i="4"/>
  <c r="AF231" i="4" s="1"/>
  <c r="Z232" i="4"/>
  <c r="AF232" i="4" s="1"/>
  <c r="Z233" i="4"/>
  <c r="AF233" i="4" s="1"/>
  <c r="Z234" i="4"/>
  <c r="AF234" i="4" s="1"/>
  <c r="Z235" i="4"/>
  <c r="AF235" i="4" s="1"/>
  <c r="Z236" i="4"/>
  <c r="AF236" i="4" s="1"/>
  <c r="Z237" i="4"/>
  <c r="AF237" i="4" s="1"/>
  <c r="Z238" i="4"/>
  <c r="AF238" i="4" s="1"/>
  <c r="Z239" i="4"/>
  <c r="AF239" i="4" s="1"/>
  <c r="Z240" i="4"/>
  <c r="AF240" i="4" s="1"/>
  <c r="Z241" i="4"/>
  <c r="AF241" i="4" s="1"/>
  <c r="Z242" i="4"/>
  <c r="AF242" i="4" s="1"/>
  <c r="Z243" i="4"/>
  <c r="AF243" i="4" s="1"/>
  <c r="Z244" i="4"/>
  <c r="AF244" i="4" s="1"/>
  <c r="Z245" i="4"/>
  <c r="AF245" i="4" s="1"/>
  <c r="Z246" i="4"/>
  <c r="AF246" i="4" s="1"/>
  <c r="Z247" i="4"/>
  <c r="AF247" i="4" s="1"/>
  <c r="Z248" i="4"/>
  <c r="AF248" i="4" s="1"/>
  <c r="Z249" i="4"/>
  <c r="AF249" i="4" s="1"/>
  <c r="Z250" i="4"/>
  <c r="AF250" i="4" s="1"/>
  <c r="Z251" i="4"/>
  <c r="AF251" i="4" s="1"/>
  <c r="Z252" i="4"/>
  <c r="AF252" i="4" s="1"/>
  <c r="Z253" i="4"/>
  <c r="AF253" i="4" s="1"/>
  <c r="Z254" i="4"/>
  <c r="AF254" i="4" s="1"/>
  <c r="Z255" i="4"/>
  <c r="AF255" i="4" s="1"/>
  <c r="Z256" i="4"/>
  <c r="AF256" i="4" s="1"/>
  <c r="Z257" i="4"/>
  <c r="AF257" i="4" s="1"/>
  <c r="Z258" i="4"/>
  <c r="AF258" i="4" s="1"/>
  <c r="Z259" i="4"/>
  <c r="AF259" i="4" s="1"/>
  <c r="Z260" i="4"/>
  <c r="AF260" i="4" s="1"/>
  <c r="Z261" i="4"/>
  <c r="AF261" i="4" s="1"/>
  <c r="Z262" i="4"/>
  <c r="AF262" i="4" s="1"/>
  <c r="Z6" i="4"/>
  <c r="AF6" i="4" s="1"/>
  <c r="D49" i="18"/>
  <c r="AW34" i="14"/>
  <c r="AW35" i="14"/>
  <c r="AW36" i="14"/>
  <c r="AW37" i="14"/>
  <c r="AW38" i="14"/>
  <c r="AW39" i="14"/>
  <c r="AW40" i="14"/>
  <c r="AW41" i="14"/>
  <c r="AW42" i="14"/>
  <c r="AW43" i="14"/>
  <c r="AW44" i="14"/>
  <c r="AW45" i="14"/>
  <c r="AW46" i="14"/>
  <c r="AW47" i="14"/>
  <c r="AW48" i="14"/>
  <c r="AW49" i="14"/>
  <c r="AW50" i="14"/>
  <c r="AW51" i="14"/>
  <c r="AW52" i="14"/>
  <c r="AW53" i="14"/>
  <c r="AW54" i="14"/>
  <c r="AW55" i="14"/>
  <c r="AW56" i="14"/>
  <c r="AW57" i="14"/>
  <c r="AW58" i="14"/>
  <c r="AW59" i="14"/>
  <c r="AW60" i="14"/>
  <c r="AW61" i="14"/>
  <c r="AW62" i="14"/>
  <c r="AW63" i="14"/>
  <c r="AW64" i="14"/>
  <c r="AW65" i="14"/>
  <c r="AW66" i="14"/>
  <c r="AW67" i="14"/>
  <c r="AW68" i="14"/>
  <c r="AW69" i="14"/>
  <c r="AW70" i="14"/>
  <c r="AW71" i="14"/>
  <c r="AW72" i="14"/>
  <c r="AW73" i="14"/>
  <c r="AW74" i="14"/>
  <c r="AW75" i="14"/>
  <c r="AW76" i="14"/>
  <c r="AW77" i="14"/>
  <c r="AW78" i="14"/>
  <c r="AW79" i="14"/>
  <c r="AW80" i="14"/>
  <c r="AW81" i="14"/>
  <c r="AW82" i="14"/>
  <c r="AW83" i="14"/>
  <c r="AW84" i="14"/>
  <c r="AW85" i="14"/>
  <c r="AW86" i="14"/>
  <c r="AW87" i="14"/>
  <c r="AW88" i="14"/>
  <c r="AW89" i="14"/>
  <c r="AW90" i="14"/>
  <c r="AW91" i="14"/>
  <c r="AW92" i="14"/>
  <c r="AW93" i="14"/>
  <c r="AW94" i="14"/>
  <c r="AW95" i="14"/>
  <c r="AW96" i="14"/>
  <c r="AW97" i="14"/>
  <c r="AW98" i="14"/>
  <c r="AW99" i="14"/>
  <c r="AW100" i="14"/>
  <c r="AW101" i="14"/>
  <c r="AW102" i="14"/>
  <c r="AW103" i="14"/>
  <c r="AW104" i="14"/>
  <c r="AW105" i="14"/>
  <c r="AW106" i="14"/>
  <c r="AW107" i="14"/>
  <c r="AW108" i="14"/>
  <c r="AW109" i="14"/>
  <c r="AW110" i="14"/>
  <c r="AW111" i="14"/>
  <c r="AW112" i="14"/>
  <c r="AW113" i="14"/>
  <c r="AW114" i="14"/>
  <c r="AW115" i="14"/>
  <c r="AW116" i="14"/>
  <c r="AW117" i="14"/>
  <c r="AW118" i="14"/>
  <c r="AW119" i="14"/>
  <c r="AW120" i="14"/>
  <c r="AW121" i="14"/>
  <c r="AW122" i="14"/>
  <c r="AW123" i="14"/>
  <c r="AW124" i="14"/>
  <c r="AW125" i="14"/>
  <c r="AW126" i="14"/>
  <c r="AW127" i="14"/>
  <c r="AW128" i="14"/>
  <c r="AW129" i="14"/>
  <c r="AW130" i="14"/>
  <c r="AW131" i="14"/>
  <c r="AW132" i="14"/>
  <c r="AW133" i="14"/>
  <c r="AW134" i="14"/>
  <c r="AW135" i="14"/>
  <c r="AW136" i="14"/>
  <c r="AW137" i="14"/>
  <c r="AW138" i="14"/>
  <c r="AW139" i="14"/>
  <c r="AW140" i="14"/>
  <c r="AW141" i="14"/>
  <c r="AW142" i="14"/>
  <c r="AW143" i="14"/>
  <c r="AW144" i="14"/>
  <c r="AW145" i="14"/>
  <c r="AW146" i="14"/>
  <c r="AW147" i="14"/>
  <c r="AW148" i="14"/>
  <c r="AW149" i="14"/>
  <c r="AW150" i="14"/>
  <c r="AW151" i="14"/>
  <c r="AW152" i="14"/>
  <c r="AW153" i="14"/>
  <c r="AW154" i="14"/>
  <c r="AW155" i="14"/>
  <c r="AW156" i="14"/>
  <c r="AW157" i="14"/>
  <c r="AW158" i="14"/>
  <c r="AW159" i="14"/>
  <c r="AW160" i="14"/>
  <c r="AW161" i="14"/>
  <c r="AW162" i="14"/>
  <c r="AW163" i="14"/>
  <c r="AW164" i="14"/>
  <c r="AW165" i="14"/>
  <c r="AW166" i="14"/>
  <c r="AW167" i="14"/>
  <c r="AW168" i="14"/>
  <c r="AW169" i="14"/>
  <c r="AW170" i="14"/>
  <c r="AW171" i="14"/>
  <c r="AW172" i="14"/>
  <c r="AW173" i="14"/>
  <c r="AW174" i="14"/>
  <c r="AW175" i="14"/>
  <c r="AW176" i="14"/>
  <c r="AW177" i="14"/>
  <c r="AW178" i="14"/>
  <c r="AW179" i="14"/>
  <c r="AW180" i="14"/>
  <c r="AW181" i="14"/>
  <c r="AW182" i="14"/>
  <c r="AW183" i="14"/>
  <c r="AW184" i="14"/>
  <c r="AW185" i="14"/>
  <c r="AW186" i="14"/>
  <c r="AW187" i="14"/>
  <c r="AW188" i="14"/>
  <c r="AW189" i="14"/>
  <c r="AW190" i="14"/>
  <c r="AW191" i="14"/>
  <c r="AW192" i="14"/>
  <c r="AW193" i="14"/>
  <c r="AW194" i="14"/>
  <c r="AW195" i="14"/>
  <c r="AW196" i="14"/>
  <c r="AW197" i="14"/>
  <c r="AW198" i="14"/>
  <c r="AW199" i="14"/>
  <c r="AW200" i="14"/>
  <c r="AW201" i="14"/>
  <c r="AW202" i="14"/>
  <c r="AW203" i="14"/>
  <c r="AW204" i="14"/>
  <c r="AW205" i="14"/>
  <c r="AW206" i="14"/>
  <c r="AW207" i="14"/>
  <c r="AW208" i="14"/>
  <c r="AW209" i="14"/>
  <c r="AW210" i="14"/>
  <c r="AW211" i="14"/>
  <c r="AW212" i="14"/>
  <c r="AW213" i="14"/>
  <c r="AW214" i="14"/>
  <c r="AW215" i="14"/>
  <c r="AW216" i="14"/>
  <c r="AW217" i="14"/>
  <c r="AW218" i="14"/>
  <c r="AW219" i="14"/>
  <c r="AW220" i="14"/>
  <c r="AW221" i="14"/>
  <c r="AW222" i="14"/>
  <c r="AW223" i="14"/>
  <c r="AW224" i="14"/>
  <c r="AW225" i="14"/>
  <c r="AW226" i="14"/>
  <c r="AW227" i="14"/>
  <c r="AW228" i="14"/>
  <c r="AW229" i="14"/>
  <c r="AW230" i="14"/>
  <c r="AW231" i="14"/>
  <c r="AW232" i="14"/>
  <c r="AW233" i="14"/>
  <c r="AW234" i="14"/>
  <c r="AW235" i="14"/>
  <c r="AW236" i="14"/>
  <c r="AW237" i="14"/>
  <c r="AW238" i="14"/>
  <c r="AW239" i="14"/>
  <c r="AW240" i="14"/>
  <c r="AW241" i="14"/>
  <c r="AW242" i="14"/>
  <c r="AW243" i="14"/>
  <c r="AW244" i="14"/>
  <c r="AW245" i="14"/>
  <c r="AW246" i="14"/>
  <c r="AW247" i="14"/>
  <c r="AW248" i="14"/>
  <c r="AW249" i="14"/>
  <c r="AW250" i="14"/>
  <c r="AW251" i="14"/>
  <c r="AW252" i="14"/>
  <c r="AW253" i="14"/>
  <c r="AW254" i="14"/>
  <c r="AW255" i="14"/>
  <c r="AW256" i="14"/>
  <c r="AW257" i="14"/>
  <c r="AW258" i="14"/>
  <c r="AW259" i="14"/>
  <c r="AW260" i="14"/>
  <c r="AW261" i="14"/>
  <c r="AW262" i="14"/>
  <c r="AW263" i="14"/>
  <c r="AZ35" i="14"/>
  <c r="AZ36" i="14"/>
  <c r="AZ37" i="14"/>
  <c r="AZ38" i="14"/>
  <c r="AZ39" i="14"/>
  <c r="AZ40" i="14"/>
  <c r="AZ41" i="14"/>
  <c r="AZ42" i="14"/>
  <c r="AZ43" i="14"/>
  <c r="AZ44" i="14"/>
  <c r="AZ45" i="14"/>
  <c r="AZ46" i="14"/>
  <c r="AZ47" i="14"/>
  <c r="AZ48" i="14"/>
  <c r="AZ49" i="14"/>
  <c r="AZ50" i="14"/>
  <c r="AZ51" i="14"/>
  <c r="AZ52" i="14"/>
  <c r="AZ53" i="14"/>
  <c r="AZ54" i="14"/>
  <c r="AZ55" i="14"/>
  <c r="AZ56" i="14"/>
  <c r="AZ57" i="14"/>
  <c r="AZ58" i="14"/>
  <c r="AZ59" i="14"/>
  <c r="AZ60" i="14"/>
  <c r="AZ61" i="14"/>
  <c r="AZ62" i="14"/>
  <c r="AZ63" i="14"/>
  <c r="AZ64" i="14"/>
  <c r="AZ65" i="14"/>
  <c r="AZ66" i="14"/>
  <c r="AZ67" i="14"/>
  <c r="AZ68" i="14"/>
  <c r="AZ69" i="14"/>
  <c r="AZ70" i="14"/>
  <c r="AZ71" i="14"/>
  <c r="AZ72" i="14"/>
  <c r="AZ73" i="14"/>
  <c r="AZ74" i="14"/>
  <c r="AZ75" i="14"/>
  <c r="AZ76" i="14"/>
  <c r="AZ77" i="14"/>
  <c r="AZ78" i="14"/>
  <c r="AZ79" i="14"/>
  <c r="AZ80" i="14"/>
  <c r="AZ81" i="14"/>
  <c r="AZ82" i="14"/>
  <c r="AZ83" i="14"/>
  <c r="AZ84" i="14"/>
  <c r="AZ85" i="14"/>
  <c r="AZ86" i="14"/>
  <c r="AZ87" i="14"/>
  <c r="AZ88" i="14"/>
  <c r="AZ89" i="14"/>
  <c r="AZ90" i="14"/>
  <c r="AZ91" i="14"/>
  <c r="AZ92" i="14"/>
  <c r="AZ93" i="14"/>
  <c r="AZ94" i="14"/>
  <c r="AZ95" i="14"/>
  <c r="AZ96" i="14"/>
  <c r="AZ97" i="14"/>
  <c r="AZ98" i="14"/>
  <c r="AZ99" i="14"/>
  <c r="AZ100" i="14"/>
  <c r="AZ101" i="14"/>
  <c r="AZ102" i="14"/>
  <c r="AZ103" i="14"/>
  <c r="AZ104" i="14"/>
  <c r="AZ105" i="14"/>
  <c r="AZ106" i="14"/>
  <c r="AZ107" i="14"/>
  <c r="AZ108" i="14"/>
  <c r="AZ109" i="14"/>
  <c r="AZ110" i="14"/>
  <c r="AZ111" i="14"/>
  <c r="AZ112" i="14"/>
  <c r="AZ113" i="14"/>
  <c r="AZ114" i="14"/>
  <c r="AZ115" i="14"/>
  <c r="AZ116" i="14"/>
  <c r="AZ117" i="14"/>
  <c r="AZ118" i="14"/>
  <c r="AZ119" i="14"/>
  <c r="AZ120" i="14"/>
  <c r="AZ121" i="14"/>
  <c r="AZ122" i="14"/>
  <c r="AZ123" i="14"/>
  <c r="AZ124" i="14"/>
  <c r="AZ125" i="14"/>
  <c r="AZ126" i="14"/>
  <c r="AZ127" i="14"/>
  <c r="AZ128" i="14"/>
  <c r="AZ129" i="14"/>
  <c r="AZ130" i="14"/>
  <c r="AZ131" i="14"/>
  <c r="AZ132" i="14"/>
  <c r="AZ133" i="14"/>
  <c r="AZ134" i="14"/>
  <c r="AZ135" i="14"/>
  <c r="AZ136" i="14"/>
  <c r="AZ137" i="14"/>
  <c r="AZ138" i="14"/>
  <c r="AZ139" i="14"/>
  <c r="AZ140" i="14"/>
  <c r="AZ141" i="14"/>
  <c r="AZ142" i="14"/>
  <c r="AZ143" i="14"/>
  <c r="AZ144" i="14"/>
  <c r="AZ145" i="14"/>
  <c r="AZ146" i="14"/>
  <c r="AZ147" i="14"/>
  <c r="AZ148" i="14"/>
  <c r="AZ149" i="14"/>
  <c r="AZ150" i="14"/>
  <c r="AZ151" i="14"/>
  <c r="AZ152" i="14"/>
  <c r="AZ153" i="14"/>
  <c r="AZ154" i="14"/>
  <c r="AZ155" i="14"/>
  <c r="AZ156" i="14"/>
  <c r="AZ157" i="14"/>
  <c r="AZ158" i="14"/>
  <c r="AZ159" i="14"/>
  <c r="AZ160" i="14"/>
  <c r="AZ161" i="14"/>
  <c r="AZ162" i="14"/>
  <c r="AZ163" i="14"/>
  <c r="AZ164" i="14"/>
  <c r="AZ165" i="14"/>
  <c r="AZ166" i="14"/>
  <c r="AZ167" i="14"/>
  <c r="AZ168" i="14"/>
  <c r="AZ169" i="14"/>
  <c r="AZ170" i="14"/>
  <c r="AZ171" i="14"/>
  <c r="AZ172" i="14"/>
  <c r="AZ173" i="14"/>
  <c r="AZ174" i="14"/>
  <c r="AZ175" i="14"/>
  <c r="AZ176" i="14"/>
  <c r="AZ177" i="14"/>
  <c r="AZ178" i="14"/>
  <c r="AZ179" i="14"/>
  <c r="AZ180" i="14"/>
  <c r="AZ181" i="14"/>
  <c r="AZ182" i="14"/>
  <c r="AZ183" i="14"/>
  <c r="AZ184" i="14"/>
  <c r="AZ185" i="14"/>
  <c r="AZ186" i="14"/>
  <c r="AZ187" i="14"/>
  <c r="AZ188" i="14"/>
  <c r="AZ189" i="14"/>
  <c r="AZ190" i="14"/>
  <c r="AZ191" i="14"/>
  <c r="AZ192" i="14"/>
  <c r="AZ193" i="14"/>
  <c r="AZ194" i="14"/>
  <c r="AZ195" i="14"/>
  <c r="AZ196" i="14"/>
  <c r="AZ197" i="14"/>
  <c r="AZ198" i="14"/>
  <c r="AZ199" i="14"/>
  <c r="AZ200" i="14"/>
  <c r="AZ201" i="14"/>
  <c r="AZ202" i="14"/>
  <c r="AZ203" i="14"/>
  <c r="AZ204" i="14"/>
  <c r="AZ205" i="14"/>
  <c r="AZ206" i="14"/>
  <c r="AZ207" i="14"/>
  <c r="AZ208" i="14"/>
  <c r="AZ209" i="14"/>
  <c r="AZ210" i="14"/>
  <c r="AZ211" i="14"/>
  <c r="AZ212" i="14"/>
  <c r="AZ213" i="14"/>
  <c r="AZ214" i="14"/>
  <c r="AZ215" i="14"/>
  <c r="AZ216" i="14"/>
  <c r="AZ217" i="14"/>
  <c r="AZ218" i="14"/>
  <c r="AZ219" i="14"/>
  <c r="AZ220" i="14"/>
  <c r="AZ221" i="14"/>
  <c r="AZ222" i="14"/>
  <c r="AZ223" i="14"/>
  <c r="AZ224" i="14"/>
  <c r="AZ225" i="14"/>
  <c r="AZ226" i="14"/>
  <c r="AZ227" i="14"/>
  <c r="AZ228" i="14"/>
  <c r="AZ229" i="14"/>
  <c r="AZ230" i="14"/>
  <c r="AZ231" i="14"/>
  <c r="AZ232" i="14"/>
  <c r="AZ233" i="14"/>
  <c r="AZ234" i="14"/>
  <c r="AZ235" i="14"/>
  <c r="AZ236" i="14"/>
  <c r="AZ237" i="14"/>
  <c r="AZ238" i="14"/>
  <c r="AZ239" i="14"/>
  <c r="AZ240" i="14"/>
  <c r="AZ241" i="14"/>
  <c r="AZ242" i="14"/>
  <c r="AZ243" i="14"/>
  <c r="AZ244" i="14"/>
  <c r="AZ245" i="14"/>
  <c r="AZ246" i="14"/>
  <c r="AZ247" i="14"/>
  <c r="AZ248" i="14"/>
  <c r="AZ249" i="14"/>
  <c r="AZ250" i="14"/>
  <c r="AZ251" i="14"/>
  <c r="AZ252" i="14"/>
  <c r="AZ253" i="14"/>
  <c r="AZ254" i="14"/>
  <c r="AZ255" i="14"/>
  <c r="AZ256" i="14"/>
  <c r="AZ257" i="14"/>
  <c r="AZ258" i="14"/>
  <c r="AZ259" i="14"/>
  <c r="AZ260" i="14"/>
  <c r="AZ261" i="14"/>
  <c r="AZ262" i="14"/>
  <c r="AZ263" i="14"/>
  <c r="E35" i="18"/>
  <c r="E36" i="18"/>
  <c r="E37" i="18"/>
  <c r="E38" i="18"/>
  <c r="E39" i="18"/>
  <c r="E40" i="18"/>
  <c r="E41" i="18"/>
  <c r="E42" i="18"/>
  <c r="E43" i="18"/>
  <c r="E44" i="18"/>
  <c r="E45" i="18"/>
  <c r="E46" i="18"/>
  <c r="E48" i="18"/>
  <c r="F48" i="18" s="1"/>
  <c r="E50" i="18"/>
  <c r="F50" i="18" s="1"/>
  <c r="E51" i="18"/>
  <c r="F51" i="18" s="1"/>
  <c r="E52" i="18"/>
  <c r="F52" i="18" s="1"/>
  <c r="E53" i="18"/>
  <c r="F53" i="18" s="1"/>
  <c r="E54" i="18"/>
  <c r="F54" i="18" s="1"/>
  <c r="E57" i="18"/>
  <c r="E58" i="18"/>
  <c r="E59" i="18"/>
  <c r="E60" i="18"/>
  <c r="E61" i="18"/>
  <c r="E62" i="18"/>
  <c r="E63" i="18"/>
  <c r="E64" i="18"/>
  <c r="E65" i="18"/>
  <c r="E49" i="18"/>
  <c r="F49" i="18" s="1"/>
  <c r="E34" i="18"/>
  <c r="H19" i="18"/>
  <c r="C56" i="18"/>
  <c r="AD285" i="2" l="1"/>
  <c r="AS285" i="2" s="1"/>
  <c r="AD284" i="2"/>
  <c r="AS284" i="2" s="1"/>
  <c r="AD283" i="2"/>
  <c r="AS283" i="2" s="1"/>
  <c r="AD282" i="2"/>
  <c r="AS282" i="2" s="1"/>
  <c r="AD281" i="2"/>
  <c r="AS281" i="2" s="1"/>
  <c r="AD280" i="2"/>
  <c r="AS280" i="2" s="1"/>
  <c r="AD279" i="2"/>
  <c r="AS279" i="2" s="1"/>
  <c r="AD278" i="2"/>
  <c r="AS278" i="2" s="1"/>
  <c r="AD277" i="2"/>
  <c r="AS277" i="2" s="1"/>
  <c r="AD276" i="2"/>
  <c r="AS276" i="2" s="1"/>
  <c r="AD275" i="2"/>
  <c r="AS275" i="2" s="1"/>
  <c r="AD274" i="2"/>
  <c r="AS274" i="2" s="1"/>
  <c r="AD273" i="2"/>
  <c r="AS273" i="2" s="1"/>
  <c r="AD272" i="2"/>
  <c r="AS272" i="2" s="1"/>
  <c r="AD271" i="2"/>
  <c r="AS271" i="2" s="1"/>
  <c r="AD270" i="2"/>
  <c r="AS270" i="2" s="1"/>
  <c r="AD269" i="2"/>
  <c r="AS269" i="2" s="1"/>
  <c r="AD268" i="2"/>
  <c r="AS268" i="2" s="1"/>
  <c r="AD267" i="2"/>
  <c r="AS267" i="2" s="1"/>
  <c r="AD266" i="2"/>
  <c r="AS266" i="2" s="1"/>
  <c r="AD265" i="2"/>
  <c r="AS265" i="2" s="1"/>
  <c r="AD264" i="2"/>
  <c r="AS264" i="2" s="1"/>
  <c r="AD263" i="2"/>
  <c r="AS263" i="2" s="1"/>
  <c r="AD262" i="2"/>
  <c r="AS262" i="2" s="1"/>
  <c r="AD261" i="2"/>
  <c r="AS261" i="2" s="1"/>
  <c r="AD260" i="2"/>
  <c r="AS260" i="2" s="1"/>
  <c r="AD259" i="2"/>
  <c r="AS259" i="2" s="1"/>
  <c r="AD258" i="2"/>
  <c r="AS258" i="2" s="1"/>
  <c r="AD257" i="2"/>
  <c r="AS257" i="2" s="1"/>
  <c r="AD256" i="2"/>
  <c r="AS256" i="2" s="1"/>
  <c r="AD255" i="2"/>
  <c r="AD254" i="2"/>
  <c r="AS254" i="2" s="1"/>
  <c r="AD253" i="2"/>
  <c r="AS253" i="2" s="1"/>
  <c r="AD252" i="2"/>
  <c r="AS252" i="2" s="1"/>
  <c r="AD251" i="2"/>
  <c r="AS251" i="2" s="1"/>
  <c r="AD250" i="2"/>
  <c r="AS250" i="2" s="1"/>
  <c r="AD249" i="2"/>
  <c r="AS249" i="2" s="1"/>
  <c r="AD248" i="2"/>
  <c r="AS248" i="2" s="1"/>
  <c r="AD247" i="2"/>
  <c r="AS247" i="2" s="1"/>
  <c r="AD246" i="2"/>
  <c r="AS246" i="2" s="1"/>
  <c r="AD244" i="2"/>
  <c r="AS244" i="2" s="1"/>
  <c r="AD245" i="2"/>
  <c r="AS245" i="2" s="1"/>
  <c r="AD243" i="2"/>
  <c r="AS243" i="2" s="1"/>
  <c r="AD242" i="2"/>
  <c r="AS242" i="2" s="1"/>
  <c r="AD240" i="2"/>
  <c r="AS240" i="2" s="1"/>
  <c r="AD241" i="2"/>
  <c r="AS241" i="2" s="1"/>
  <c r="AD239" i="2"/>
  <c r="AS239" i="2" s="1"/>
  <c r="AD238" i="2"/>
  <c r="AS238" i="2" s="1"/>
  <c r="AD237" i="2"/>
  <c r="AS237" i="2" s="1"/>
  <c r="AD235" i="2"/>
  <c r="AS235" i="2" s="1"/>
  <c r="AD236" i="2"/>
  <c r="AS236" i="2" s="1"/>
  <c r="AL59" i="4"/>
  <c r="AL58" i="4"/>
  <c r="AL56" i="4"/>
  <c r="AL55" i="4"/>
  <c r="AT30" i="31"/>
  <c r="AU30" i="31"/>
  <c r="C32" i="31"/>
  <c r="AU29" i="31"/>
  <c r="C31" i="31"/>
  <c r="AT29" i="31"/>
  <c r="AL54" i="4"/>
  <c r="AL51" i="4"/>
  <c r="AL50" i="4"/>
  <c r="AI1" i="4" a="1"/>
  <c r="AI1" i="4" s="1"/>
  <c r="AJ1" i="4" a="1"/>
  <c r="AJ1" i="4" s="1"/>
  <c r="AH1" i="4" a="1"/>
  <c r="AH1" i="4" s="1"/>
  <c r="AR106" i="2"/>
  <c r="E56" i="18"/>
  <c r="B58" i="18"/>
  <c r="B57" i="18"/>
  <c r="B56" i="18"/>
  <c r="B55" i="18"/>
  <c r="B47" i="18" s="1"/>
  <c r="B40" i="18"/>
  <c r="B38" i="18"/>
  <c r="B37" i="18"/>
  <c r="B39" i="18" s="1"/>
  <c r="B33" i="18"/>
  <c r="AV252" i="2" l="1"/>
  <c r="AV260" i="2"/>
  <c r="AV268" i="2"/>
  <c r="AV276" i="2"/>
  <c r="AV284" i="2"/>
  <c r="AV292" i="2"/>
  <c r="AV300" i="2"/>
  <c r="AV308" i="2"/>
  <c r="AV316" i="2"/>
  <c r="AV298" i="2"/>
  <c r="AV253" i="2"/>
  <c r="AV261" i="2"/>
  <c r="AV269" i="2"/>
  <c r="AV277" i="2"/>
  <c r="AV285" i="2"/>
  <c r="AV293" i="2"/>
  <c r="AV301" i="2"/>
  <c r="AV309" i="2"/>
  <c r="AV317" i="2"/>
  <c r="AV290" i="2"/>
  <c r="AV314" i="2"/>
  <c r="AV254" i="2"/>
  <c r="AV262" i="2"/>
  <c r="AV270" i="2"/>
  <c r="AV278" i="2"/>
  <c r="AV286" i="2"/>
  <c r="AV294" i="2"/>
  <c r="AV302" i="2"/>
  <c r="AV310" i="2"/>
  <c r="AV318" i="2"/>
  <c r="AV266" i="2"/>
  <c r="AV255" i="2"/>
  <c r="AV263" i="2"/>
  <c r="AV271" i="2"/>
  <c r="AV279" i="2"/>
  <c r="AV287" i="2"/>
  <c r="AV295" i="2"/>
  <c r="AV303" i="2"/>
  <c r="AV311" i="2"/>
  <c r="AV319" i="2"/>
  <c r="AV274" i="2"/>
  <c r="AV256" i="2"/>
  <c r="AV264" i="2"/>
  <c r="AV272" i="2"/>
  <c r="AV280" i="2"/>
  <c r="AV288" i="2"/>
  <c r="AV296" i="2"/>
  <c r="AV304" i="2"/>
  <c r="AV312" i="2"/>
  <c r="AV320" i="2"/>
  <c r="AV282" i="2"/>
  <c r="AV257" i="2"/>
  <c r="AV265" i="2"/>
  <c r="AV273" i="2"/>
  <c r="AV281" i="2"/>
  <c r="AV289" i="2"/>
  <c r="AV297" i="2"/>
  <c r="AV305" i="2"/>
  <c r="AV313" i="2"/>
  <c r="AV321" i="2"/>
  <c r="AV258" i="2"/>
  <c r="AV259" i="2"/>
  <c r="AV267" i="2"/>
  <c r="AV275" i="2"/>
  <c r="AV283" i="2"/>
  <c r="AV291" i="2"/>
  <c r="AV299" i="2"/>
  <c r="AV307" i="2"/>
  <c r="AV315" i="2"/>
  <c r="AV323" i="2"/>
  <c r="AV306" i="2"/>
  <c r="AV322" i="2"/>
  <c r="AU285" i="2"/>
  <c r="AU284" i="2"/>
  <c r="AU283" i="2"/>
  <c r="AU282" i="2"/>
  <c r="AS255" i="2"/>
  <c r="AU255" i="2" s="1"/>
  <c r="AU281" i="2"/>
  <c r="AU278" i="2"/>
  <c r="AU279" i="2"/>
  <c r="AU280" i="2"/>
  <c r="AU277" i="2"/>
  <c r="AU276" i="2"/>
  <c r="AU275" i="2"/>
  <c r="AU274" i="2"/>
  <c r="AU273" i="2"/>
  <c r="AU272" i="2"/>
  <c r="AU271" i="2"/>
  <c r="AU270" i="2"/>
  <c r="AU269" i="2"/>
  <c r="AU268" i="2"/>
  <c r="AU267" i="2"/>
  <c r="AU265" i="2"/>
  <c r="AU266" i="2"/>
  <c r="AU264" i="2"/>
  <c r="AU263" i="2"/>
  <c r="AU262" i="2"/>
  <c r="AU260" i="2"/>
  <c r="AU261" i="2"/>
  <c r="AU258" i="2"/>
  <c r="AU259" i="2"/>
  <c r="AU256" i="2"/>
  <c r="AU257" i="2"/>
  <c r="AU254" i="2"/>
  <c r="AU253" i="2"/>
  <c r="AU252" i="2"/>
  <c r="AU250" i="2"/>
  <c r="AU251" i="2"/>
  <c r="AU249" i="2"/>
  <c r="AU248" i="2"/>
  <c r="AU246" i="2"/>
  <c r="AU247" i="2"/>
  <c r="AU245" i="2"/>
  <c r="AU244" i="2"/>
  <c r="AU242" i="2"/>
  <c r="AU243" i="2"/>
  <c r="AU241" i="2"/>
  <c r="AU240" i="2"/>
  <c r="AU238" i="2"/>
  <c r="AU239" i="2"/>
  <c r="AU237" i="2"/>
  <c r="AU235" i="2"/>
  <c r="AU236" i="2"/>
  <c r="C33" i="31"/>
  <c r="AU31" i="31"/>
  <c r="AT31" i="31"/>
  <c r="C34" i="31"/>
  <c r="AU32" i="31"/>
  <c r="AT32" i="31"/>
  <c r="E47" i="18"/>
  <c r="F56" i="18"/>
  <c r="F55" i="18"/>
  <c r="B31" i="18"/>
  <c r="C36" i="31" l="1"/>
  <c r="AT34" i="31"/>
  <c r="AU34" i="31"/>
  <c r="C35" i="31"/>
  <c r="AU33" i="31"/>
  <c r="AT33" i="31"/>
  <c r="J24" i="18"/>
  <c r="J23" i="18"/>
  <c r="J20" i="18"/>
  <c r="J19" i="18"/>
  <c r="I28" i="14"/>
  <c r="P28" i="14"/>
  <c r="Q28" i="14"/>
  <c r="AE28" i="14"/>
  <c r="I29" i="14"/>
  <c r="P29" i="14"/>
  <c r="Q29" i="14"/>
  <c r="AE29" i="14"/>
  <c r="I17" i="14"/>
  <c r="P17" i="14"/>
  <c r="Q17" i="14"/>
  <c r="AD17" i="14"/>
  <c r="AE17" i="14"/>
  <c r="I18" i="14"/>
  <c r="P18" i="14"/>
  <c r="Q18" i="14"/>
  <c r="AD18" i="14"/>
  <c r="AE18" i="14"/>
  <c r="C37" i="31" l="1"/>
  <c r="AT35" i="31"/>
  <c r="AU35" i="31"/>
  <c r="C38" i="31"/>
  <c r="AU36" i="31"/>
  <c r="AT36" i="31"/>
  <c r="AX29" i="14"/>
  <c r="AX18" i="14"/>
  <c r="AX28" i="14"/>
  <c r="AX17" i="14"/>
  <c r="J28" i="18"/>
  <c r="AU38" i="31" l="1"/>
  <c r="AT38" i="31"/>
  <c r="C40" i="31"/>
  <c r="AU37" i="31"/>
  <c r="AT37" i="31"/>
  <c r="C39" i="31"/>
  <c r="L26" i="18"/>
  <c r="K24" i="18"/>
  <c r="K23" i="18"/>
  <c r="K20" i="18"/>
  <c r="K19" i="18"/>
  <c r="F28" i="18"/>
  <c r="C28" i="18"/>
  <c r="D28" i="18"/>
  <c r="E28" i="18"/>
  <c r="B28" i="18"/>
  <c r="B17" i="18"/>
  <c r="G24" i="18"/>
  <c r="H24" i="18" s="1"/>
  <c r="G23" i="18"/>
  <c r="H23" i="18" s="1"/>
  <c r="G20" i="18"/>
  <c r="H20" i="18" s="1"/>
  <c r="CQ8" i="7"/>
  <c r="CR8" i="7"/>
  <c r="CS8" i="7"/>
  <c r="CT8" i="7"/>
  <c r="CU8" i="7"/>
  <c r="CV8" i="7"/>
  <c r="CQ16" i="7"/>
  <c r="CR16" i="7"/>
  <c r="CS16" i="7"/>
  <c r="CT16" i="7"/>
  <c r="CU16" i="7"/>
  <c r="CV16" i="7"/>
  <c r="CP16" i="7"/>
  <c r="CO16" i="7"/>
  <c r="AR245" i="4"/>
  <c r="AR246" i="4"/>
  <c r="AR247" i="4"/>
  <c r="AR248" i="4"/>
  <c r="AR249" i="4"/>
  <c r="AR250" i="4"/>
  <c r="AR251" i="4"/>
  <c r="AR252" i="4"/>
  <c r="AR253" i="4"/>
  <c r="AR254" i="4"/>
  <c r="AR255" i="4"/>
  <c r="AR256" i="4"/>
  <c r="AR257" i="4"/>
  <c r="AR258" i="4"/>
  <c r="AR259" i="4"/>
  <c r="AR260" i="4"/>
  <c r="AR261" i="4"/>
  <c r="AR262" i="4"/>
  <c r="K46" i="4"/>
  <c r="AR105" i="2"/>
  <c r="AR104" i="2"/>
  <c r="J104" i="2"/>
  <c r="I30" i="14"/>
  <c r="AU39" i="31" l="1"/>
  <c r="AT39" i="31"/>
  <c r="C41" i="31"/>
  <c r="AU40" i="31"/>
  <c r="AT40" i="31"/>
  <c r="C42" i="31"/>
  <c r="K28" i="18"/>
  <c r="CN16" i="7"/>
  <c r="CM16" i="7"/>
  <c r="AL46" i="4"/>
  <c r="M45" i="4"/>
  <c r="L45" i="4"/>
  <c r="K45" i="4"/>
  <c r="AL45" i="4" s="1"/>
  <c r="AR102" i="2"/>
  <c r="M39" i="11"/>
  <c r="M40" i="11"/>
  <c r="M41" i="11"/>
  <c r="M42" i="11"/>
  <c r="M43" i="11"/>
  <c r="M44"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45" i="11"/>
  <c r="J57" i="11"/>
  <c r="AQ57" i="11" s="1"/>
  <c r="AU41" i="31" l="1"/>
  <c r="AT41" i="31"/>
  <c r="C43" i="31"/>
  <c r="AT42" i="31"/>
  <c r="C44" i="31"/>
  <c r="AU42" i="31"/>
  <c r="C61" i="11"/>
  <c r="C9" i="11"/>
  <c r="C8" i="11"/>
  <c r="I18" i="13"/>
  <c r="I19" i="13"/>
  <c r="I20" i="13"/>
  <c r="I21" i="13"/>
  <c r="I22" i="13"/>
  <c r="I23" i="13"/>
  <c r="I24" i="13"/>
  <c r="I25" i="13"/>
  <c r="I26" i="13"/>
  <c r="I27" i="13"/>
  <c r="I29" i="13"/>
  <c r="I30" i="13"/>
  <c r="I34" i="13"/>
  <c r="I35" i="13"/>
  <c r="I36" i="13"/>
  <c r="I28" i="13"/>
  <c r="AE18" i="13"/>
  <c r="AE19" i="13"/>
  <c r="AE20" i="13"/>
  <c r="AE21" i="13"/>
  <c r="AE22" i="13"/>
  <c r="AE23" i="13"/>
  <c r="AE24" i="13"/>
  <c r="AE25" i="13"/>
  <c r="AF19" i="13"/>
  <c r="AF20" i="13"/>
  <c r="AF21" i="13"/>
  <c r="AF22" i="13"/>
  <c r="AF23" i="13"/>
  <c r="AF24" i="13"/>
  <c r="AF25" i="13"/>
  <c r="AF26" i="13"/>
  <c r="AF27" i="13"/>
  <c r="AF29" i="13"/>
  <c r="AF30" i="13"/>
  <c r="AF31" i="13"/>
  <c r="AF32" i="13"/>
  <c r="AF33" i="13"/>
  <c r="AF34" i="13"/>
  <c r="AF35" i="13"/>
  <c r="AF36" i="13"/>
  <c r="AF37" i="13"/>
  <c r="AF38" i="13"/>
  <c r="AF39" i="13"/>
  <c r="AF40" i="13"/>
  <c r="AF41" i="13"/>
  <c r="AF42" i="13"/>
  <c r="AF28" i="13"/>
  <c r="AV61" i="13"/>
  <c r="AV62" i="13"/>
  <c r="AV63" i="13"/>
  <c r="AV64" i="13"/>
  <c r="AV65" i="13"/>
  <c r="AV66" i="13"/>
  <c r="AV67" i="13"/>
  <c r="AV68" i="13"/>
  <c r="AV69" i="13"/>
  <c r="AV70" i="13"/>
  <c r="AV71" i="13"/>
  <c r="AV72" i="13"/>
  <c r="AV73" i="13"/>
  <c r="AV74" i="13"/>
  <c r="AV75" i="13"/>
  <c r="AV76" i="13"/>
  <c r="AV77" i="13"/>
  <c r="AV78" i="13"/>
  <c r="AV79" i="13"/>
  <c r="AV80" i="13"/>
  <c r="AV81" i="13"/>
  <c r="AV82" i="13"/>
  <c r="AV83" i="13"/>
  <c r="AV84" i="13"/>
  <c r="AV85" i="13"/>
  <c r="AV86" i="13"/>
  <c r="AV87" i="13"/>
  <c r="AV88" i="13"/>
  <c r="AV89" i="13"/>
  <c r="AV90" i="13"/>
  <c r="AV91" i="13"/>
  <c r="AV92" i="13"/>
  <c r="AV93" i="13"/>
  <c r="AV94" i="13"/>
  <c r="AV95" i="13"/>
  <c r="AV96" i="13"/>
  <c r="AV97" i="13"/>
  <c r="AV98" i="13"/>
  <c r="AV99" i="13"/>
  <c r="AV100" i="13"/>
  <c r="AV101" i="13"/>
  <c r="AV102" i="13"/>
  <c r="AV103" i="13"/>
  <c r="AV104" i="13"/>
  <c r="AV105" i="13"/>
  <c r="AV106" i="13"/>
  <c r="AV107" i="13"/>
  <c r="AV108" i="13"/>
  <c r="AV109" i="13"/>
  <c r="AV110" i="13"/>
  <c r="AV111" i="13"/>
  <c r="AV112" i="13"/>
  <c r="AV113" i="13"/>
  <c r="AV114" i="13"/>
  <c r="AV115" i="13"/>
  <c r="AV116" i="13"/>
  <c r="AV117" i="13"/>
  <c r="AV118" i="13"/>
  <c r="AV119" i="13"/>
  <c r="AV120" i="13"/>
  <c r="AV121" i="13"/>
  <c r="AV122" i="13"/>
  <c r="AV123" i="13"/>
  <c r="AV124" i="13"/>
  <c r="AV125" i="13"/>
  <c r="AV126" i="13"/>
  <c r="AV127" i="13"/>
  <c r="AV128" i="13"/>
  <c r="AV129" i="13"/>
  <c r="AV130" i="13"/>
  <c r="AV131" i="13"/>
  <c r="AV132" i="13"/>
  <c r="AV133" i="13"/>
  <c r="AV134" i="13"/>
  <c r="AV135" i="13"/>
  <c r="AV136" i="13"/>
  <c r="AV137" i="13"/>
  <c r="AV138" i="13"/>
  <c r="AV139" i="13"/>
  <c r="AV140" i="13"/>
  <c r="AV141" i="13"/>
  <c r="AV142" i="13"/>
  <c r="AV143" i="13"/>
  <c r="AV144" i="13"/>
  <c r="AV145" i="13"/>
  <c r="AV146" i="13"/>
  <c r="AV147" i="13"/>
  <c r="AV148" i="13"/>
  <c r="AV149" i="13"/>
  <c r="AV150" i="13"/>
  <c r="AV151" i="13"/>
  <c r="AV152" i="13"/>
  <c r="AV153" i="13"/>
  <c r="AV154" i="13"/>
  <c r="AV155" i="13"/>
  <c r="AV156" i="13"/>
  <c r="AV157" i="13"/>
  <c r="AV158" i="13"/>
  <c r="AV159" i="13"/>
  <c r="AV160" i="13"/>
  <c r="AV161" i="13"/>
  <c r="AV162" i="13"/>
  <c r="AV163" i="13"/>
  <c r="AV164" i="13"/>
  <c r="AV165" i="13"/>
  <c r="AV166" i="13"/>
  <c r="AV167" i="13"/>
  <c r="AV168" i="13"/>
  <c r="AV169" i="13"/>
  <c r="AV170" i="13"/>
  <c r="AV171" i="13"/>
  <c r="AV172" i="13"/>
  <c r="AV173" i="13"/>
  <c r="AV174" i="13"/>
  <c r="AV175" i="13"/>
  <c r="AV176" i="13"/>
  <c r="AV177" i="13"/>
  <c r="AV178" i="13"/>
  <c r="AV179" i="13"/>
  <c r="AV180" i="13"/>
  <c r="AV181" i="13"/>
  <c r="AV182" i="13"/>
  <c r="AV183" i="13"/>
  <c r="AV184" i="13"/>
  <c r="AV185" i="13"/>
  <c r="AV186" i="13"/>
  <c r="AV187" i="13"/>
  <c r="AV188" i="13"/>
  <c r="AV189" i="13"/>
  <c r="AV190" i="13"/>
  <c r="AV191" i="13"/>
  <c r="AV192" i="13"/>
  <c r="AV193" i="13"/>
  <c r="AV194" i="13"/>
  <c r="AV195" i="13"/>
  <c r="AV196" i="13"/>
  <c r="AV197" i="13"/>
  <c r="AV198" i="13"/>
  <c r="AV199" i="13"/>
  <c r="AV200" i="13"/>
  <c r="AV201" i="13"/>
  <c r="AV202" i="13"/>
  <c r="AV203" i="13"/>
  <c r="AV204" i="13"/>
  <c r="AV205" i="13"/>
  <c r="AV206" i="13"/>
  <c r="AV207" i="13"/>
  <c r="AV208" i="13"/>
  <c r="AV209" i="13"/>
  <c r="AV210" i="13"/>
  <c r="AV211" i="13"/>
  <c r="AV212" i="13"/>
  <c r="AV213" i="13"/>
  <c r="AV214" i="13"/>
  <c r="AV215" i="13"/>
  <c r="AV216" i="13"/>
  <c r="AV217" i="13"/>
  <c r="AV218" i="13"/>
  <c r="AV219" i="13"/>
  <c r="AV220" i="13"/>
  <c r="AV221" i="13"/>
  <c r="AV222" i="13"/>
  <c r="AV223" i="13"/>
  <c r="AV224" i="13"/>
  <c r="AV225" i="13"/>
  <c r="AV226" i="13"/>
  <c r="AV227" i="13"/>
  <c r="AV228" i="13"/>
  <c r="AV229" i="13"/>
  <c r="AV230" i="13"/>
  <c r="AV231" i="13"/>
  <c r="AV232" i="13"/>
  <c r="AV233" i="13"/>
  <c r="AV234" i="13"/>
  <c r="AV235" i="13"/>
  <c r="AV236" i="13"/>
  <c r="AV237" i="13"/>
  <c r="AV238" i="13"/>
  <c r="AV239" i="13"/>
  <c r="AV240" i="13"/>
  <c r="AV241" i="13"/>
  <c r="AV242" i="13"/>
  <c r="AV243" i="13"/>
  <c r="AV244" i="13"/>
  <c r="AV245" i="13"/>
  <c r="AV246" i="13"/>
  <c r="AV247" i="13"/>
  <c r="AV248" i="13"/>
  <c r="AV249" i="13"/>
  <c r="AV250" i="13"/>
  <c r="AV251" i="13"/>
  <c r="AV252" i="13"/>
  <c r="AV253" i="13"/>
  <c r="AV254" i="13"/>
  <c r="AV255" i="13"/>
  <c r="AV256" i="13"/>
  <c r="AV257" i="13"/>
  <c r="AV258" i="13"/>
  <c r="AV259" i="13"/>
  <c r="AV260" i="13"/>
  <c r="AV261" i="13"/>
  <c r="AV262" i="13"/>
  <c r="BF6" i="14"/>
  <c r="BG6" i="14"/>
  <c r="BH6" i="14"/>
  <c r="BI6" i="14"/>
  <c r="BK6" i="14"/>
  <c r="BF7" i="14"/>
  <c r="BG7" i="14"/>
  <c r="BH7" i="14"/>
  <c r="BI7" i="14"/>
  <c r="BK7" i="14"/>
  <c r="BA35" i="14"/>
  <c r="BA36" i="14"/>
  <c r="BA37" i="14"/>
  <c r="BA38" i="14"/>
  <c r="BA39" i="14"/>
  <c r="BA40" i="14"/>
  <c r="BA41" i="14"/>
  <c r="BA42" i="14"/>
  <c r="BA43" i="14"/>
  <c r="BA6" i="14"/>
  <c r="BA7" i="14"/>
  <c r="AW33" i="13"/>
  <c r="AW34" i="13"/>
  <c r="AW35" i="13"/>
  <c r="AW36" i="13"/>
  <c r="AW37" i="13"/>
  <c r="AW38" i="13"/>
  <c r="AW39" i="13"/>
  <c r="AW40" i="13"/>
  <c r="AW41" i="13"/>
  <c r="AW42" i="13"/>
  <c r="AT34" i="13"/>
  <c r="AT35" i="13"/>
  <c r="AT36" i="13"/>
  <c r="AT37" i="13"/>
  <c r="AT38" i="13"/>
  <c r="AT39" i="13"/>
  <c r="AT40" i="13"/>
  <c r="AT41" i="13"/>
  <c r="AT42" i="13"/>
  <c r="D6" i="2"/>
  <c r="D7" i="2"/>
  <c r="D9" i="11"/>
  <c r="D8" i="11"/>
  <c r="J101" i="2"/>
  <c r="M100" i="2"/>
  <c r="AN7" i="2" l="1"/>
  <c r="BC7" i="2"/>
  <c r="BD7" i="2"/>
  <c r="AN6" i="2"/>
  <c r="BD6" i="2"/>
  <c r="BC6" i="2"/>
  <c r="BE7" i="11"/>
  <c r="BD7" i="11"/>
  <c r="BN10" i="11" a="1"/>
  <c r="BN10" i="11" s="1"/>
  <c r="BN9" i="11" a="1"/>
  <c r="BN9" i="11" s="1"/>
  <c r="BN8" i="11" a="1"/>
  <c r="BN8" i="11" s="1"/>
  <c r="BM8" i="11" a="1"/>
  <c r="BM8" i="11" s="1"/>
  <c r="BD6" i="11"/>
  <c r="BE6" i="11"/>
  <c r="C46" i="31"/>
  <c r="AU44" i="31"/>
  <c r="AT44" i="31"/>
  <c r="C45" i="31"/>
  <c r="AU43" i="31"/>
  <c r="AT43" i="31"/>
  <c r="BJ7" i="14"/>
  <c r="BJ6" i="14"/>
  <c r="BG6" i="11" l="1"/>
  <c r="AZ6" i="11" s="1"/>
  <c r="BG7" i="11"/>
  <c r="AZ7" i="11" s="1"/>
  <c r="C48" i="31"/>
  <c r="AU46" i="31"/>
  <c r="AT46" i="31"/>
  <c r="C47" i="31"/>
  <c r="AU45" i="31"/>
  <c r="AT45" i="31"/>
  <c r="J56" i="11"/>
  <c r="AQ56" i="11" s="1"/>
  <c r="K44" i="4"/>
  <c r="AL44" i="4" s="1"/>
  <c r="I27" i="14"/>
  <c r="P27" i="14"/>
  <c r="BA27" i="14" s="1"/>
  <c r="Q27" i="14"/>
  <c r="AE27" i="14"/>
  <c r="P28" i="13"/>
  <c r="AW28" i="13" s="1"/>
  <c r="Q28" i="13"/>
  <c r="S28" i="13"/>
  <c r="AT28" i="13" s="1"/>
  <c r="AS28" i="13"/>
  <c r="C49" i="31" l="1"/>
  <c r="AU47" i="31"/>
  <c r="AT47" i="31"/>
  <c r="C50" i="31"/>
  <c r="AU48" i="31"/>
  <c r="AT48" i="31"/>
  <c r="AX27" i="14"/>
  <c r="CD42" i="7"/>
  <c r="CK42" i="7"/>
  <c r="CR42" i="7"/>
  <c r="CY42" i="7"/>
  <c r="DF42" i="7"/>
  <c r="BW42" i="7"/>
  <c r="BZ40" i="7"/>
  <c r="AS20" i="13"/>
  <c r="AS21" i="13"/>
  <c r="AS22" i="13"/>
  <c r="AS23" i="13"/>
  <c r="AS24" i="13"/>
  <c r="AS25" i="13"/>
  <c r="AS26" i="13"/>
  <c r="AS27" i="13"/>
  <c r="AS29" i="13"/>
  <c r="AS30" i="13"/>
  <c r="AS31" i="13"/>
  <c r="AS32" i="13"/>
  <c r="AS33" i="13"/>
  <c r="AS34" i="13"/>
  <c r="AS35" i="13"/>
  <c r="AS36" i="13"/>
  <c r="AS37" i="13"/>
  <c r="AS38" i="13"/>
  <c r="AS39" i="13"/>
  <c r="AS40" i="13"/>
  <c r="AS41" i="13"/>
  <c r="AS42" i="13"/>
  <c r="AS43" i="13"/>
  <c r="AS44" i="13"/>
  <c r="AS45" i="13"/>
  <c r="AS46" i="13"/>
  <c r="AS47" i="13"/>
  <c r="AS48" i="13"/>
  <c r="AS49" i="13"/>
  <c r="AS50" i="13"/>
  <c r="AS51" i="13"/>
  <c r="AS52" i="13"/>
  <c r="AS53" i="13"/>
  <c r="AS54" i="13"/>
  <c r="AS55" i="13"/>
  <c r="AS56" i="13"/>
  <c r="AS57" i="13"/>
  <c r="AS58" i="13"/>
  <c r="AS59" i="13"/>
  <c r="AS60" i="13"/>
  <c r="AS61" i="13"/>
  <c r="AS62" i="13"/>
  <c r="AS63" i="13"/>
  <c r="AS64" i="13"/>
  <c r="AS65" i="13"/>
  <c r="AS66" i="13"/>
  <c r="AS67" i="13"/>
  <c r="AS68" i="13"/>
  <c r="AS69" i="13"/>
  <c r="AS70" i="13"/>
  <c r="AS71" i="13"/>
  <c r="AS72" i="13"/>
  <c r="AS73" i="13"/>
  <c r="AS74" i="13"/>
  <c r="AS75" i="13"/>
  <c r="AS76" i="13"/>
  <c r="AS77" i="13"/>
  <c r="AS78" i="13"/>
  <c r="AS79" i="13"/>
  <c r="AS80" i="13"/>
  <c r="AS81" i="13"/>
  <c r="AS82" i="13"/>
  <c r="AS83" i="13"/>
  <c r="AS84" i="13"/>
  <c r="AS85" i="13"/>
  <c r="AS86" i="13"/>
  <c r="AS87" i="13"/>
  <c r="AS88" i="13"/>
  <c r="AS89" i="13"/>
  <c r="AS90" i="13"/>
  <c r="AS91" i="13"/>
  <c r="AS92" i="13"/>
  <c r="AS93" i="13"/>
  <c r="AS94" i="13"/>
  <c r="AS95" i="13"/>
  <c r="AS96" i="13"/>
  <c r="AS97" i="13"/>
  <c r="AS98" i="13"/>
  <c r="AS99" i="13"/>
  <c r="AS100" i="13"/>
  <c r="AS101" i="13"/>
  <c r="AS102" i="13"/>
  <c r="AS103" i="13"/>
  <c r="AS104" i="13"/>
  <c r="AS105" i="13"/>
  <c r="AS106" i="13"/>
  <c r="AS107" i="13"/>
  <c r="AS108" i="13"/>
  <c r="AS109" i="13"/>
  <c r="AS110" i="13"/>
  <c r="AS111" i="13"/>
  <c r="AS112" i="13"/>
  <c r="AS113" i="13"/>
  <c r="AS114" i="13"/>
  <c r="AS115" i="13"/>
  <c r="AS116" i="13"/>
  <c r="AS117" i="13"/>
  <c r="AS118" i="13"/>
  <c r="AS119" i="13"/>
  <c r="AS120" i="13"/>
  <c r="AS121" i="13"/>
  <c r="AS122" i="13"/>
  <c r="AS123" i="13"/>
  <c r="AS124" i="13"/>
  <c r="AS125" i="13"/>
  <c r="AS126" i="13"/>
  <c r="AS127" i="13"/>
  <c r="AS128" i="13"/>
  <c r="AS129" i="13"/>
  <c r="AS130" i="13"/>
  <c r="AS131" i="13"/>
  <c r="AS132" i="13"/>
  <c r="AS133" i="13"/>
  <c r="AS134" i="13"/>
  <c r="AS135" i="13"/>
  <c r="AS136" i="13"/>
  <c r="AS137" i="13"/>
  <c r="AS138" i="13"/>
  <c r="AS139" i="13"/>
  <c r="AS140" i="13"/>
  <c r="AS141" i="13"/>
  <c r="AS142" i="13"/>
  <c r="AS143" i="13"/>
  <c r="AS144" i="13"/>
  <c r="AS145" i="13"/>
  <c r="AS146" i="13"/>
  <c r="AS147" i="13"/>
  <c r="AS148" i="13"/>
  <c r="AS149" i="13"/>
  <c r="AS150" i="13"/>
  <c r="AS151" i="13"/>
  <c r="AS152" i="13"/>
  <c r="AS153" i="13"/>
  <c r="AS154" i="13"/>
  <c r="AS155" i="13"/>
  <c r="AS156" i="13"/>
  <c r="AS157" i="13"/>
  <c r="AS158" i="13"/>
  <c r="AS159" i="13"/>
  <c r="AS160" i="13"/>
  <c r="AS161" i="13"/>
  <c r="AS162" i="13"/>
  <c r="AS163" i="13"/>
  <c r="AS164" i="13"/>
  <c r="AS165" i="13"/>
  <c r="AS166" i="13"/>
  <c r="AS167" i="13"/>
  <c r="AS168" i="13"/>
  <c r="AS169" i="13"/>
  <c r="AS170" i="13"/>
  <c r="AS171" i="13"/>
  <c r="AS172" i="13"/>
  <c r="AS173" i="13"/>
  <c r="AS174" i="13"/>
  <c r="AS175" i="13"/>
  <c r="AS176" i="13"/>
  <c r="AS177" i="13"/>
  <c r="AS178" i="13"/>
  <c r="AS179" i="13"/>
  <c r="AS180" i="13"/>
  <c r="AS181" i="13"/>
  <c r="AS182" i="13"/>
  <c r="AS183" i="13"/>
  <c r="AS184" i="13"/>
  <c r="AS185" i="13"/>
  <c r="AS186" i="13"/>
  <c r="AS187" i="13"/>
  <c r="AS188" i="13"/>
  <c r="AS189" i="13"/>
  <c r="AS190" i="13"/>
  <c r="AS191" i="13"/>
  <c r="AS192" i="13"/>
  <c r="AS193" i="13"/>
  <c r="AS194" i="13"/>
  <c r="AS195" i="13"/>
  <c r="AS196" i="13"/>
  <c r="AS197" i="13"/>
  <c r="AS198" i="13"/>
  <c r="AS199" i="13"/>
  <c r="AS200" i="13"/>
  <c r="AS201" i="13"/>
  <c r="AS202" i="13"/>
  <c r="AS203" i="13"/>
  <c r="AS204" i="13"/>
  <c r="AS205" i="13"/>
  <c r="AS206" i="13"/>
  <c r="AS207" i="13"/>
  <c r="AS208" i="13"/>
  <c r="AS209" i="13"/>
  <c r="AS210" i="13"/>
  <c r="AS211" i="13"/>
  <c r="AS212" i="13"/>
  <c r="AS213" i="13"/>
  <c r="AS214" i="13"/>
  <c r="AS215" i="13"/>
  <c r="AS216" i="13"/>
  <c r="AS217" i="13"/>
  <c r="AS218" i="13"/>
  <c r="AS219" i="13"/>
  <c r="AS220" i="13"/>
  <c r="AS221" i="13"/>
  <c r="AS222" i="13"/>
  <c r="AS223" i="13"/>
  <c r="AS224" i="13"/>
  <c r="AS225" i="13"/>
  <c r="AS226" i="13"/>
  <c r="AS227" i="13"/>
  <c r="AS228" i="13"/>
  <c r="AS229" i="13"/>
  <c r="AS230" i="13"/>
  <c r="AS231" i="13"/>
  <c r="AS232" i="13"/>
  <c r="AS233" i="13"/>
  <c r="AS234" i="13"/>
  <c r="AS235" i="13"/>
  <c r="AS236" i="13"/>
  <c r="AS237" i="13"/>
  <c r="AS238" i="13"/>
  <c r="AS239" i="13"/>
  <c r="AS240" i="13"/>
  <c r="AS241" i="13"/>
  <c r="AS242" i="13"/>
  <c r="AS243" i="13"/>
  <c r="AS244" i="13"/>
  <c r="AS245" i="13"/>
  <c r="AS246" i="13"/>
  <c r="AS247" i="13"/>
  <c r="AS248" i="13"/>
  <c r="AS249" i="13"/>
  <c r="AS250" i="13"/>
  <c r="AS251" i="13"/>
  <c r="AS252" i="13"/>
  <c r="AS253" i="13"/>
  <c r="AS254" i="13"/>
  <c r="AS255" i="13"/>
  <c r="AS256" i="13"/>
  <c r="AS257" i="13"/>
  <c r="AS258" i="13"/>
  <c r="AS259" i="13"/>
  <c r="AS260" i="13"/>
  <c r="AS261" i="13"/>
  <c r="AS262" i="13"/>
  <c r="AS19" i="13"/>
  <c r="AD7" i="14"/>
  <c r="AD8" i="14"/>
  <c r="AD9" i="14"/>
  <c r="AD10" i="14"/>
  <c r="AD11" i="14"/>
  <c r="AD12" i="14"/>
  <c r="AD13" i="14"/>
  <c r="AD14" i="14"/>
  <c r="AD15" i="14"/>
  <c r="AD16" i="14"/>
  <c r="AD19" i="14"/>
  <c r="AD20" i="14"/>
  <c r="AD21" i="14"/>
  <c r="AD22" i="14"/>
  <c r="AD23" i="14"/>
  <c r="AD24" i="14"/>
  <c r="AD25" i="14"/>
  <c r="AD26" i="14"/>
  <c r="AD6" i="14"/>
  <c r="DK57" i="7"/>
  <c r="DJ57" i="7"/>
  <c r="DI57" i="7"/>
  <c r="DH57" i="7"/>
  <c r="DG57" i="7"/>
  <c r="DF57" i="7"/>
  <c r="DE57" i="7"/>
  <c r="DD57" i="7"/>
  <c r="DC57" i="7"/>
  <c r="DB57" i="7"/>
  <c r="DA57" i="7"/>
  <c r="CZ57" i="7"/>
  <c r="CY57" i="7"/>
  <c r="CX57" i="7"/>
  <c r="CW57" i="7"/>
  <c r="CV57" i="7"/>
  <c r="CU57" i="7"/>
  <c r="CT57" i="7"/>
  <c r="CS57" i="7"/>
  <c r="CR57" i="7"/>
  <c r="CQ57" i="7"/>
  <c r="CP57" i="7"/>
  <c r="CO57" i="7"/>
  <c r="CN57" i="7"/>
  <c r="CM57" i="7"/>
  <c r="CL57" i="7"/>
  <c r="CK57" i="7"/>
  <c r="CJ57" i="7"/>
  <c r="CI57" i="7"/>
  <c r="CH57" i="7"/>
  <c r="CG57" i="7"/>
  <c r="CF57" i="7"/>
  <c r="CE57" i="7"/>
  <c r="CD57" i="7"/>
  <c r="BY57" i="7"/>
  <c r="BY58" i="7" s="1"/>
  <c r="C55" i="7"/>
  <c r="A55" i="7" s="1"/>
  <c r="DP52" i="7"/>
  <c r="DO52" i="7"/>
  <c r="DN52" i="7"/>
  <c r="DM52" i="7"/>
  <c r="DL52" i="7"/>
  <c r="DK52" i="7"/>
  <c r="DJ52" i="7"/>
  <c r="DI52" i="7"/>
  <c r="DH52" i="7"/>
  <c r="DG52" i="7"/>
  <c r="DF52" i="7"/>
  <c r="DE52" i="7"/>
  <c r="DD52" i="7"/>
  <c r="DC52" i="7"/>
  <c r="DB52" i="7"/>
  <c r="DA52" i="7"/>
  <c r="CZ52" i="7"/>
  <c r="CY52" i="7"/>
  <c r="CX52" i="7"/>
  <c r="CW52" i="7"/>
  <c r="CV52" i="7"/>
  <c r="CU52" i="7"/>
  <c r="CT52" i="7"/>
  <c r="CS52" i="7"/>
  <c r="CR52" i="7"/>
  <c r="CQ52" i="7"/>
  <c r="CP52" i="7"/>
  <c r="CO52" i="7"/>
  <c r="CN52" i="7"/>
  <c r="CM52" i="7"/>
  <c r="CL52" i="7"/>
  <c r="CK52" i="7"/>
  <c r="CJ52" i="7"/>
  <c r="CI52" i="7"/>
  <c r="CH52" i="7"/>
  <c r="CG52" i="7"/>
  <c r="CF52" i="7"/>
  <c r="CE52" i="7"/>
  <c r="CD52" i="7"/>
  <c r="CD53" i="7" s="1"/>
  <c r="BT46" i="7"/>
  <c r="BU46" i="7"/>
  <c r="BV46" i="7"/>
  <c r="BW46" i="7"/>
  <c r="BX46" i="7"/>
  <c r="BY46" i="7"/>
  <c r="BZ46" i="7"/>
  <c r="CA46" i="7"/>
  <c r="CB46" i="7"/>
  <c r="CC46" i="7"/>
  <c r="CD46" i="7"/>
  <c r="CE46" i="7"/>
  <c r="CF46" i="7"/>
  <c r="CG46" i="7"/>
  <c r="CH46" i="7"/>
  <c r="CI46" i="7"/>
  <c r="CJ46" i="7"/>
  <c r="CK46" i="7"/>
  <c r="CL46" i="7"/>
  <c r="CM46" i="7"/>
  <c r="CN46" i="7"/>
  <c r="CO46" i="7"/>
  <c r="CP46" i="7"/>
  <c r="CQ46" i="7"/>
  <c r="CR46" i="7"/>
  <c r="CS46" i="7"/>
  <c r="CT46" i="7"/>
  <c r="CU46" i="7"/>
  <c r="CV46" i="7"/>
  <c r="CW46" i="7"/>
  <c r="CX46" i="7"/>
  <c r="CY46" i="7"/>
  <c r="CZ46" i="7"/>
  <c r="DA46" i="7"/>
  <c r="DB46" i="7"/>
  <c r="DC46" i="7"/>
  <c r="DD46" i="7"/>
  <c r="DE46" i="7"/>
  <c r="BS46" i="7"/>
  <c r="BS47" i="7" s="1"/>
  <c r="CY40" i="7"/>
  <c r="CZ40" i="7"/>
  <c r="DA40" i="7"/>
  <c r="DB40" i="7"/>
  <c r="DC40" i="7"/>
  <c r="DD40" i="7"/>
  <c r="DE40" i="7"/>
  <c r="BT40" i="7"/>
  <c r="BU40" i="7"/>
  <c r="BV40" i="7"/>
  <c r="BW40" i="7"/>
  <c r="BX40" i="7"/>
  <c r="BY40" i="7"/>
  <c r="CA40" i="7"/>
  <c r="CB40" i="7"/>
  <c r="CC40" i="7"/>
  <c r="CD40" i="7"/>
  <c r="CE40" i="7"/>
  <c r="CF40" i="7"/>
  <c r="CG40" i="7"/>
  <c r="CH40" i="7"/>
  <c r="CI40" i="7"/>
  <c r="CJ40" i="7"/>
  <c r="CK40" i="7"/>
  <c r="CL40" i="7"/>
  <c r="CM40" i="7"/>
  <c r="CN40" i="7"/>
  <c r="CO40" i="7"/>
  <c r="CP40" i="7"/>
  <c r="CQ40" i="7"/>
  <c r="CR40" i="7"/>
  <c r="CS40" i="7"/>
  <c r="CT40" i="7"/>
  <c r="CU40" i="7"/>
  <c r="CV40" i="7"/>
  <c r="CW40" i="7"/>
  <c r="CX40" i="7"/>
  <c r="BS40" i="7"/>
  <c r="BS41" i="7" s="1"/>
  <c r="Q263" i="14"/>
  <c r="P263" i="14"/>
  <c r="Q262" i="14"/>
  <c r="P262" i="14"/>
  <c r="Q261" i="14"/>
  <c r="P261" i="14"/>
  <c r="Q260" i="14"/>
  <c r="P260" i="14"/>
  <c r="Q259" i="14"/>
  <c r="P259" i="14"/>
  <c r="Q258" i="14"/>
  <c r="P258" i="14"/>
  <c r="Q257" i="14"/>
  <c r="P257" i="14"/>
  <c r="Q256" i="14"/>
  <c r="P256" i="14"/>
  <c r="Q255" i="14"/>
  <c r="P255" i="14"/>
  <c r="Q254" i="14"/>
  <c r="P254" i="14"/>
  <c r="Q253" i="14"/>
  <c r="P253" i="14"/>
  <c r="Q252" i="14"/>
  <c r="P252" i="14"/>
  <c r="Q251" i="14"/>
  <c r="P251" i="14"/>
  <c r="Q250" i="14"/>
  <c r="P250" i="14"/>
  <c r="Q249" i="14"/>
  <c r="P249" i="14"/>
  <c r="Q248" i="14"/>
  <c r="P248" i="14"/>
  <c r="Q247" i="14"/>
  <c r="P247" i="14"/>
  <c r="Q246" i="14"/>
  <c r="P246" i="14"/>
  <c r="Q245" i="14"/>
  <c r="P245" i="14"/>
  <c r="Q244" i="14"/>
  <c r="P244" i="14"/>
  <c r="Q243" i="14"/>
  <c r="P243" i="14"/>
  <c r="Q242" i="14"/>
  <c r="P242" i="14"/>
  <c r="Q241" i="14"/>
  <c r="P241" i="14"/>
  <c r="Q240" i="14"/>
  <c r="P240" i="14"/>
  <c r="Q239" i="14"/>
  <c r="P239" i="14"/>
  <c r="Q238" i="14"/>
  <c r="P238" i="14"/>
  <c r="Q237" i="14"/>
  <c r="P237" i="14"/>
  <c r="Q236" i="14"/>
  <c r="P236" i="14"/>
  <c r="Q235" i="14"/>
  <c r="P235" i="14"/>
  <c r="Q234" i="14"/>
  <c r="P234" i="14"/>
  <c r="Q233" i="14"/>
  <c r="P233" i="14"/>
  <c r="Q232" i="14"/>
  <c r="P232" i="14"/>
  <c r="Q231" i="14"/>
  <c r="P231" i="14"/>
  <c r="Q230" i="14"/>
  <c r="P230" i="14"/>
  <c r="Q229" i="14"/>
  <c r="P229" i="14"/>
  <c r="Q228" i="14"/>
  <c r="P228" i="14"/>
  <c r="Q227" i="14"/>
  <c r="P227" i="14"/>
  <c r="Q226" i="14"/>
  <c r="P226" i="14"/>
  <c r="Q225" i="14"/>
  <c r="P225" i="14"/>
  <c r="Q224" i="14"/>
  <c r="P224" i="14"/>
  <c r="Q223" i="14"/>
  <c r="P223" i="14"/>
  <c r="Q222" i="14"/>
  <c r="P222" i="14"/>
  <c r="Q221" i="14"/>
  <c r="P221" i="14"/>
  <c r="Q220" i="14"/>
  <c r="P220" i="14"/>
  <c r="Q219" i="14"/>
  <c r="P219" i="14"/>
  <c r="Q218" i="14"/>
  <c r="P218" i="14"/>
  <c r="Q217" i="14"/>
  <c r="P217" i="14"/>
  <c r="Q216" i="14"/>
  <c r="P216" i="14"/>
  <c r="Q215" i="14"/>
  <c r="P215" i="14"/>
  <c r="Q214" i="14"/>
  <c r="P214" i="14"/>
  <c r="Q213" i="14"/>
  <c r="P213" i="14"/>
  <c r="Q212" i="14"/>
  <c r="P212" i="14"/>
  <c r="Q211" i="14"/>
  <c r="P211" i="14"/>
  <c r="Q210" i="14"/>
  <c r="P210" i="14"/>
  <c r="Q209" i="14"/>
  <c r="P209" i="14"/>
  <c r="Q208" i="14"/>
  <c r="P208" i="14"/>
  <c r="Q207" i="14"/>
  <c r="P207" i="14"/>
  <c r="Q206" i="14"/>
  <c r="P206" i="14"/>
  <c r="Q205" i="14"/>
  <c r="P205" i="14"/>
  <c r="Q204" i="14"/>
  <c r="P204" i="14"/>
  <c r="Q203" i="14"/>
  <c r="P203" i="14"/>
  <c r="Q202" i="14"/>
  <c r="P202" i="14"/>
  <c r="Q201" i="14"/>
  <c r="P201" i="14"/>
  <c r="Q200" i="14"/>
  <c r="P200" i="14"/>
  <c r="Q199" i="14"/>
  <c r="P199" i="14"/>
  <c r="Q198" i="14"/>
  <c r="P198" i="14"/>
  <c r="Q197" i="14"/>
  <c r="P197" i="14"/>
  <c r="Q196" i="14"/>
  <c r="P196" i="14"/>
  <c r="Q195" i="14"/>
  <c r="P195" i="14"/>
  <c r="Q194" i="14"/>
  <c r="P194" i="14"/>
  <c r="Q193" i="14"/>
  <c r="P193" i="14"/>
  <c r="Q192" i="14"/>
  <c r="P192" i="14"/>
  <c r="Q191" i="14"/>
  <c r="P191" i="14"/>
  <c r="Q190" i="14"/>
  <c r="P190" i="14"/>
  <c r="Q189" i="14"/>
  <c r="P189" i="14"/>
  <c r="Q188" i="14"/>
  <c r="P188" i="14"/>
  <c r="Q187" i="14"/>
  <c r="P187" i="14"/>
  <c r="Q186" i="14"/>
  <c r="P186" i="14"/>
  <c r="Q185" i="14"/>
  <c r="P185" i="14"/>
  <c r="Q184" i="14"/>
  <c r="P184" i="14"/>
  <c r="Q183" i="14"/>
  <c r="P183" i="14"/>
  <c r="Q182" i="14"/>
  <c r="P182" i="14"/>
  <c r="Q181" i="14"/>
  <c r="P181" i="14"/>
  <c r="Q180" i="14"/>
  <c r="P180" i="14"/>
  <c r="Q179" i="14"/>
  <c r="P179" i="14"/>
  <c r="Q178" i="14"/>
  <c r="P178" i="14"/>
  <c r="Q177" i="14"/>
  <c r="P177" i="14"/>
  <c r="Q176" i="14"/>
  <c r="P176" i="14"/>
  <c r="Q175" i="14"/>
  <c r="P175" i="14"/>
  <c r="Q174" i="14"/>
  <c r="P174" i="14"/>
  <c r="Q173" i="14"/>
  <c r="P173" i="14"/>
  <c r="Q172" i="14"/>
  <c r="P172" i="14"/>
  <c r="Q171" i="14"/>
  <c r="P171" i="14"/>
  <c r="Q170" i="14"/>
  <c r="P170" i="14"/>
  <c r="Q169" i="14"/>
  <c r="P169" i="14"/>
  <c r="Q168" i="14"/>
  <c r="P168" i="14"/>
  <c r="Q167" i="14"/>
  <c r="P167" i="14"/>
  <c r="Q166" i="14"/>
  <c r="P166" i="14"/>
  <c r="Q165" i="14"/>
  <c r="P165" i="14"/>
  <c r="Q164" i="14"/>
  <c r="P164" i="14"/>
  <c r="Q163" i="14"/>
  <c r="P163" i="14"/>
  <c r="Q162" i="14"/>
  <c r="P162" i="14"/>
  <c r="Q161" i="14"/>
  <c r="P161" i="14"/>
  <c r="Q160" i="14"/>
  <c r="P160" i="14"/>
  <c r="Q159" i="14"/>
  <c r="P159" i="14"/>
  <c r="Q158" i="14"/>
  <c r="P158" i="14"/>
  <c r="Q157" i="14"/>
  <c r="P157" i="14"/>
  <c r="Q156" i="14"/>
  <c r="P156" i="14"/>
  <c r="Q155" i="14"/>
  <c r="P155" i="14"/>
  <c r="Q154" i="14"/>
  <c r="P154" i="14"/>
  <c r="Q153" i="14"/>
  <c r="P153" i="14"/>
  <c r="Q152" i="14"/>
  <c r="P152" i="14"/>
  <c r="Q151" i="14"/>
  <c r="P151" i="14"/>
  <c r="Q150" i="14"/>
  <c r="P150" i="14"/>
  <c r="Q149" i="14"/>
  <c r="P149" i="14"/>
  <c r="Q148" i="14"/>
  <c r="P148" i="14"/>
  <c r="Q147" i="14"/>
  <c r="P147" i="14"/>
  <c r="Q146" i="14"/>
  <c r="P146" i="14"/>
  <c r="Q145" i="14"/>
  <c r="P145" i="14"/>
  <c r="Q144" i="14"/>
  <c r="P144" i="14"/>
  <c r="Q143" i="14"/>
  <c r="P143" i="14"/>
  <c r="Q142" i="14"/>
  <c r="P142" i="14"/>
  <c r="Q141" i="14"/>
  <c r="P141" i="14"/>
  <c r="Q140" i="14"/>
  <c r="P140" i="14"/>
  <c r="Q139" i="14"/>
  <c r="P139" i="14"/>
  <c r="BK138" i="14"/>
  <c r="BI138" i="14"/>
  <c r="BH138" i="14"/>
  <c r="BG138" i="14"/>
  <c r="BF138" i="14"/>
  <c r="Q138" i="14"/>
  <c r="P138" i="14"/>
  <c r="BK137" i="14"/>
  <c r="BI137" i="14"/>
  <c r="BH137" i="14"/>
  <c r="BG137" i="14"/>
  <c r="BF137" i="14"/>
  <c r="Q137" i="14"/>
  <c r="P137" i="14"/>
  <c r="BK136" i="14"/>
  <c r="BI136" i="14"/>
  <c r="BH136" i="14"/>
  <c r="BG136" i="14"/>
  <c r="BF136" i="14"/>
  <c r="Q136" i="14"/>
  <c r="P136" i="14"/>
  <c r="BK135" i="14"/>
  <c r="BI135" i="14"/>
  <c r="BH135" i="14"/>
  <c r="BG135" i="14"/>
  <c r="BF135" i="14"/>
  <c r="Q135" i="14"/>
  <c r="P135" i="14"/>
  <c r="BK134" i="14"/>
  <c r="BI134" i="14"/>
  <c r="BH134" i="14"/>
  <c r="BG134" i="14"/>
  <c r="BF134" i="14"/>
  <c r="Q134" i="14"/>
  <c r="P134" i="14"/>
  <c r="BK133" i="14"/>
  <c r="BI133" i="14"/>
  <c r="BH133" i="14"/>
  <c r="BG133" i="14"/>
  <c r="BF133" i="14"/>
  <c r="Q133" i="14"/>
  <c r="P133" i="14"/>
  <c r="BK132" i="14"/>
  <c r="BI132" i="14"/>
  <c r="BH132" i="14"/>
  <c r="BG132" i="14"/>
  <c r="BF132" i="14"/>
  <c r="Q132" i="14"/>
  <c r="P132" i="14"/>
  <c r="BK131" i="14"/>
  <c r="BI131" i="14"/>
  <c r="BH131" i="14"/>
  <c r="BG131" i="14"/>
  <c r="BF131" i="14"/>
  <c r="Q131" i="14"/>
  <c r="P131" i="14"/>
  <c r="BK130" i="14"/>
  <c r="BI130" i="14"/>
  <c r="BH130" i="14"/>
  <c r="BG130" i="14"/>
  <c r="BF130" i="14"/>
  <c r="Q130" i="14"/>
  <c r="P130" i="14"/>
  <c r="BK129" i="14"/>
  <c r="BI129" i="14"/>
  <c r="BH129" i="14"/>
  <c r="BG129" i="14"/>
  <c r="BF129" i="14"/>
  <c r="Q129" i="14"/>
  <c r="P129" i="14"/>
  <c r="BK128" i="14"/>
  <c r="BI128" i="14"/>
  <c r="BH128" i="14"/>
  <c r="BG128" i="14"/>
  <c r="BF128" i="14"/>
  <c r="Q128" i="14"/>
  <c r="P128" i="14"/>
  <c r="BK127" i="14"/>
  <c r="BI127" i="14"/>
  <c r="BH127" i="14"/>
  <c r="BG127" i="14"/>
  <c r="BF127" i="14"/>
  <c r="Q127" i="14"/>
  <c r="P127" i="14"/>
  <c r="BK126" i="14"/>
  <c r="BI126" i="14"/>
  <c r="BH126" i="14"/>
  <c r="BG126" i="14"/>
  <c r="BF126" i="14"/>
  <c r="Q126" i="14"/>
  <c r="P126" i="14"/>
  <c r="BK125" i="14"/>
  <c r="BI125" i="14"/>
  <c r="BH125" i="14"/>
  <c r="BG125" i="14"/>
  <c r="BF125" i="14"/>
  <c r="Q125" i="14"/>
  <c r="P125" i="14"/>
  <c r="BK124" i="14"/>
  <c r="BI124" i="14"/>
  <c r="BH124" i="14"/>
  <c r="BG124" i="14"/>
  <c r="BF124" i="14"/>
  <c r="Q124" i="14"/>
  <c r="P124" i="14"/>
  <c r="BK123" i="14"/>
  <c r="BI123" i="14"/>
  <c r="BH123" i="14"/>
  <c r="BG123" i="14"/>
  <c r="BF123" i="14"/>
  <c r="Q123" i="14"/>
  <c r="P123" i="14"/>
  <c r="BK122" i="14"/>
  <c r="BI122" i="14"/>
  <c r="BH122" i="14"/>
  <c r="BG122" i="14"/>
  <c r="BF122" i="14"/>
  <c r="Q122" i="14"/>
  <c r="P122" i="14"/>
  <c r="BK121" i="14"/>
  <c r="BI121" i="14"/>
  <c r="BH121" i="14"/>
  <c r="BG121" i="14"/>
  <c r="BF121" i="14"/>
  <c r="Q121" i="14"/>
  <c r="P121" i="14"/>
  <c r="BK120" i="14"/>
  <c r="BI120" i="14"/>
  <c r="BH120" i="14"/>
  <c r="BG120" i="14"/>
  <c r="BF120" i="14"/>
  <c r="Q120" i="14"/>
  <c r="P120" i="14"/>
  <c r="BK119" i="14"/>
  <c r="BI119" i="14"/>
  <c r="BH119" i="14"/>
  <c r="BG119" i="14"/>
  <c r="BF119" i="14"/>
  <c r="Q119" i="14"/>
  <c r="P119" i="14"/>
  <c r="BK118" i="14"/>
  <c r="BI118" i="14"/>
  <c r="BH118" i="14"/>
  <c r="BG118" i="14"/>
  <c r="BF118" i="14"/>
  <c r="Q118" i="14"/>
  <c r="P118" i="14"/>
  <c r="BK117" i="14"/>
  <c r="BI117" i="14"/>
  <c r="BH117" i="14"/>
  <c r="BG117" i="14"/>
  <c r="BF117" i="14"/>
  <c r="Q117" i="14"/>
  <c r="P117" i="14"/>
  <c r="BK116" i="14"/>
  <c r="BI116" i="14"/>
  <c r="BH116" i="14"/>
  <c r="BG116" i="14"/>
  <c r="BF116" i="14"/>
  <c r="Q116" i="14"/>
  <c r="P116" i="14"/>
  <c r="BK115" i="14"/>
  <c r="BI115" i="14"/>
  <c r="BH115" i="14"/>
  <c r="BG115" i="14"/>
  <c r="BF115" i="14"/>
  <c r="Q115" i="14"/>
  <c r="P115" i="14"/>
  <c r="BK114" i="14"/>
  <c r="BI114" i="14"/>
  <c r="BH114" i="14"/>
  <c r="BG114" i="14"/>
  <c r="BF114" i="14"/>
  <c r="Q114" i="14"/>
  <c r="P114" i="14"/>
  <c r="BK113" i="14"/>
  <c r="BI113" i="14"/>
  <c r="BH113" i="14"/>
  <c r="BG113" i="14"/>
  <c r="BF113" i="14"/>
  <c r="Q113" i="14"/>
  <c r="P113" i="14"/>
  <c r="BK112" i="14"/>
  <c r="BI112" i="14"/>
  <c r="BH112" i="14"/>
  <c r="BG112" i="14"/>
  <c r="BF112" i="14"/>
  <c r="Q112" i="14"/>
  <c r="P112" i="14"/>
  <c r="BK111" i="14"/>
  <c r="BI111" i="14"/>
  <c r="BH111" i="14"/>
  <c r="BG111" i="14"/>
  <c r="BF111" i="14"/>
  <c r="Q111" i="14"/>
  <c r="P111" i="14"/>
  <c r="BK110" i="14"/>
  <c r="BI110" i="14"/>
  <c r="BH110" i="14"/>
  <c r="BG110" i="14"/>
  <c r="BF110" i="14"/>
  <c r="Q110" i="14"/>
  <c r="P110" i="14"/>
  <c r="BK109" i="14"/>
  <c r="BI109" i="14"/>
  <c r="BH109" i="14"/>
  <c r="BG109" i="14"/>
  <c r="BF109" i="14"/>
  <c r="Q109" i="14"/>
  <c r="P109" i="14"/>
  <c r="BK108" i="14"/>
  <c r="BI108" i="14"/>
  <c r="BH108" i="14"/>
  <c r="BG108" i="14"/>
  <c r="BF108" i="14"/>
  <c r="Q108" i="14"/>
  <c r="P108" i="14"/>
  <c r="BK107" i="14"/>
  <c r="BI107" i="14"/>
  <c r="BH107" i="14"/>
  <c r="BG107" i="14"/>
  <c r="BF107" i="14"/>
  <c r="Q107" i="14"/>
  <c r="P107" i="14"/>
  <c r="BK106" i="14"/>
  <c r="BI106" i="14"/>
  <c r="BH106" i="14"/>
  <c r="BG106" i="14"/>
  <c r="BF106" i="14"/>
  <c r="Q106" i="14"/>
  <c r="P106" i="14"/>
  <c r="BK105" i="14"/>
  <c r="BI105" i="14"/>
  <c r="BH105" i="14"/>
  <c r="BG105" i="14"/>
  <c r="BF105" i="14"/>
  <c r="Q105" i="14"/>
  <c r="P105" i="14"/>
  <c r="BK104" i="14"/>
  <c r="BI104" i="14"/>
  <c r="BH104" i="14"/>
  <c r="BG104" i="14"/>
  <c r="BF104" i="14"/>
  <c r="Q104" i="14"/>
  <c r="P104" i="14"/>
  <c r="BK103" i="14"/>
  <c r="BI103" i="14"/>
  <c r="BH103" i="14"/>
  <c r="BG103" i="14"/>
  <c r="BF103" i="14"/>
  <c r="Q103" i="14"/>
  <c r="P103" i="14"/>
  <c r="BK102" i="14"/>
  <c r="BI102" i="14"/>
  <c r="BH102" i="14"/>
  <c r="BG102" i="14"/>
  <c r="BF102" i="14"/>
  <c r="Q102" i="14"/>
  <c r="P102" i="14"/>
  <c r="BK101" i="14"/>
  <c r="BI101" i="14"/>
  <c r="BH101" i="14"/>
  <c r="BG101" i="14"/>
  <c r="BF101" i="14"/>
  <c r="Q101" i="14"/>
  <c r="P101" i="14"/>
  <c r="BK100" i="14"/>
  <c r="BI100" i="14"/>
  <c r="BH100" i="14"/>
  <c r="BG100" i="14"/>
  <c r="BF100" i="14"/>
  <c r="Q100" i="14"/>
  <c r="P100" i="14"/>
  <c r="BK99" i="14"/>
  <c r="BI99" i="14"/>
  <c r="BH99" i="14"/>
  <c r="BG99" i="14"/>
  <c r="BF99" i="14"/>
  <c r="Q99" i="14"/>
  <c r="P99" i="14"/>
  <c r="BK98" i="14"/>
  <c r="BI98" i="14"/>
  <c r="BH98" i="14"/>
  <c r="BG98" i="14"/>
  <c r="BF98" i="14"/>
  <c r="Q98" i="14"/>
  <c r="P98" i="14"/>
  <c r="BK97" i="14"/>
  <c r="BI97" i="14"/>
  <c r="BH97" i="14"/>
  <c r="BG97" i="14"/>
  <c r="BF97" i="14"/>
  <c r="Q97" i="14"/>
  <c r="P97" i="14"/>
  <c r="BK96" i="14"/>
  <c r="BI96" i="14"/>
  <c r="BH96" i="14"/>
  <c r="BG96" i="14"/>
  <c r="BF96" i="14"/>
  <c r="Q96" i="14"/>
  <c r="P96" i="14"/>
  <c r="BK95" i="14"/>
  <c r="BI95" i="14"/>
  <c r="BH95" i="14"/>
  <c r="BG95" i="14"/>
  <c r="BF95" i="14"/>
  <c r="Q95" i="14"/>
  <c r="P95" i="14"/>
  <c r="BK94" i="14"/>
  <c r="BI94" i="14"/>
  <c r="BH94" i="14"/>
  <c r="BG94" i="14"/>
  <c r="BF94" i="14"/>
  <c r="Q94" i="14"/>
  <c r="P94" i="14"/>
  <c r="BK93" i="14"/>
  <c r="BI93" i="14"/>
  <c r="BH93" i="14"/>
  <c r="BG93" i="14"/>
  <c r="BF93" i="14"/>
  <c r="Q93" i="14"/>
  <c r="P93" i="14"/>
  <c r="BK92" i="14"/>
  <c r="BI92" i="14"/>
  <c r="BH92" i="14"/>
  <c r="BG92" i="14"/>
  <c r="BF92" i="14"/>
  <c r="Q92" i="14"/>
  <c r="P92" i="14"/>
  <c r="BK91" i="14"/>
  <c r="BI91" i="14"/>
  <c r="BH91" i="14"/>
  <c r="BG91" i="14"/>
  <c r="BF91" i="14"/>
  <c r="Q91" i="14"/>
  <c r="P91" i="14"/>
  <c r="BK90" i="14"/>
  <c r="BI90" i="14"/>
  <c r="BH90" i="14"/>
  <c r="BG90" i="14"/>
  <c r="BF90" i="14"/>
  <c r="Q90" i="14"/>
  <c r="P90" i="14"/>
  <c r="BK89" i="14"/>
  <c r="BI89" i="14"/>
  <c r="BH89" i="14"/>
  <c r="BG89" i="14"/>
  <c r="BF89" i="14"/>
  <c r="Q89" i="14"/>
  <c r="P89" i="14"/>
  <c r="BK88" i="14"/>
  <c r="BI88" i="14"/>
  <c r="BH88" i="14"/>
  <c r="BG88" i="14"/>
  <c r="BF88" i="14"/>
  <c r="Q88" i="14"/>
  <c r="P88" i="14"/>
  <c r="BK87" i="14"/>
  <c r="BI87" i="14"/>
  <c r="BH87" i="14"/>
  <c r="BG87" i="14"/>
  <c r="BF87" i="14"/>
  <c r="Q87" i="14"/>
  <c r="P87" i="14"/>
  <c r="BK86" i="14"/>
  <c r="BI86" i="14"/>
  <c r="BH86" i="14"/>
  <c r="BG86" i="14"/>
  <c r="BF86" i="14"/>
  <c r="Q86" i="14"/>
  <c r="P86" i="14"/>
  <c r="BK85" i="14"/>
  <c r="BI85" i="14"/>
  <c r="BH85" i="14"/>
  <c r="BG85" i="14"/>
  <c r="BF85" i="14"/>
  <c r="Q85" i="14"/>
  <c r="P85" i="14"/>
  <c r="BK84" i="14"/>
  <c r="BI84" i="14"/>
  <c r="BH84" i="14"/>
  <c r="BG84" i="14"/>
  <c r="BF84" i="14"/>
  <c r="Q84" i="14"/>
  <c r="P84" i="14"/>
  <c r="BK83" i="14"/>
  <c r="BI83" i="14"/>
  <c r="BH83" i="14"/>
  <c r="BG83" i="14"/>
  <c r="BF83" i="14"/>
  <c r="Q83" i="14"/>
  <c r="P83" i="14"/>
  <c r="BK82" i="14"/>
  <c r="BI82" i="14"/>
  <c r="BH82" i="14"/>
  <c r="BG82" i="14"/>
  <c r="BF82" i="14"/>
  <c r="Q82" i="14"/>
  <c r="P82" i="14"/>
  <c r="BK81" i="14"/>
  <c r="BI81" i="14"/>
  <c r="BH81" i="14"/>
  <c r="BG81" i="14"/>
  <c r="BF81" i="14"/>
  <c r="Q81" i="14"/>
  <c r="P81" i="14"/>
  <c r="BK80" i="14"/>
  <c r="BI80" i="14"/>
  <c r="BH80" i="14"/>
  <c r="BG80" i="14"/>
  <c r="BF80" i="14"/>
  <c r="Q80" i="14"/>
  <c r="P80" i="14"/>
  <c r="BK79" i="14"/>
  <c r="BI79" i="14"/>
  <c r="BH79" i="14"/>
  <c r="BG79" i="14"/>
  <c r="BF79" i="14"/>
  <c r="Q79" i="14"/>
  <c r="P79" i="14"/>
  <c r="BK78" i="14"/>
  <c r="BI78" i="14"/>
  <c r="BH78" i="14"/>
  <c r="BG78" i="14"/>
  <c r="BF78" i="14"/>
  <c r="Q78" i="14"/>
  <c r="P78" i="14"/>
  <c r="BK77" i="14"/>
  <c r="BI77" i="14"/>
  <c r="BH77" i="14"/>
  <c r="BG77" i="14"/>
  <c r="BF77" i="14"/>
  <c r="Q77" i="14"/>
  <c r="P77" i="14"/>
  <c r="BK76" i="14"/>
  <c r="BI76" i="14"/>
  <c r="BH76" i="14"/>
  <c r="BG76" i="14"/>
  <c r="BF76" i="14"/>
  <c r="Q76" i="14"/>
  <c r="P76" i="14"/>
  <c r="BK75" i="14"/>
  <c r="BI75" i="14"/>
  <c r="BH75" i="14"/>
  <c r="BG75" i="14"/>
  <c r="BF75" i="14"/>
  <c r="Q75" i="14"/>
  <c r="P75" i="14"/>
  <c r="BK74" i="14"/>
  <c r="BI74" i="14"/>
  <c r="BH74" i="14"/>
  <c r="BG74" i="14"/>
  <c r="BF74" i="14"/>
  <c r="Q74" i="14"/>
  <c r="P74" i="14"/>
  <c r="BK73" i="14"/>
  <c r="BI73" i="14"/>
  <c r="BH73" i="14"/>
  <c r="BG73" i="14"/>
  <c r="BF73" i="14"/>
  <c r="Q73" i="14"/>
  <c r="P73" i="14"/>
  <c r="BK72" i="14"/>
  <c r="BI72" i="14"/>
  <c r="BH72" i="14"/>
  <c r="BG72" i="14"/>
  <c r="BF72" i="14"/>
  <c r="Q72" i="14"/>
  <c r="P72" i="14"/>
  <c r="BK71" i="14"/>
  <c r="BI71" i="14"/>
  <c r="BH71" i="14"/>
  <c r="BG71" i="14"/>
  <c r="BF71" i="14"/>
  <c r="Q71" i="14"/>
  <c r="P71" i="14"/>
  <c r="BK70" i="14"/>
  <c r="BI70" i="14"/>
  <c r="BH70" i="14"/>
  <c r="BG70" i="14"/>
  <c r="BF70" i="14"/>
  <c r="Q70" i="14"/>
  <c r="P70" i="14"/>
  <c r="BK69" i="14"/>
  <c r="BI69" i="14"/>
  <c r="BH69" i="14"/>
  <c r="BG69" i="14"/>
  <c r="BF69" i="14"/>
  <c r="Q69" i="14"/>
  <c r="P69" i="14"/>
  <c r="BK68" i="14"/>
  <c r="BI68" i="14"/>
  <c r="BH68" i="14"/>
  <c r="BG68" i="14"/>
  <c r="BF68" i="14"/>
  <c r="Q68" i="14"/>
  <c r="P68" i="14"/>
  <c r="BK67" i="14"/>
  <c r="BI67" i="14"/>
  <c r="BH67" i="14"/>
  <c r="BG67" i="14"/>
  <c r="BF67" i="14"/>
  <c r="Q67" i="14"/>
  <c r="P67" i="14"/>
  <c r="BK66" i="14"/>
  <c r="BI66" i="14"/>
  <c r="BH66" i="14"/>
  <c r="BG66" i="14"/>
  <c r="BF66" i="14"/>
  <c r="Q66" i="14"/>
  <c r="P66" i="14"/>
  <c r="BK65" i="14"/>
  <c r="BI65" i="14"/>
  <c r="BH65" i="14"/>
  <c r="BG65" i="14"/>
  <c r="BF65" i="14"/>
  <c r="Q65" i="14"/>
  <c r="P65" i="14"/>
  <c r="BK64" i="14"/>
  <c r="BI64" i="14"/>
  <c r="BH64" i="14"/>
  <c r="BG64" i="14"/>
  <c r="BF64" i="14"/>
  <c r="Q64" i="14"/>
  <c r="P64" i="14"/>
  <c r="BK63" i="14"/>
  <c r="BI63" i="14"/>
  <c r="BH63" i="14"/>
  <c r="BG63" i="14"/>
  <c r="BF63" i="14"/>
  <c r="Q63" i="14"/>
  <c r="P63" i="14"/>
  <c r="BK62" i="14"/>
  <c r="BI62" i="14"/>
  <c r="BH62" i="14"/>
  <c r="BG62" i="14"/>
  <c r="BF62" i="14"/>
  <c r="Q62" i="14"/>
  <c r="P62" i="14"/>
  <c r="BK61" i="14"/>
  <c r="BI61" i="14"/>
  <c r="BH61" i="14"/>
  <c r="BG61" i="14"/>
  <c r="BF61" i="14"/>
  <c r="Q61" i="14"/>
  <c r="P61" i="14"/>
  <c r="BK60" i="14"/>
  <c r="BI60" i="14"/>
  <c r="BH60" i="14"/>
  <c r="BG60" i="14"/>
  <c r="BF60" i="14"/>
  <c r="Q60" i="14"/>
  <c r="P60" i="14"/>
  <c r="BK59" i="14"/>
  <c r="BI59" i="14"/>
  <c r="BH59" i="14"/>
  <c r="BG59" i="14"/>
  <c r="BF59" i="14"/>
  <c r="Q59" i="14"/>
  <c r="P59" i="14"/>
  <c r="BK58" i="14"/>
  <c r="BI58" i="14"/>
  <c r="BH58" i="14"/>
  <c r="BG58" i="14"/>
  <c r="BF58" i="14"/>
  <c r="Q58" i="14"/>
  <c r="P58" i="14"/>
  <c r="BK57" i="14"/>
  <c r="BI57" i="14"/>
  <c r="BH57" i="14"/>
  <c r="BG57" i="14"/>
  <c r="BF57" i="14"/>
  <c r="Q57" i="14"/>
  <c r="P57" i="14"/>
  <c r="BK56" i="14"/>
  <c r="BI56" i="14"/>
  <c r="BH56" i="14"/>
  <c r="BG56" i="14"/>
  <c r="BF56" i="14"/>
  <c r="Q56" i="14"/>
  <c r="P56" i="14"/>
  <c r="BK55" i="14"/>
  <c r="BI55" i="14"/>
  <c r="BH55" i="14"/>
  <c r="BG55" i="14"/>
  <c r="BF55" i="14"/>
  <c r="Q55" i="14"/>
  <c r="P55" i="14"/>
  <c r="BK54" i="14"/>
  <c r="BI54" i="14"/>
  <c r="BH54" i="14"/>
  <c r="BG54" i="14"/>
  <c r="BF54" i="14"/>
  <c r="Q54" i="14"/>
  <c r="P54" i="14"/>
  <c r="BK53" i="14"/>
  <c r="BI53" i="14"/>
  <c r="BH53" i="14"/>
  <c r="BG53" i="14"/>
  <c r="BF53" i="14"/>
  <c r="Q53" i="14"/>
  <c r="P53" i="14"/>
  <c r="BK52" i="14"/>
  <c r="BI52" i="14"/>
  <c r="BH52" i="14"/>
  <c r="BG52" i="14"/>
  <c r="BF52" i="14"/>
  <c r="Q52" i="14"/>
  <c r="P52" i="14"/>
  <c r="BK51" i="14"/>
  <c r="BI51" i="14"/>
  <c r="BH51" i="14"/>
  <c r="BG51" i="14"/>
  <c r="BF51" i="14"/>
  <c r="Q51" i="14"/>
  <c r="P51" i="14"/>
  <c r="BK50" i="14"/>
  <c r="BI50" i="14"/>
  <c r="BH50" i="14"/>
  <c r="BG50" i="14"/>
  <c r="BF50" i="14"/>
  <c r="Q50" i="14"/>
  <c r="P50" i="14"/>
  <c r="BK49" i="14"/>
  <c r="BI49" i="14"/>
  <c r="BH49" i="14"/>
  <c r="BG49" i="14"/>
  <c r="BF49" i="14"/>
  <c r="Q49" i="14"/>
  <c r="P49" i="14"/>
  <c r="BK48" i="14"/>
  <c r="BI48" i="14"/>
  <c r="BH48" i="14"/>
  <c r="BG48" i="14"/>
  <c r="BF48" i="14"/>
  <c r="Q48" i="14"/>
  <c r="P48" i="14"/>
  <c r="BK47" i="14"/>
  <c r="BI47" i="14"/>
  <c r="BH47" i="14"/>
  <c r="BG47" i="14"/>
  <c r="BF47" i="14"/>
  <c r="Q47" i="14"/>
  <c r="P47" i="14"/>
  <c r="BK46" i="14"/>
  <c r="BI46" i="14"/>
  <c r="BH46" i="14"/>
  <c r="BG46" i="14"/>
  <c r="BF46" i="14"/>
  <c r="Q46" i="14"/>
  <c r="P46" i="14"/>
  <c r="BK45" i="14"/>
  <c r="BI45" i="14"/>
  <c r="BH45" i="14"/>
  <c r="BG45" i="14"/>
  <c r="BF45" i="14"/>
  <c r="Q45" i="14"/>
  <c r="P45" i="14"/>
  <c r="BK44" i="14"/>
  <c r="BI44" i="14"/>
  <c r="BH44" i="14"/>
  <c r="BG44" i="14"/>
  <c r="BF44" i="14"/>
  <c r="Q44" i="14"/>
  <c r="P44" i="14"/>
  <c r="BK43" i="14"/>
  <c r="BI43" i="14"/>
  <c r="BH43" i="14"/>
  <c r="BG43" i="14"/>
  <c r="BF43" i="14"/>
  <c r="AE43" i="14"/>
  <c r="Q43" i="14"/>
  <c r="P43" i="14"/>
  <c r="BK42" i="14"/>
  <c r="BI42" i="14"/>
  <c r="BH42" i="14"/>
  <c r="BG42" i="14"/>
  <c r="BF42" i="14"/>
  <c r="AE42" i="14"/>
  <c r="Q42" i="14"/>
  <c r="P42" i="14"/>
  <c r="BK41" i="14"/>
  <c r="BI41" i="14"/>
  <c r="BH41" i="14"/>
  <c r="BG41" i="14"/>
  <c r="BF41" i="14"/>
  <c r="AE41" i="14"/>
  <c r="Q41" i="14"/>
  <c r="P41" i="14"/>
  <c r="BK40" i="14"/>
  <c r="BI40" i="14"/>
  <c r="BH40" i="14"/>
  <c r="BG40" i="14"/>
  <c r="BF40" i="14"/>
  <c r="AE40" i="14"/>
  <c r="Q40" i="14"/>
  <c r="P40" i="14"/>
  <c r="BK39" i="14"/>
  <c r="BI39" i="14"/>
  <c r="BH39" i="14"/>
  <c r="BG39" i="14"/>
  <c r="BF39" i="14"/>
  <c r="AE39" i="14"/>
  <c r="Q39" i="14"/>
  <c r="P39" i="14"/>
  <c r="BK38" i="14"/>
  <c r="BI38" i="14"/>
  <c r="BH38" i="14"/>
  <c r="BG38" i="14"/>
  <c r="BF38" i="14"/>
  <c r="AE38" i="14"/>
  <c r="Q38" i="14"/>
  <c r="P38" i="14"/>
  <c r="BK37" i="14"/>
  <c r="BI37" i="14"/>
  <c r="BH37" i="14"/>
  <c r="BG37" i="14"/>
  <c r="BF37" i="14"/>
  <c r="AE37" i="14"/>
  <c r="Q37" i="14"/>
  <c r="P37" i="14"/>
  <c r="BK36" i="14"/>
  <c r="BI36" i="14"/>
  <c r="BH36" i="14"/>
  <c r="BG36" i="14"/>
  <c r="BF36" i="14"/>
  <c r="AE36" i="14"/>
  <c r="Q36" i="14"/>
  <c r="P36" i="14"/>
  <c r="BK35" i="14"/>
  <c r="BI35" i="14"/>
  <c r="BH35" i="14"/>
  <c r="BG35" i="14"/>
  <c r="BF35" i="14"/>
  <c r="AE35" i="14"/>
  <c r="Q35" i="14"/>
  <c r="P35" i="14"/>
  <c r="BK34" i="14"/>
  <c r="BI34" i="14"/>
  <c r="BH34" i="14"/>
  <c r="BG34" i="14"/>
  <c r="BF34" i="14"/>
  <c r="AE34" i="14"/>
  <c r="Q34" i="14"/>
  <c r="P34" i="14"/>
  <c r="BA34" i="14" s="1"/>
  <c r="BK32" i="14"/>
  <c r="BI32" i="14"/>
  <c r="BH32" i="14"/>
  <c r="BG32" i="14"/>
  <c r="BF32" i="14"/>
  <c r="AE32" i="14"/>
  <c r="Q32" i="14"/>
  <c r="P32" i="14"/>
  <c r="BK31" i="14"/>
  <c r="BI31" i="14"/>
  <c r="BH31" i="14"/>
  <c r="BG31" i="14"/>
  <c r="BF31" i="14"/>
  <c r="AE31" i="14"/>
  <c r="Q31" i="14"/>
  <c r="P31" i="14"/>
  <c r="BK30" i="14"/>
  <c r="BI30" i="14"/>
  <c r="BH30" i="14"/>
  <c r="BG30" i="14"/>
  <c r="BF30" i="14"/>
  <c r="AE30" i="14"/>
  <c r="Q30" i="14"/>
  <c r="AX30" i="14" s="1"/>
  <c r="P30" i="14"/>
  <c r="BK29" i="14"/>
  <c r="BI29" i="14"/>
  <c r="BH29" i="14"/>
  <c r="BG29" i="14"/>
  <c r="BF29" i="14"/>
  <c r="BK28" i="14"/>
  <c r="BI28" i="14"/>
  <c r="BH28" i="14"/>
  <c r="BG28" i="14"/>
  <c r="BF28" i="14"/>
  <c r="BK27" i="14"/>
  <c r="BI27" i="14"/>
  <c r="BH27" i="14"/>
  <c r="BG27" i="14"/>
  <c r="BF27" i="14"/>
  <c r="BK26" i="14"/>
  <c r="BI26" i="14"/>
  <c r="BH26" i="14"/>
  <c r="BG26" i="14"/>
  <c r="BF26" i="14"/>
  <c r="AE26" i="14"/>
  <c r="Q26" i="14"/>
  <c r="P26" i="14"/>
  <c r="I26" i="14"/>
  <c r="BK25" i="14"/>
  <c r="BI25" i="14"/>
  <c r="BH25" i="14"/>
  <c r="BG25" i="14"/>
  <c r="BF25" i="14"/>
  <c r="AE25" i="14"/>
  <c r="M25" i="14"/>
  <c r="P25" i="14" s="1"/>
  <c r="I25" i="14"/>
  <c r="BK24" i="14"/>
  <c r="BI24" i="14"/>
  <c r="BH24" i="14"/>
  <c r="BG24" i="14"/>
  <c r="BF24" i="14"/>
  <c r="AE24" i="14"/>
  <c r="M24" i="14"/>
  <c r="P24" i="14" s="1"/>
  <c r="I24" i="14"/>
  <c r="BK23" i="14"/>
  <c r="BI23" i="14"/>
  <c r="BH23" i="14"/>
  <c r="BG23" i="14"/>
  <c r="BF23" i="14"/>
  <c r="AE23" i="14"/>
  <c r="Q23" i="14"/>
  <c r="P23" i="14"/>
  <c r="I23" i="14"/>
  <c r="BK22" i="14"/>
  <c r="BI22" i="14"/>
  <c r="BH22" i="14"/>
  <c r="BG22" i="14"/>
  <c r="BF22" i="14"/>
  <c r="AE22" i="14"/>
  <c r="Q22" i="14"/>
  <c r="P22" i="14"/>
  <c r="BA22" i="14" s="1"/>
  <c r="I22" i="14"/>
  <c r="BK21" i="14"/>
  <c r="BI21" i="14"/>
  <c r="BH21" i="14"/>
  <c r="BG21" i="14"/>
  <c r="BF21" i="14"/>
  <c r="AE21" i="14"/>
  <c r="Q21" i="14"/>
  <c r="P21" i="14"/>
  <c r="BA21" i="14" s="1"/>
  <c r="I21" i="14"/>
  <c r="BK20" i="14"/>
  <c r="BI20" i="14"/>
  <c r="BH20" i="14"/>
  <c r="BG20" i="14"/>
  <c r="BF20" i="14"/>
  <c r="AE20" i="14"/>
  <c r="Q20" i="14"/>
  <c r="P20" i="14"/>
  <c r="BA20" i="14" s="1"/>
  <c r="I20" i="14"/>
  <c r="BK19" i="14"/>
  <c r="BI19" i="14"/>
  <c r="BH19" i="14"/>
  <c r="BG19" i="14"/>
  <c r="BF19" i="14"/>
  <c r="AE19" i="14"/>
  <c r="Q19" i="14"/>
  <c r="P19" i="14"/>
  <c r="BA19" i="14" s="1"/>
  <c r="I19" i="14"/>
  <c r="BK18" i="14"/>
  <c r="BI18" i="14"/>
  <c r="BH18" i="14"/>
  <c r="BG18" i="14"/>
  <c r="BF18" i="14"/>
  <c r="BK17" i="14"/>
  <c r="BI17" i="14"/>
  <c r="BH17" i="14"/>
  <c r="BG17" i="14"/>
  <c r="BF17" i="14"/>
  <c r="BK16" i="14"/>
  <c r="BI16" i="14"/>
  <c r="BH16" i="14"/>
  <c r="BG16" i="14"/>
  <c r="BF16" i="14"/>
  <c r="AE16" i="14"/>
  <c r="Q16" i="14"/>
  <c r="P16" i="14"/>
  <c r="BA16" i="14" s="1"/>
  <c r="I16" i="14"/>
  <c r="BK15" i="14"/>
  <c r="BI15" i="14"/>
  <c r="BH15" i="14"/>
  <c r="BG15" i="14"/>
  <c r="BF15" i="14"/>
  <c r="AE15" i="14"/>
  <c r="Q15" i="14"/>
  <c r="P15" i="14"/>
  <c r="I15" i="14"/>
  <c r="BK14" i="14"/>
  <c r="BI14" i="14"/>
  <c r="BH14" i="14"/>
  <c r="BG14" i="14"/>
  <c r="BF14" i="14"/>
  <c r="AE14" i="14"/>
  <c r="Q14" i="14"/>
  <c r="P14" i="14"/>
  <c r="I14" i="14"/>
  <c r="BK13" i="14"/>
  <c r="BI13" i="14"/>
  <c r="BH13" i="14"/>
  <c r="BG13" i="14"/>
  <c r="BF13" i="14"/>
  <c r="AE13" i="14"/>
  <c r="Q13" i="14"/>
  <c r="P13" i="14"/>
  <c r="I13" i="14"/>
  <c r="AX13" i="14" s="1"/>
  <c r="BK12" i="14"/>
  <c r="BI12" i="14"/>
  <c r="BH12" i="14"/>
  <c r="BG12" i="14"/>
  <c r="BF12" i="14"/>
  <c r="AE12" i="14"/>
  <c r="M12" i="14"/>
  <c r="Q12" i="14" s="1"/>
  <c r="I12" i="14"/>
  <c r="BK11" i="14"/>
  <c r="BI11" i="14"/>
  <c r="BH11" i="14"/>
  <c r="BG11" i="14"/>
  <c r="BF11" i="14"/>
  <c r="AE11" i="14"/>
  <c r="Q11" i="14"/>
  <c r="I11" i="14"/>
  <c r="BK10" i="14"/>
  <c r="BI10" i="14"/>
  <c r="BH10" i="14"/>
  <c r="BG10" i="14"/>
  <c r="BF10" i="14"/>
  <c r="AE10" i="14"/>
  <c r="Q10" i="14"/>
  <c r="P10" i="14"/>
  <c r="I10" i="14"/>
  <c r="AX10" i="14" s="1"/>
  <c r="BK9" i="14"/>
  <c r="BI9" i="14"/>
  <c r="BH9" i="14"/>
  <c r="BG9" i="14"/>
  <c r="BF9" i="14"/>
  <c r="AE9" i="14"/>
  <c r="Q9" i="14"/>
  <c r="P9" i="14"/>
  <c r="I9" i="14"/>
  <c r="AX9" i="14" s="1"/>
  <c r="BK8" i="14"/>
  <c r="BI8" i="14"/>
  <c r="BH8" i="14"/>
  <c r="BG8" i="14"/>
  <c r="BF8" i="14"/>
  <c r="AE8" i="14"/>
  <c r="Q8" i="14"/>
  <c r="I8" i="14"/>
  <c r="AX8" i="14" s="1"/>
  <c r="AE7" i="14"/>
  <c r="I7" i="14"/>
  <c r="AE6" i="14"/>
  <c r="I6" i="14"/>
  <c r="AX6" i="14" s="1"/>
  <c r="AU50" i="31" l="1"/>
  <c r="AT50" i="31"/>
  <c r="C52" i="31"/>
  <c r="AU49" i="31"/>
  <c r="AT49" i="31"/>
  <c r="C51" i="31"/>
  <c r="AX22" i="14"/>
  <c r="AX16" i="14"/>
  <c r="AX7" i="14"/>
  <c r="AX12" i="14"/>
  <c r="AX21" i="14"/>
  <c r="AX32" i="14"/>
  <c r="AX15" i="14"/>
  <c r="AX20" i="14"/>
  <c r="AX11" i="14"/>
  <c r="AX31" i="14"/>
  <c r="BA31" i="14" s="1"/>
  <c r="AX14" i="14"/>
  <c r="AX19" i="14"/>
  <c r="AX23" i="14"/>
  <c r="AX26" i="14"/>
  <c r="BJ119" i="14"/>
  <c r="BJ116" i="14"/>
  <c r="BJ70" i="14"/>
  <c r="AX34" i="14"/>
  <c r="BJ125" i="14"/>
  <c r="AX37" i="14"/>
  <c r="AX43" i="14"/>
  <c r="BJ9" i="14"/>
  <c r="AX35" i="14"/>
  <c r="AX38" i="14"/>
  <c r="BT47" i="7"/>
  <c r="BU47" i="7" s="1"/>
  <c r="BV47" i="7" s="1"/>
  <c r="BW47" i="7" s="1"/>
  <c r="BX47" i="7" s="1"/>
  <c r="BY47" i="7" s="1"/>
  <c r="BZ47" i="7" s="1"/>
  <c r="CA47" i="7" s="1"/>
  <c r="CB47" i="7" s="1"/>
  <c r="CC47" i="7" s="1"/>
  <c r="CD47" i="7" s="1"/>
  <c r="CE47" i="7" s="1"/>
  <c r="CF47" i="7" s="1"/>
  <c r="CG47" i="7" s="1"/>
  <c r="CH47" i="7" s="1"/>
  <c r="CI47" i="7" s="1"/>
  <c r="CJ47" i="7" s="1"/>
  <c r="CK47" i="7" s="1"/>
  <c r="CL47" i="7" s="1"/>
  <c r="CM47" i="7" s="1"/>
  <c r="CN47" i="7" s="1"/>
  <c r="CO47" i="7" s="1"/>
  <c r="CP47" i="7" s="1"/>
  <c r="CQ47" i="7" s="1"/>
  <c r="CR47" i="7" s="1"/>
  <c r="CS47" i="7" s="1"/>
  <c r="CT47" i="7" s="1"/>
  <c r="CU47" i="7" s="1"/>
  <c r="CV47" i="7" s="1"/>
  <c r="CW47" i="7" s="1"/>
  <c r="CX47" i="7" s="1"/>
  <c r="CY47" i="7" s="1"/>
  <c r="CZ47" i="7" s="1"/>
  <c r="DA47" i="7" s="1"/>
  <c r="DB47" i="7" s="1"/>
  <c r="DC47" i="7" s="1"/>
  <c r="DD47" i="7" s="1"/>
  <c r="DE47" i="7" s="1"/>
  <c r="AX41" i="14"/>
  <c r="BJ62" i="14"/>
  <c r="BJ65" i="14"/>
  <c r="BJ10" i="14"/>
  <c r="BJ88" i="14"/>
  <c r="BJ23" i="14"/>
  <c r="BJ38" i="14"/>
  <c r="AX42" i="14"/>
  <c r="BJ29" i="14"/>
  <c r="BJ36" i="14"/>
  <c r="BJ39" i="14"/>
  <c r="BJ66" i="14"/>
  <c r="BJ72" i="14"/>
  <c r="BJ75" i="14"/>
  <c r="BJ81" i="14"/>
  <c r="BJ90" i="14"/>
  <c r="BJ108" i="14"/>
  <c r="BJ114" i="14"/>
  <c r="BJ126" i="14"/>
  <c r="BJ132" i="14"/>
  <c r="BJ31" i="14"/>
  <c r="BJ44" i="14"/>
  <c r="BJ57" i="14"/>
  <c r="BJ18" i="14"/>
  <c r="BJ93" i="14"/>
  <c r="BJ138" i="14"/>
  <c r="BJ83" i="14"/>
  <c r="BJ12" i="14"/>
  <c r="BJ46" i="14"/>
  <c r="BJ64" i="14"/>
  <c r="BJ45" i="14"/>
  <c r="BJ48" i="14"/>
  <c r="BJ54" i="14"/>
  <c r="BJ99" i="14"/>
  <c r="BJ102" i="14"/>
  <c r="BJ130" i="14"/>
  <c r="BJ60" i="14"/>
  <c r="BJ41" i="14"/>
  <c r="BJ63" i="14"/>
  <c r="BJ120" i="14"/>
  <c r="BJ123" i="14"/>
  <c r="BJ136" i="14"/>
  <c r="BJ98" i="14"/>
  <c r="BA23" i="14"/>
  <c r="BA32" i="14"/>
  <c r="AX36" i="14"/>
  <c r="BJ40" i="14"/>
  <c r="BJ47" i="14"/>
  <c r="BJ91" i="14"/>
  <c r="BJ101" i="14"/>
  <c r="BJ104" i="14"/>
  <c r="BJ26" i="14"/>
  <c r="BJ74" i="14"/>
  <c r="BJ78" i="14"/>
  <c r="BJ84" i="14"/>
  <c r="BJ107" i="14"/>
  <c r="BJ128" i="14"/>
  <c r="BJ15" i="14"/>
  <c r="BJ32" i="14"/>
  <c r="BJ52" i="14"/>
  <c r="BJ55" i="14"/>
  <c r="BJ24" i="14"/>
  <c r="BJ28" i="14"/>
  <c r="BJ80" i="14"/>
  <c r="BJ106" i="14"/>
  <c r="BJ112" i="14"/>
  <c r="BJ134" i="14"/>
  <c r="BJ53" i="14"/>
  <c r="BJ118" i="14"/>
  <c r="BA14" i="14"/>
  <c r="BJ34" i="14"/>
  <c r="BA10" i="14"/>
  <c r="Q24" i="14"/>
  <c r="AX24" i="14" s="1"/>
  <c r="Q25" i="14"/>
  <c r="BJ51" i="14"/>
  <c r="BJ76" i="14"/>
  <c r="BJ94" i="14"/>
  <c r="BJ137" i="14"/>
  <c r="BJ71" i="14"/>
  <c r="BJ56" i="14"/>
  <c r="BJ113" i="14"/>
  <c r="P12" i="14"/>
  <c r="BA15" i="14"/>
  <c r="BJ95" i="14"/>
  <c r="BA9" i="14"/>
  <c r="BJ59" i="14"/>
  <c r="BJ87" i="14"/>
  <c r="BJ37" i="14"/>
  <c r="BJ58" i="14"/>
  <c r="BJ69" i="14"/>
  <c r="BJ86" i="14"/>
  <c r="BJ97" i="14"/>
  <c r="BJ11" i="14"/>
  <c r="BA26" i="14"/>
  <c r="BJ27" i="14"/>
  <c r="BJ50" i="14"/>
  <c r="BJ61" i="14"/>
  <c r="BJ105" i="14"/>
  <c r="BJ111" i="14"/>
  <c r="BJ124" i="14"/>
  <c r="BJ131" i="14"/>
  <c r="BJ77" i="14"/>
  <c r="AZ34" i="14"/>
  <c r="BJ13" i="14"/>
  <c r="BJ14" i="14"/>
  <c r="BJ16" i="14"/>
  <c r="BJ19" i="14"/>
  <c r="BJ25" i="14"/>
  <c r="BJ68" i="14"/>
  <c r="BJ117" i="14"/>
  <c r="BJ121" i="14"/>
  <c r="BJ129" i="14"/>
  <c r="BJ35" i="14"/>
  <c r="BJ92" i="14"/>
  <c r="BJ110" i="14"/>
  <c r="AX39" i="14"/>
  <c r="BJ8" i="14"/>
  <c r="BJ17" i="14"/>
  <c r="BJ20" i="14"/>
  <c r="BJ22" i="14"/>
  <c r="AX40" i="14"/>
  <c r="BJ42" i="14"/>
  <c r="BJ82" i="14"/>
  <c r="BJ89" i="14"/>
  <c r="BJ96" i="14"/>
  <c r="BJ100" i="14"/>
  <c r="BJ135" i="14"/>
  <c r="CE53" i="7"/>
  <c r="CF53" i="7" s="1"/>
  <c r="CG53" i="7" s="1"/>
  <c r="CH53" i="7" s="1"/>
  <c r="CI53" i="7" s="1"/>
  <c r="CJ53" i="7" s="1"/>
  <c r="CK53" i="7" s="1"/>
  <c r="CL53" i="7" s="1"/>
  <c r="CM53" i="7" s="1"/>
  <c r="CN53" i="7" s="1"/>
  <c r="CO53" i="7" s="1"/>
  <c r="CP53" i="7" s="1"/>
  <c r="CQ53" i="7" s="1"/>
  <c r="CR53" i="7" s="1"/>
  <c r="CS53" i="7" s="1"/>
  <c r="CT53" i="7" s="1"/>
  <c r="CU53" i="7" s="1"/>
  <c r="CV53" i="7" s="1"/>
  <c r="CW53" i="7" s="1"/>
  <c r="CX53" i="7" s="1"/>
  <c r="CY53" i="7" s="1"/>
  <c r="CZ53" i="7" s="1"/>
  <c r="DA53" i="7" s="1"/>
  <c r="DB53" i="7" s="1"/>
  <c r="DC53" i="7" s="1"/>
  <c r="DD53" i="7" s="1"/>
  <c r="DE53" i="7" s="1"/>
  <c r="DF53" i="7" s="1"/>
  <c r="DG53" i="7" s="1"/>
  <c r="DH53" i="7" s="1"/>
  <c r="DI53" i="7" s="1"/>
  <c r="DJ53" i="7" s="1"/>
  <c r="DK53" i="7" s="1"/>
  <c r="DL53" i="7" s="1"/>
  <c r="DM53" i="7" s="1"/>
  <c r="DN53" i="7" s="1"/>
  <c r="DO53" i="7" s="1"/>
  <c r="DP53" i="7" s="1"/>
  <c r="CD58" i="7"/>
  <c r="CE58" i="7" s="1"/>
  <c r="CF58" i="7" s="1"/>
  <c r="CG58" i="7" s="1"/>
  <c r="CH58" i="7" s="1"/>
  <c r="CI58" i="7" s="1"/>
  <c r="CJ58" i="7" s="1"/>
  <c r="CK58" i="7" s="1"/>
  <c r="CL58" i="7" s="1"/>
  <c r="CM58" i="7" s="1"/>
  <c r="CN58" i="7" s="1"/>
  <c r="CO58" i="7" s="1"/>
  <c r="CP58" i="7" s="1"/>
  <c r="CQ58" i="7" s="1"/>
  <c r="CR58" i="7" s="1"/>
  <c r="CS58" i="7" s="1"/>
  <c r="CT58" i="7" s="1"/>
  <c r="CU58" i="7" s="1"/>
  <c r="CV58" i="7" s="1"/>
  <c r="CW58" i="7" s="1"/>
  <c r="CX58" i="7" s="1"/>
  <c r="CY58" i="7" s="1"/>
  <c r="CZ58" i="7" s="1"/>
  <c r="DA58" i="7" s="1"/>
  <c r="DB58" i="7" s="1"/>
  <c r="DC58" i="7" s="1"/>
  <c r="DD58" i="7" s="1"/>
  <c r="DE58" i="7" s="1"/>
  <c r="DF58" i="7" s="1"/>
  <c r="DG58" i="7" s="1"/>
  <c r="DH58" i="7" s="1"/>
  <c r="DI58" i="7" s="1"/>
  <c r="DJ58" i="7" s="1"/>
  <c r="DK58" i="7" s="1"/>
  <c r="BT41" i="7"/>
  <c r="BU41" i="7" s="1"/>
  <c r="BV41" i="7" s="1"/>
  <c r="BW41" i="7" s="1"/>
  <c r="BX41" i="7" s="1"/>
  <c r="BY41" i="7" s="1"/>
  <c r="BZ41" i="7" s="1"/>
  <c r="CA41" i="7" s="1"/>
  <c r="CB41" i="7" s="1"/>
  <c r="CC41" i="7" s="1"/>
  <c r="CD41" i="7" s="1"/>
  <c r="CE41" i="7" s="1"/>
  <c r="CF41" i="7" s="1"/>
  <c r="CG41" i="7" s="1"/>
  <c r="CH41" i="7" s="1"/>
  <c r="CI41" i="7" s="1"/>
  <c r="CJ41" i="7" s="1"/>
  <c r="CK41" i="7" s="1"/>
  <c r="CL41" i="7" s="1"/>
  <c r="CM41" i="7" s="1"/>
  <c r="CN41" i="7" s="1"/>
  <c r="CO41" i="7" s="1"/>
  <c r="CP41" i="7" s="1"/>
  <c r="CQ41" i="7" s="1"/>
  <c r="CR41" i="7" s="1"/>
  <c r="CS41" i="7" s="1"/>
  <c r="CT41" i="7" s="1"/>
  <c r="CU41" i="7" s="1"/>
  <c r="CV41" i="7" s="1"/>
  <c r="CW41" i="7" s="1"/>
  <c r="CX41" i="7" s="1"/>
  <c r="CY41" i="7" s="1"/>
  <c r="CZ41" i="7" s="1"/>
  <c r="DA41" i="7" s="1"/>
  <c r="DB41" i="7" s="1"/>
  <c r="DC41" i="7" s="1"/>
  <c r="DD41" i="7" s="1"/>
  <c r="DE41" i="7" s="1"/>
  <c r="BJ49" i="14"/>
  <c r="BJ85" i="14"/>
  <c r="BJ43" i="14"/>
  <c r="BJ79" i="14"/>
  <c r="BJ115" i="14"/>
  <c r="BJ133" i="14"/>
  <c r="BA13" i="14"/>
  <c r="P8" i="14"/>
  <c r="BJ21" i="14"/>
  <c r="BJ73" i="14"/>
  <c r="BJ109" i="14"/>
  <c r="P11" i="14"/>
  <c r="BJ30" i="14"/>
  <c r="BJ67" i="14"/>
  <c r="BJ103" i="14"/>
  <c r="BJ127" i="14"/>
  <c r="BA18" i="14"/>
  <c r="BJ122" i="14"/>
  <c r="AT52" i="31" l="1"/>
  <c r="C54" i="31"/>
  <c r="AU52" i="31"/>
  <c r="AU51" i="31"/>
  <c r="AT51" i="31"/>
  <c r="C53" i="31"/>
  <c r="BA24" i="14"/>
  <c r="AX25" i="14"/>
  <c r="BA25" i="14" s="1"/>
  <c r="AZ32" i="14"/>
  <c r="BA8" i="14"/>
  <c r="AZ17" i="14"/>
  <c r="AZ18" i="14"/>
  <c r="AZ21" i="14"/>
  <c r="AZ22" i="14"/>
  <c r="AZ23" i="14"/>
  <c r="AZ24" i="14"/>
  <c r="AZ25" i="14"/>
  <c r="AZ19" i="14"/>
  <c r="AZ20" i="14"/>
  <c r="AZ9" i="14"/>
  <c r="AZ10" i="14"/>
  <c r="AZ11" i="14"/>
  <c r="AZ12" i="14"/>
  <c r="AZ13" i="14"/>
  <c r="AZ14" i="14"/>
  <c r="AZ26" i="14"/>
  <c r="AZ27" i="14"/>
  <c r="AZ28" i="14"/>
  <c r="AZ29" i="14"/>
  <c r="AZ15" i="14"/>
  <c r="AZ16" i="14"/>
  <c r="BA11" i="14"/>
  <c r="AZ31" i="14"/>
  <c r="AZ7" i="14"/>
  <c r="AZ6" i="14"/>
  <c r="AZ8" i="14"/>
  <c r="BA12" i="14"/>
  <c r="BA17" i="14"/>
  <c r="BA28" i="14"/>
  <c r="BA30" i="14"/>
  <c r="BA29" i="14"/>
  <c r="AY27" i="14"/>
  <c r="AY41" i="14"/>
  <c r="AY35" i="14"/>
  <c r="AY28" i="14"/>
  <c r="AY13" i="14"/>
  <c r="AY40" i="14"/>
  <c r="AY15" i="14"/>
  <c r="AY20" i="14"/>
  <c r="AY34" i="14"/>
  <c r="AY37" i="14"/>
  <c r="AY25" i="14"/>
  <c r="AY19" i="14"/>
  <c r="AY16" i="14"/>
  <c r="AY10" i="14"/>
  <c r="AY22" i="14"/>
  <c r="AY23" i="14"/>
  <c r="AY32" i="14"/>
  <c r="AY12" i="14"/>
  <c r="AY42" i="14"/>
  <c r="AY36" i="14"/>
  <c r="AY31" i="14"/>
  <c r="AY6" i="14"/>
  <c r="AY30" i="14"/>
  <c r="AY24" i="14"/>
  <c r="AY18" i="14"/>
  <c r="AY14" i="14"/>
  <c r="AY9" i="14"/>
  <c r="AY21" i="14"/>
  <c r="AY29" i="14"/>
  <c r="AY38" i="14"/>
  <c r="AY26" i="14"/>
  <c r="AY11" i="14"/>
  <c r="AY7" i="14"/>
  <c r="AY43" i="14"/>
  <c r="AY17" i="14"/>
  <c r="AY8" i="14"/>
  <c r="AY39" i="14"/>
  <c r="C56" i="31" l="1"/>
  <c r="AU54" i="31"/>
  <c r="AT54" i="31"/>
  <c r="C55" i="31"/>
  <c r="AU53" i="31"/>
  <c r="AT53" i="31"/>
  <c r="BA2" i="14"/>
  <c r="Q262" i="13"/>
  <c r="S262" i="13" s="1"/>
  <c r="P262" i="13"/>
  <c r="Q261" i="13"/>
  <c r="S261" i="13" s="1"/>
  <c r="P261" i="13"/>
  <c r="Q260" i="13"/>
  <c r="S260" i="13" s="1"/>
  <c r="P260" i="13"/>
  <c r="Q259" i="13"/>
  <c r="S259" i="13" s="1"/>
  <c r="P259" i="13"/>
  <c r="Q258" i="13"/>
  <c r="S258" i="13" s="1"/>
  <c r="P258" i="13"/>
  <c r="Q257" i="13"/>
  <c r="S257" i="13" s="1"/>
  <c r="P257" i="13"/>
  <c r="Q256" i="13"/>
  <c r="S256" i="13" s="1"/>
  <c r="P256" i="13"/>
  <c r="Q255" i="13"/>
  <c r="S255" i="13" s="1"/>
  <c r="P255" i="13"/>
  <c r="Q254" i="13"/>
  <c r="S254" i="13" s="1"/>
  <c r="P254" i="13"/>
  <c r="Q253" i="13"/>
  <c r="S253" i="13" s="1"/>
  <c r="P253" i="13"/>
  <c r="Q252" i="13"/>
  <c r="S252" i="13" s="1"/>
  <c r="P252" i="13"/>
  <c r="Q251" i="13"/>
  <c r="S251" i="13" s="1"/>
  <c r="P251" i="13"/>
  <c r="Q250" i="13"/>
  <c r="S250" i="13" s="1"/>
  <c r="P250" i="13"/>
  <c r="Q249" i="13"/>
  <c r="S249" i="13" s="1"/>
  <c r="P249" i="13"/>
  <c r="Q248" i="13"/>
  <c r="S248" i="13" s="1"/>
  <c r="P248" i="13"/>
  <c r="Q247" i="13"/>
  <c r="S247" i="13" s="1"/>
  <c r="P247" i="13"/>
  <c r="Q246" i="13"/>
  <c r="S246" i="13" s="1"/>
  <c r="P246" i="13"/>
  <c r="Q245" i="13"/>
  <c r="S245" i="13" s="1"/>
  <c r="P245" i="13"/>
  <c r="Q244" i="13"/>
  <c r="S244" i="13" s="1"/>
  <c r="P244" i="13"/>
  <c r="Q243" i="13"/>
  <c r="S243" i="13" s="1"/>
  <c r="P243" i="13"/>
  <c r="Q242" i="13"/>
  <c r="S242" i="13" s="1"/>
  <c r="P242" i="13"/>
  <c r="Q241" i="13"/>
  <c r="S241" i="13" s="1"/>
  <c r="P241" i="13"/>
  <c r="Q240" i="13"/>
  <c r="S240" i="13" s="1"/>
  <c r="P240" i="13"/>
  <c r="Q239" i="13"/>
  <c r="S239" i="13" s="1"/>
  <c r="P239" i="13"/>
  <c r="Q238" i="13"/>
  <c r="S238" i="13" s="1"/>
  <c r="P238" i="13"/>
  <c r="Q237" i="13"/>
  <c r="S237" i="13" s="1"/>
  <c r="P237" i="13"/>
  <c r="Q236" i="13"/>
  <c r="S236" i="13" s="1"/>
  <c r="P236" i="13"/>
  <c r="Q235" i="13"/>
  <c r="S235" i="13" s="1"/>
  <c r="P235" i="13"/>
  <c r="Q234" i="13"/>
  <c r="S234" i="13" s="1"/>
  <c r="P234" i="13"/>
  <c r="Q233" i="13"/>
  <c r="S233" i="13" s="1"/>
  <c r="P233" i="13"/>
  <c r="Q232" i="13"/>
  <c r="S232" i="13" s="1"/>
  <c r="P232" i="13"/>
  <c r="Q231" i="13"/>
  <c r="S231" i="13" s="1"/>
  <c r="P231" i="13"/>
  <c r="Q230" i="13"/>
  <c r="S230" i="13" s="1"/>
  <c r="P230" i="13"/>
  <c r="Q229" i="13"/>
  <c r="S229" i="13" s="1"/>
  <c r="P229" i="13"/>
  <c r="Q228" i="13"/>
  <c r="S228" i="13" s="1"/>
  <c r="P228" i="13"/>
  <c r="Q227" i="13"/>
  <c r="S227" i="13" s="1"/>
  <c r="P227" i="13"/>
  <c r="Q226" i="13"/>
  <c r="S226" i="13" s="1"/>
  <c r="P226" i="13"/>
  <c r="Q225" i="13"/>
  <c r="S225" i="13" s="1"/>
  <c r="P225" i="13"/>
  <c r="Q224" i="13"/>
  <c r="S224" i="13" s="1"/>
  <c r="P224" i="13"/>
  <c r="Q223" i="13"/>
  <c r="S223" i="13" s="1"/>
  <c r="P223" i="13"/>
  <c r="Q222" i="13"/>
  <c r="S222" i="13" s="1"/>
  <c r="P222" i="13"/>
  <c r="Q221" i="13"/>
  <c r="S221" i="13" s="1"/>
  <c r="P221" i="13"/>
  <c r="Q220" i="13"/>
  <c r="S220" i="13" s="1"/>
  <c r="P220" i="13"/>
  <c r="Q219" i="13"/>
  <c r="S219" i="13" s="1"/>
  <c r="P219" i="13"/>
  <c r="Q218" i="13"/>
  <c r="S218" i="13" s="1"/>
  <c r="P218" i="13"/>
  <c r="Q217" i="13"/>
  <c r="S217" i="13" s="1"/>
  <c r="P217" i="13"/>
  <c r="Q216" i="13"/>
  <c r="S216" i="13" s="1"/>
  <c r="P216" i="13"/>
  <c r="Q215" i="13"/>
  <c r="S215" i="13" s="1"/>
  <c r="P215" i="13"/>
  <c r="Q214" i="13"/>
  <c r="S214" i="13" s="1"/>
  <c r="P214" i="13"/>
  <c r="Q213" i="13"/>
  <c r="S213" i="13" s="1"/>
  <c r="P213" i="13"/>
  <c r="Q212" i="13"/>
  <c r="S212" i="13" s="1"/>
  <c r="P212" i="13"/>
  <c r="Q211" i="13"/>
  <c r="S211" i="13" s="1"/>
  <c r="P211" i="13"/>
  <c r="Q210" i="13"/>
  <c r="S210" i="13" s="1"/>
  <c r="P210" i="13"/>
  <c r="Q209" i="13"/>
  <c r="S209" i="13" s="1"/>
  <c r="P209" i="13"/>
  <c r="Q208" i="13"/>
  <c r="S208" i="13" s="1"/>
  <c r="P208" i="13"/>
  <c r="Q207" i="13"/>
  <c r="S207" i="13" s="1"/>
  <c r="P207" i="13"/>
  <c r="Q206" i="13"/>
  <c r="S206" i="13" s="1"/>
  <c r="P206" i="13"/>
  <c r="Q205" i="13"/>
  <c r="S205" i="13" s="1"/>
  <c r="P205" i="13"/>
  <c r="Q204" i="13"/>
  <c r="S204" i="13" s="1"/>
  <c r="P204" i="13"/>
  <c r="Q203" i="13"/>
  <c r="S203" i="13" s="1"/>
  <c r="P203" i="13"/>
  <c r="Q202" i="13"/>
  <c r="S202" i="13" s="1"/>
  <c r="P202" i="13"/>
  <c r="Q201" i="13"/>
  <c r="S201" i="13" s="1"/>
  <c r="P201" i="13"/>
  <c r="Q200" i="13"/>
  <c r="S200" i="13" s="1"/>
  <c r="P200" i="13"/>
  <c r="Q199" i="13"/>
  <c r="S199" i="13" s="1"/>
  <c r="P199" i="13"/>
  <c r="Q198" i="13"/>
  <c r="S198" i="13" s="1"/>
  <c r="P198" i="13"/>
  <c r="Q197" i="13"/>
  <c r="S197" i="13" s="1"/>
  <c r="P197" i="13"/>
  <c r="Q196" i="13"/>
  <c r="S196" i="13" s="1"/>
  <c r="P196" i="13"/>
  <c r="Q195" i="13"/>
  <c r="S195" i="13" s="1"/>
  <c r="P195" i="13"/>
  <c r="Q194" i="13"/>
  <c r="S194" i="13" s="1"/>
  <c r="P194" i="13"/>
  <c r="Q193" i="13"/>
  <c r="S193" i="13" s="1"/>
  <c r="P193" i="13"/>
  <c r="Q192" i="13"/>
  <c r="S192" i="13" s="1"/>
  <c r="P192" i="13"/>
  <c r="Q191" i="13"/>
  <c r="S191" i="13" s="1"/>
  <c r="P191" i="13"/>
  <c r="Q190" i="13"/>
  <c r="S190" i="13" s="1"/>
  <c r="P190" i="13"/>
  <c r="Q189" i="13"/>
  <c r="S189" i="13" s="1"/>
  <c r="P189" i="13"/>
  <c r="Q188" i="13"/>
  <c r="S188" i="13" s="1"/>
  <c r="P188" i="13"/>
  <c r="Q187" i="13"/>
  <c r="S187" i="13" s="1"/>
  <c r="P187" i="13"/>
  <c r="Q186" i="13"/>
  <c r="S186" i="13" s="1"/>
  <c r="P186" i="13"/>
  <c r="Q185" i="13"/>
  <c r="S185" i="13" s="1"/>
  <c r="P185" i="13"/>
  <c r="Q184" i="13"/>
  <c r="S184" i="13" s="1"/>
  <c r="P184" i="13"/>
  <c r="Q183" i="13"/>
  <c r="S183" i="13" s="1"/>
  <c r="P183" i="13"/>
  <c r="Q182" i="13"/>
  <c r="S182" i="13" s="1"/>
  <c r="P182" i="13"/>
  <c r="Q181" i="13"/>
  <c r="S181" i="13" s="1"/>
  <c r="P181" i="13"/>
  <c r="Q180" i="13"/>
  <c r="S180" i="13" s="1"/>
  <c r="P180" i="13"/>
  <c r="Q179" i="13"/>
  <c r="S179" i="13" s="1"/>
  <c r="P179" i="13"/>
  <c r="Q178" i="13"/>
  <c r="S178" i="13" s="1"/>
  <c r="P178" i="13"/>
  <c r="Q177" i="13"/>
  <c r="S177" i="13" s="1"/>
  <c r="P177" i="13"/>
  <c r="Q176" i="13"/>
  <c r="S176" i="13" s="1"/>
  <c r="P176" i="13"/>
  <c r="Q175" i="13"/>
  <c r="S175" i="13" s="1"/>
  <c r="P175" i="13"/>
  <c r="Q174" i="13"/>
  <c r="S174" i="13" s="1"/>
  <c r="P174" i="13"/>
  <c r="Q173" i="13"/>
  <c r="S173" i="13" s="1"/>
  <c r="P173" i="13"/>
  <c r="Q172" i="13"/>
  <c r="S172" i="13" s="1"/>
  <c r="P172" i="13"/>
  <c r="Q171" i="13"/>
  <c r="S171" i="13" s="1"/>
  <c r="P171" i="13"/>
  <c r="Q170" i="13"/>
  <c r="S170" i="13" s="1"/>
  <c r="P170" i="13"/>
  <c r="Q169" i="13"/>
  <c r="S169" i="13" s="1"/>
  <c r="P169" i="13"/>
  <c r="Q168" i="13"/>
  <c r="S168" i="13" s="1"/>
  <c r="P168" i="13"/>
  <c r="Q167" i="13"/>
  <c r="S167" i="13" s="1"/>
  <c r="P167" i="13"/>
  <c r="Q166" i="13"/>
  <c r="S166" i="13" s="1"/>
  <c r="P166" i="13"/>
  <c r="Q165" i="13"/>
  <c r="S165" i="13" s="1"/>
  <c r="P165" i="13"/>
  <c r="Q164" i="13"/>
  <c r="S164" i="13" s="1"/>
  <c r="P164" i="13"/>
  <c r="Q163" i="13"/>
  <c r="S163" i="13" s="1"/>
  <c r="P163" i="13"/>
  <c r="Q162" i="13"/>
  <c r="S162" i="13" s="1"/>
  <c r="P162" i="13"/>
  <c r="Q161" i="13"/>
  <c r="S161" i="13" s="1"/>
  <c r="P161" i="13"/>
  <c r="Q160" i="13"/>
  <c r="S160" i="13" s="1"/>
  <c r="P160" i="13"/>
  <c r="Q159" i="13"/>
  <c r="S159" i="13" s="1"/>
  <c r="P159" i="13"/>
  <c r="Q158" i="13"/>
  <c r="S158" i="13" s="1"/>
  <c r="P158" i="13"/>
  <c r="Q157" i="13"/>
  <c r="S157" i="13" s="1"/>
  <c r="P157" i="13"/>
  <c r="Q156" i="13"/>
  <c r="S156" i="13" s="1"/>
  <c r="P156" i="13"/>
  <c r="Q155" i="13"/>
  <c r="S155" i="13" s="1"/>
  <c r="P155" i="13"/>
  <c r="Q154" i="13"/>
  <c r="S154" i="13" s="1"/>
  <c r="P154" i="13"/>
  <c r="Q153" i="13"/>
  <c r="S153" i="13" s="1"/>
  <c r="P153" i="13"/>
  <c r="Q152" i="13"/>
  <c r="S152" i="13" s="1"/>
  <c r="P152" i="13"/>
  <c r="Q151" i="13"/>
  <c r="S151" i="13" s="1"/>
  <c r="P151" i="13"/>
  <c r="Q150" i="13"/>
  <c r="S150" i="13" s="1"/>
  <c r="P150" i="13"/>
  <c r="Q149" i="13"/>
  <c r="S149" i="13" s="1"/>
  <c r="P149" i="13"/>
  <c r="Q148" i="13"/>
  <c r="S148" i="13" s="1"/>
  <c r="P148" i="13"/>
  <c r="S147" i="13"/>
  <c r="Q147" i="13"/>
  <c r="P147" i="13"/>
  <c r="Q146" i="13"/>
  <c r="S146" i="13" s="1"/>
  <c r="P146" i="13"/>
  <c r="Q145" i="13"/>
  <c r="S145" i="13" s="1"/>
  <c r="P145" i="13"/>
  <c r="Q144" i="13"/>
  <c r="S144" i="13" s="1"/>
  <c r="P144" i="13"/>
  <c r="Q143" i="13"/>
  <c r="S143" i="13" s="1"/>
  <c r="P143" i="13"/>
  <c r="Q142" i="13"/>
  <c r="S142" i="13" s="1"/>
  <c r="P142" i="13"/>
  <c r="Q141" i="13"/>
  <c r="S141" i="13" s="1"/>
  <c r="P141" i="13"/>
  <c r="Q140" i="13"/>
  <c r="S140" i="13" s="1"/>
  <c r="P140" i="13"/>
  <c r="Q139" i="13"/>
  <c r="S139" i="13" s="1"/>
  <c r="P139" i="13"/>
  <c r="Q138" i="13"/>
  <c r="S138" i="13" s="1"/>
  <c r="P138" i="13"/>
  <c r="BG137" i="13"/>
  <c r="BE137" i="13"/>
  <c r="BD137" i="13"/>
  <c r="BC137" i="13"/>
  <c r="BB137" i="13"/>
  <c r="Q137" i="13"/>
  <c r="S137" i="13" s="1"/>
  <c r="P137" i="13"/>
  <c r="BG136" i="13"/>
  <c r="BE136" i="13"/>
  <c r="BD136" i="13"/>
  <c r="BC136" i="13"/>
  <c r="BB136" i="13"/>
  <c r="Q136" i="13"/>
  <c r="S136" i="13" s="1"/>
  <c r="P136" i="13"/>
  <c r="BG135" i="13"/>
  <c r="BE135" i="13"/>
  <c r="BD135" i="13"/>
  <c r="BC135" i="13"/>
  <c r="BB135" i="13"/>
  <c r="Q135" i="13"/>
  <c r="S135" i="13" s="1"/>
  <c r="P135" i="13"/>
  <c r="BG134" i="13"/>
  <c r="BE134" i="13"/>
  <c r="BD134" i="13"/>
  <c r="BC134" i="13"/>
  <c r="BB134" i="13"/>
  <c r="Q134" i="13"/>
  <c r="S134" i="13" s="1"/>
  <c r="P134" i="13"/>
  <c r="BG133" i="13"/>
  <c r="BE133" i="13"/>
  <c r="BD133" i="13"/>
  <c r="BC133" i="13"/>
  <c r="BB133" i="13"/>
  <c r="Q133" i="13"/>
  <c r="S133" i="13" s="1"/>
  <c r="P133" i="13"/>
  <c r="BG132" i="13"/>
  <c r="BE132" i="13"/>
  <c r="BD132" i="13"/>
  <c r="BC132" i="13"/>
  <c r="BB132" i="13"/>
  <c r="Q132" i="13"/>
  <c r="S132" i="13" s="1"/>
  <c r="P132" i="13"/>
  <c r="BG131" i="13"/>
  <c r="BE131" i="13"/>
  <c r="BD131" i="13"/>
  <c r="BC131" i="13"/>
  <c r="BB131" i="13"/>
  <c r="Q131" i="13"/>
  <c r="S131" i="13" s="1"/>
  <c r="P131" i="13"/>
  <c r="BG130" i="13"/>
  <c r="BE130" i="13"/>
  <c r="BD130" i="13"/>
  <c r="BC130" i="13"/>
  <c r="BB130" i="13"/>
  <c r="Q130" i="13"/>
  <c r="S130" i="13" s="1"/>
  <c r="P130" i="13"/>
  <c r="BG129" i="13"/>
  <c r="BE129" i="13"/>
  <c r="BD129" i="13"/>
  <c r="BC129" i="13"/>
  <c r="BB129" i="13"/>
  <c r="Q129" i="13"/>
  <c r="S129" i="13" s="1"/>
  <c r="P129" i="13"/>
  <c r="BG128" i="13"/>
  <c r="BE128" i="13"/>
  <c r="BD128" i="13"/>
  <c r="BC128" i="13"/>
  <c r="BB128" i="13"/>
  <c r="Q128" i="13"/>
  <c r="S128" i="13" s="1"/>
  <c r="P128" i="13"/>
  <c r="BG127" i="13"/>
  <c r="BE127" i="13"/>
  <c r="BD127" i="13"/>
  <c r="BC127" i="13"/>
  <c r="BB127" i="13"/>
  <c r="Q127" i="13"/>
  <c r="S127" i="13" s="1"/>
  <c r="P127" i="13"/>
  <c r="BG126" i="13"/>
  <c r="BE126" i="13"/>
  <c r="BD126" i="13"/>
  <c r="BC126" i="13"/>
  <c r="BB126" i="13"/>
  <c r="Q126" i="13"/>
  <c r="S126" i="13" s="1"/>
  <c r="P126" i="13"/>
  <c r="BG125" i="13"/>
  <c r="BE125" i="13"/>
  <c r="BD125" i="13"/>
  <c r="BC125" i="13"/>
  <c r="BB125" i="13"/>
  <c r="Q125" i="13"/>
  <c r="S125" i="13" s="1"/>
  <c r="P125" i="13"/>
  <c r="BG124" i="13"/>
  <c r="BE124" i="13"/>
  <c r="BD124" i="13"/>
  <c r="BC124" i="13"/>
  <c r="BB124" i="13"/>
  <c r="Q124" i="13"/>
  <c r="S124" i="13" s="1"/>
  <c r="P124" i="13"/>
  <c r="BG123" i="13"/>
  <c r="BE123" i="13"/>
  <c r="BD123" i="13"/>
  <c r="BC123" i="13"/>
  <c r="BB123" i="13"/>
  <c r="Q123" i="13"/>
  <c r="S123" i="13" s="1"/>
  <c r="P123" i="13"/>
  <c r="BG122" i="13"/>
  <c r="BE122" i="13"/>
  <c r="BD122" i="13"/>
  <c r="BC122" i="13"/>
  <c r="BB122" i="13"/>
  <c r="Q122" i="13"/>
  <c r="S122" i="13" s="1"/>
  <c r="P122" i="13"/>
  <c r="BG121" i="13"/>
  <c r="BE121" i="13"/>
  <c r="BD121" i="13"/>
  <c r="BC121" i="13"/>
  <c r="BB121" i="13"/>
  <c r="Q121" i="13"/>
  <c r="S121" i="13" s="1"/>
  <c r="P121" i="13"/>
  <c r="BG120" i="13"/>
  <c r="BE120" i="13"/>
  <c r="BD120" i="13"/>
  <c r="BC120" i="13"/>
  <c r="BB120" i="13"/>
  <c r="Q120" i="13"/>
  <c r="S120" i="13" s="1"/>
  <c r="P120" i="13"/>
  <c r="BG119" i="13"/>
  <c r="BE119" i="13"/>
  <c r="BD119" i="13"/>
  <c r="BC119" i="13"/>
  <c r="BB119" i="13"/>
  <c r="Q119" i="13"/>
  <c r="S119" i="13" s="1"/>
  <c r="P119" i="13"/>
  <c r="BG118" i="13"/>
  <c r="BE118" i="13"/>
  <c r="BD118" i="13"/>
  <c r="BC118" i="13"/>
  <c r="BB118" i="13"/>
  <c r="Q118" i="13"/>
  <c r="S118" i="13" s="1"/>
  <c r="P118" i="13"/>
  <c r="BG117" i="13"/>
  <c r="BE117" i="13"/>
  <c r="BD117" i="13"/>
  <c r="BC117" i="13"/>
  <c r="BB117" i="13"/>
  <c r="Q117" i="13"/>
  <c r="S117" i="13" s="1"/>
  <c r="P117" i="13"/>
  <c r="BG116" i="13"/>
  <c r="BE116" i="13"/>
  <c r="BD116" i="13"/>
  <c r="BC116" i="13"/>
  <c r="BB116" i="13"/>
  <c r="Q116" i="13"/>
  <c r="S116" i="13" s="1"/>
  <c r="P116" i="13"/>
  <c r="BG115" i="13"/>
  <c r="BE115" i="13"/>
  <c r="BD115" i="13"/>
  <c r="BC115" i="13"/>
  <c r="BB115" i="13"/>
  <c r="Q115" i="13"/>
  <c r="S115" i="13" s="1"/>
  <c r="P115" i="13"/>
  <c r="BG114" i="13"/>
  <c r="BE114" i="13"/>
  <c r="BD114" i="13"/>
  <c r="BC114" i="13"/>
  <c r="BB114" i="13"/>
  <c r="Q114" i="13"/>
  <c r="S114" i="13" s="1"/>
  <c r="P114" i="13"/>
  <c r="BG113" i="13"/>
  <c r="BE113" i="13"/>
  <c r="BD113" i="13"/>
  <c r="BC113" i="13"/>
  <c r="BB113" i="13"/>
  <c r="Q113" i="13"/>
  <c r="S113" i="13" s="1"/>
  <c r="P113" i="13"/>
  <c r="BG112" i="13"/>
  <c r="BE112" i="13"/>
  <c r="BD112" i="13"/>
  <c r="BC112" i="13"/>
  <c r="BB112" i="13"/>
  <c r="Q112" i="13"/>
  <c r="S112" i="13" s="1"/>
  <c r="P112" i="13"/>
  <c r="BG111" i="13"/>
  <c r="BE111" i="13"/>
  <c r="BD111" i="13"/>
  <c r="BC111" i="13"/>
  <c r="BB111" i="13"/>
  <c r="Q111" i="13"/>
  <c r="S111" i="13" s="1"/>
  <c r="P111" i="13"/>
  <c r="BG110" i="13"/>
  <c r="BE110" i="13"/>
  <c r="BD110" i="13"/>
  <c r="BC110" i="13"/>
  <c r="BB110" i="13"/>
  <c r="Q110" i="13"/>
  <c r="S110" i="13" s="1"/>
  <c r="P110" i="13"/>
  <c r="BG109" i="13"/>
  <c r="BE109" i="13"/>
  <c r="BD109" i="13"/>
  <c r="BC109" i="13"/>
  <c r="BB109" i="13"/>
  <c r="Q109" i="13"/>
  <c r="S109" i="13" s="1"/>
  <c r="P109" i="13"/>
  <c r="BG108" i="13"/>
  <c r="BE108" i="13"/>
  <c r="BD108" i="13"/>
  <c r="BC108" i="13"/>
  <c r="BB108" i="13"/>
  <c r="Q108" i="13"/>
  <c r="S108" i="13" s="1"/>
  <c r="P108" i="13"/>
  <c r="BG107" i="13"/>
  <c r="BE107" i="13"/>
  <c r="BD107" i="13"/>
  <c r="BC107" i="13"/>
  <c r="BB107" i="13"/>
  <c r="Q107" i="13"/>
  <c r="S107" i="13" s="1"/>
  <c r="P107" i="13"/>
  <c r="BG106" i="13"/>
  <c r="BE106" i="13"/>
  <c r="BD106" i="13"/>
  <c r="BC106" i="13"/>
  <c r="BB106" i="13"/>
  <c r="Q106" i="13"/>
  <c r="S106" i="13" s="1"/>
  <c r="P106" i="13"/>
  <c r="BG105" i="13"/>
  <c r="BE105" i="13"/>
  <c r="BD105" i="13"/>
  <c r="BC105" i="13"/>
  <c r="BB105" i="13"/>
  <c r="Q105" i="13"/>
  <c r="S105" i="13" s="1"/>
  <c r="P105" i="13"/>
  <c r="BG104" i="13"/>
  <c r="BE104" i="13"/>
  <c r="BD104" i="13"/>
  <c r="BC104" i="13"/>
  <c r="BB104" i="13"/>
  <c r="Q104" i="13"/>
  <c r="S104" i="13" s="1"/>
  <c r="P104" i="13"/>
  <c r="BG103" i="13"/>
  <c r="BE103" i="13"/>
  <c r="BD103" i="13"/>
  <c r="BC103" i="13"/>
  <c r="BB103" i="13"/>
  <c r="Q103" i="13"/>
  <c r="S103" i="13" s="1"/>
  <c r="P103" i="13"/>
  <c r="BG102" i="13"/>
  <c r="BE102" i="13"/>
  <c r="BD102" i="13"/>
  <c r="BC102" i="13"/>
  <c r="BB102" i="13"/>
  <c r="Q102" i="13"/>
  <c r="S102" i="13" s="1"/>
  <c r="P102" i="13"/>
  <c r="BG101" i="13"/>
  <c r="BE101" i="13"/>
  <c r="BD101" i="13"/>
  <c r="BC101" i="13"/>
  <c r="BB101" i="13"/>
  <c r="Q101" i="13"/>
  <c r="S101" i="13" s="1"/>
  <c r="P101" i="13"/>
  <c r="BG100" i="13"/>
  <c r="BE100" i="13"/>
  <c r="BD100" i="13"/>
  <c r="BC100" i="13"/>
  <c r="BB100" i="13"/>
  <c r="Q100" i="13"/>
  <c r="S100" i="13" s="1"/>
  <c r="P100" i="13"/>
  <c r="BG99" i="13"/>
  <c r="BE99" i="13"/>
  <c r="BD99" i="13"/>
  <c r="BC99" i="13"/>
  <c r="BB99" i="13"/>
  <c r="Q99" i="13"/>
  <c r="S99" i="13" s="1"/>
  <c r="P99" i="13"/>
  <c r="BG98" i="13"/>
  <c r="BE98" i="13"/>
  <c r="BD98" i="13"/>
  <c r="BC98" i="13"/>
  <c r="BB98" i="13"/>
  <c r="Q98" i="13"/>
  <c r="S98" i="13" s="1"/>
  <c r="P98" i="13"/>
  <c r="BG97" i="13"/>
  <c r="BE97" i="13"/>
  <c r="BD97" i="13"/>
  <c r="BC97" i="13"/>
  <c r="BB97" i="13"/>
  <c r="Q97" i="13"/>
  <c r="S97" i="13" s="1"/>
  <c r="P97" i="13"/>
  <c r="BG96" i="13"/>
  <c r="BE96" i="13"/>
  <c r="BD96" i="13"/>
  <c r="BC96" i="13"/>
  <c r="BB96" i="13"/>
  <c r="Q96" i="13"/>
  <c r="S96" i="13" s="1"/>
  <c r="P96" i="13"/>
  <c r="BG95" i="13"/>
  <c r="BE95" i="13"/>
  <c r="BD95" i="13"/>
  <c r="BC95" i="13"/>
  <c r="BB95" i="13"/>
  <c r="Q95" i="13"/>
  <c r="S95" i="13" s="1"/>
  <c r="P95" i="13"/>
  <c r="BG94" i="13"/>
  <c r="BE94" i="13"/>
  <c r="BD94" i="13"/>
  <c r="BC94" i="13"/>
  <c r="BB94" i="13"/>
  <c r="Q94" i="13"/>
  <c r="S94" i="13" s="1"/>
  <c r="P94" i="13"/>
  <c r="BG93" i="13"/>
  <c r="BE93" i="13"/>
  <c r="BD93" i="13"/>
  <c r="BC93" i="13"/>
  <c r="BB93" i="13"/>
  <c r="Q93" i="13"/>
  <c r="S93" i="13" s="1"/>
  <c r="P93" i="13"/>
  <c r="BG92" i="13"/>
  <c r="BE92" i="13"/>
  <c r="BD92" i="13"/>
  <c r="BC92" i="13"/>
  <c r="BB92" i="13"/>
  <c r="Q92" i="13"/>
  <c r="S92" i="13" s="1"/>
  <c r="P92" i="13"/>
  <c r="BG91" i="13"/>
  <c r="BE91" i="13"/>
  <c r="BD91" i="13"/>
  <c r="BC91" i="13"/>
  <c r="BB91" i="13"/>
  <c r="Q91" i="13"/>
  <c r="S91" i="13" s="1"/>
  <c r="P91" i="13"/>
  <c r="BG90" i="13"/>
  <c r="BE90" i="13"/>
  <c r="BD90" i="13"/>
  <c r="BC90" i="13"/>
  <c r="BB90" i="13"/>
  <c r="Q90" i="13"/>
  <c r="S90" i="13" s="1"/>
  <c r="P90" i="13"/>
  <c r="BG89" i="13"/>
  <c r="BE89" i="13"/>
  <c r="BD89" i="13"/>
  <c r="BC89" i="13"/>
  <c r="BB89" i="13"/>
  <c r="Q89" i="13"/>
  <c r="S89" i="13" s="1"/>
  <c r="P89" i="13"/>
  <c r="BG88" i="13"/>
  <c r="BE88" i="13"/>
  <c r="BD88" i="13"/>
  <c r="BC88" i="13"/>
  <c r="BB88" i="13"/>
  <c r="Q88" i="13"/>
  <c r="S88" i="13" s="1"/>
  <c r="P88" i="13"/>
  <c r="BG87" i="13"/>
  <c r="BE87" i="13"/>
  <c r="BD87" i="13"/>
  <c r="BC87" i="13"/>
  <c r="BB87" i="13"/>
  <c r="Q87" i="13"/>
  <c r="S87" i="13" s="1"/>
  <c r="P87" i="13"/>
  <c r="BG86" i="13"/>
  <c r="BE86" i="13"/>
  <c r="BD86" i="13"/>
  <c r="BC86" i="13"/>
  <c r="BB86" i="13"/>
  <c r="Q86" i="13"/>
  <c r="S86" i="13" s="1"/>
  <c r="P86" i="13"/>
  <c r="BG85" i="13"/>
  <c r="BE85" i="13"/>
  <c r="BD85" i="13"/>
  <c r="BC85" i="13"/>
  <c r="BB85" i="13"/>
  <c r="Q85" i="13"/>
  <c r="S85" i="13" s="1"/>
  <c r="P85" i="13"/>
  <c r="BG84" i="13"/>
  <c r="BE84" i="13"/>
  <c r="BD84" i="13"/>
  <c r="BC84" i="13"/>
  <c r="BB84" i="13"/>
  <c r="Q84" i="13"/>
  <c r="S84" i="13" s="1"/>
  <c r="P84" i="13"/>
  <c r="BG83" i="13"/>
  <c r="BE83" i="13"/>
  <c r="BD83" i="13"/>
  <c r="BC83" i="13"/>
  <c r="BB83" i="13"/>
  <c r="Q83" i="13"/>
  <c r="S83" i="13" s="1"/>
  <c r="P83" i="13"/>
  <c r="BG82" i="13"/>
  <c r="BE82" i="13"/>
  <c r="BD82" i="13"/>
  <c r="BC82" i="13"/>
  <c r="BB82" i="13"/>
  <c r="Q82" i="13"/>
  <c r="S82" i="13" s="1"/>
  <c r="P82" i="13"/>
  <c r="BG81" i="13"/>
  <c r="BE81" i="13"/>
  <c r="BD81" i="13"/>
  <c r="BC81" i="13"/>
  <c r="BB81" i="13"/>
  <c r="Q81" i="13"/>
  <c r="S81" i="13" s="1"/>
  <c r="P81" i="13"/>
  <c r="BG80" i="13"/>
  <c r="BE80" i="13"/>
  <c r="BD80" i="13"/>
  <c r="BC80" i="13"/>
  <c r="BB80" i="13"/>
  <c r="Q80" i="13"/>
  <c r="S80" i="13" s="1"/>
  <c r="P80" i="13"/>
  <c r="BG79" i="13"/>
  <c r="BE79" i="13"/>
  <c r="BD79" i="13"/>
  <c r="BC79" i="13"/>
  <c r="BB79" i="13"/>
  <c r="Q79" i="13"/>
  <c r="S79" i="13" s="1"/>
  <c r="P79" i="13"/>
  <c r="BG78" i="13"/>
  <c r="BE78" i="13"/>
  <c r="BD78" i="13"/>
  <c r="BC78" i="13"/>
  <c r="BB78" i="13"/>
  <c r="Q78" i="13"/>
  <c r="S78" i="13" s="1"/>
  <c r="P78" i="13"/>
  <c r="BG77" i="13"/>
  <c r="BE77" i="13"/>
  <c r="BD77" i="13"/>
  <c r="BC77" i="13"/>
  <c r="BB77" i="13"/>
  <c r="Q77" i="13"/>
  <c r="S77" i="13" s="1"/>
  <c r="P77" i="13"/>
  <c r="BG76" i="13"/>
  <c r="BE76" i="13"/>
  <c r="BD76" i="13"/>
  <c r="BC76" i="13"/>
  <c r="BB76" i="13"/>
  <c r="Q76" i="13"/>
  <c r="S76" i="13" s="1"/>
  <c r="P76" i="13"/>
  <c r="BG75" i="13"/>
  <c r="BE75" i="13"/>
  <c r="BD75" i="13"/>
  <c r="BC75" i="13"/>
  <c r="BB75" i="13"/>
  <c r="Q75" i="13"/>
  <c r="S75" i="13" s="1"/>
  <c r="P75" i="13"/>
  <c r="BG74" i="13"/>
  <c r="BE74" i="13"/>
  <c r="BD74" i="13"/>
  <c r="BC74" i="13"/>
  <c r="BB74" i="13"/>
  <c r="Q74" i="13"/>
  <c r="S74" i="13" s="1"/>
  <c r="P74" i="13"/>
  <c r="BG73" i="13"/>
  <c r="BE73" i="13"/>
  <c r="BD73" i="13"/>
  <c r="BC73" i="13"/>
  <c r="BB73" i="13"/>
  <c r="Q73" i="13"/>
  <c r="S73" i="13" s="1"/>
  <c r="P73" i="13"/>
  <c r="BG72" i="13"/>
  <c r="BE72" i="13"/>
  <c r="BD72" i="13"/>
  <c r="BC72" i="13"/>
  <c r="BB72" i="13"/>
  <c r="Q72" i="13"/>
  <c r="S72" i="13" s="1"/>
  <c r="P72" i="13"/>
  <c r="BG71" i="13"/>
  <c r="BE71" i="13"/>
  <c r="BD71" i="13"/>
  <c r="BC71" i="13"/>
  <c r="BB71" i="13"/>
  <c r="Q71" i="13"/>
  <c r="S71" i="13" s="1"/>
  <c r="P71" i="13"/>
  <c r="BG70" i="13"/>
  <c r="BE70" i="13"/>
  <c r="BD70" i="13"/>
  <c r="BC70" i="13"/>
  <c r="BB70" i="13"/>
  <c r="Q70" i="13"/>
  <c r="S70" i="13" s="1"/>
  <c r="P70" i="13"/>
  <c r="BG69" i="13"/>
  <c r="BE69" i="13"/>
  <c r="BD69" i="13"/>
  <c r="BC69" i="13"/>
  <c r="BB69" i="13"/>
  <c r="Q69" i="13"/>
  <c r="S69" i="13" s="1"/>
  <c r="P69" i="13"/>
  <c r="BG68" i="13"/>
  <c r="BE68" i="13"/>
  <c r="BD68" i="13"/>
  <c r="BC68" i="13"/>
  <c r="BB68" i="13"/>
  <c r="Q68" i="13"/>
  <c r="S68" i="13" s="1"/>
  <c r="P68" i="13"/>
  <c r="BG67" i="13"/>
  <c r="BE67" i="13"/>
  <c r="BD67" i="13"/>
  <c r="BC67" i="13"/>
  <c r="BB67" i="13"/>
  <c r="Q67" i="13"/>
  <c r="S67" i="13" s="1"/>
  <c r="P67" i="13"/>
  <c r="BG66" i="13"/>
  <c r="BE66" i="13"/>
  <c r="BD66" i="13"/>
  <c r="BC66" i="13"/>
  <c r="BB66" i="13"/>
  <c r="Q66" i="13"/>
  <c r="S66" i="13" s="1"/>
  <c r="P66" i="13"/>
  <c r="BG65" i="13"/>
  <c r="BE65" i="13"/>
  <c r="BD65" i="13"/>
  <c r="BC65" i="13"/>
  <c r="BB65" i="13"/>
  <c r="Q65" i="13"/>
  <c r="S65" i="13" s="1"/>
  <c r="P65" i="13"/>
  <c r="BG64" i="13"/>
  <c r="BE64" i="13"/>
  <c r="BD64" i="13"/>
  <c r="BC64" i="13"/>
  <c r="BB64" i="13"/>
  <c r="Q64" i="13"/>
  <c r="S64" i="13" s="1"/>
  <c r="P64" i="13"/>
  <c r="BG63" i="13"/>
  <c r="BE63" i="13"/>
  <c r="BD63" i="13"/>
  <c r="BC63" i="13"/>
  <c r="BB63" i="13"/>
  <c r="Q63" i="13"/>
  <c r="S63" i="13" s="1"/>
  <c r="P63" i="13"/>
  <c r="BG62" i="13"/>
  <c r="BE62" i="13"/>
  <c r="BD62" i="13"/>
  <c r="BC62" i="13"/>
  <c r="BB62" i="13"/>
  <c r="Q62" i="13"/>
  <c r="S62" i="13" s="1"/>
  <c r="P62" i="13"/>
  <c r="BG61" i="13"/>
  <c r="BE61" i="13"/>
  <c r="BD61" i="13"/>
  <c r="BC61" i="13"/>
  <c r="BB61" i="13"/>
  <c r="Q61" i="13"/>
  <c r="S61" i="13" s="1"/>
  <c r="P61" i="13"/>
  <c r="BG60" i="13"/>
  <c r="BE60" i="13"/>
  <c r="BD60" i="13"/>
  <c r="BC60" i="13"/>
  <c r="BB60" i="13"/>
  <c r="Q60" i="13"/>
  <c r="S60" i="13" s="1"/>
  <c r="P60" i="13"/>
  <c r="BG59" i="13"/>
  <c r="BE59" i="13"/>
  <c r="BD59" i="13"/>
  <c r="BC59" i="13"/>
  <c r="BB59" i="13"/>
  <c r="Q59" i="13"/>
  <c r="S59" i="13" s="1"/>
  <c r="P59" i="13"/>
  <c r="BG58" i="13"/>
  <c r="BE58" i="13"/>
  <c r="BD58" i="13"/>
  <c r="BC58" i="13"/>
  <c r="BB58" i="13"/>
  <c r="Q58" i="13"/>
  <c r="S58" i="13" s="1"/>
  <c r="P58" i="13"/>
  <c r="BG57" i="13"/>
  <c r="BE57" i="13"/>
  <c r="BD57" i="13"/>
  <c r="BC57" i="13"/>
  <c r="BB57" i="13"/>
  <c r="Q57" i="13"/>
  <c r="S57" i="13" s="1"/>
  <c r="P57" i="13"/>
  <c r="BG56" i="13"/>
  <c r="BE56" i="13"/>
  <c r="BD56" i="13"/>
  <c r="BC56" i="13"/>
  <c r="BB56" i="13"/>
  <c r="Q56" i="13"/>
  <c r="S56" i="13" s="1"/>
  <c r="P56" i="13"/>
  <c r="BG55" i="13"/>
  <c r="BE55" i="13"/>
  <c r="BD55" i="13"/>
  <c r="BC55" i="13"/>
  <c r="BB55" i="13"/>
  <c r="Q55" i="13"/>
  <c r="S55" i="13" s="1"/>
  <c r="P55" i="13"/>
  <c r="BG54" i="13"/>
  <c r="BE54" i="13"/>
  <c r="BD54" i="13"/>
  <c r="BC54" i="13"/>
  <c r="BB54" i="13"/>
  <c r="Q54" i="13"/>
  <c r="S54" i="13" s="1"/>
  <c r="P54" i="13"/>
  <c r="BG53" i="13"/>
  <c r="BE53" i="13"/>
  <c r="BD53" i="13"/>
  <c r="BC53" i="13"/>
  <c r="BB53" i="13"/>
  <c r="Q53" i="13"/>
  <c r="S53" i="13" s="1"/>
  <c r="P53" i="13"/>
  <c r="BG52" i="13"/>
  <c r="BE52" i="13"/>
  <c r="BD52" i="13"/>
  <c r="BC52" i="13"/>
  <c r="BB52" i="13"/>
  <c r="Q52" i="13"/>
  <c r="S52" i="13" s="1"/>
  <c r="P52" i="13"/>
  <c r="BG51" i="13"/>
  <c r="BE51" i="13"/>
  <c r="BD51" i="13"/>
  <c r="BC51" i="13"/>
  <c r="BB51" i="13"/>
  <c r="Q51" i="13"/>
  <c r="S51" i="13" s="1"/>
  <c r="P51" i="13"/>
  <c r="BG50" i="13"/>
  <c r="BE50" i="13"/>
  <c r="BD50" i="13"/>
  <c r="BC50" i="13"/>
  <c r="BB50" i="13"/>
  <c r="Q50" i="13"/>
  <c r="S50" i="13" s="1"/>
  <c r="P50" i="13"/>
  <c r="BG49" i="13"/>
  <c r="BE49" i="13"/>
  <c r="BD49" i="13"/>
  <c r="BC49" i="13"/>
  <c r="BB49" i="13"/>
  <c r="Q49" i="13"/>
  <c r="S49" i="13" s="1"/>
  <c r="P49" i="13"/>
  <c r="BG48" i="13"/>
  <c r="BE48" i="13"/>
  <c r="BD48" i="13"/>
  <c r="BC48" i="13"/>
  <c r="BB48" i="13"/>
  <c r="Q48" i="13"/>
  <c r="S48" i="13" s="1"/>
  <c r="P48" i="13"/>
  <c r="BG47" i="13"/>
  <c r="BE47" i="13"/>
  <c r="BD47" i="13"/>
  <c r="BC47" i="13"/>
  <c r="BB47" i="13"/>
  <c r="Q47" i="13"/>
  <c r="S47" i="13" s="1"/>
  <c r="P47" i="13"/>
  <c r="BG46" i="13"/>
  <c r="BE46" i="13"/>
  <c r="BD46" i="13"/>
  <c r="BC46" i="13"/>
  <c r="BB46" i="13"/>
  <c r="Q46" i="13"/>
  <c r="S46" i="13" s="1"/>
  <c r="P46" i="13"/>
  <c r="BG45" i="13"/>
  <c r="BE45" i="13"/>
  <c r="BD45" i="13"/>
  <c r="BC45" i="13"/>
  <c r="BB45" i="13"/>
  <c r="Q45" i="13"/>
  <c r="S45" i="13" s="1"/>
  <c r="P45" i="13"/>
  <c r="BG44" i="13"/>
  <c r="BE44" i="13"/>
  <c r="BD44" i="13"/>
  <c r="BC44" i="13"/>
  <c r="BB44" i="13"/>
  <c r="Q44" i="13"/>
  <c r="S44" i="13" s="1"/>
  <c r="P44" i="13"/>
  <c r="BG43" i="13"/>
  <c r="BE43" i="13"/>
  <c r="BD43" i="13"/>
  <c r="BC43" i="13"/>
  <c r="BB43" i="13"/>
  <c r="Q43" i="13"/>
  <c r="S43" i="13" s="1"/>
  <c r="P43" i="13"/>
  <c r="BG42" i="13"/>
  <c r="BE42" i="13"/>
  <c r="BD42" i="13"/>
  <c r="BC42" i="13"/>
  <c r="BB42" i="13"/>
  <c r="Q42" i="13"/>
  <c r="S42" i="13" s="1"/>
  <c r="P42" i="13"/>
  <c r="BG41" i="13"/>
  <c r="BE41" i="13"/>
  <c r="BD41" i="13"/>
  <c r="BC41" i="13"/>
  <c r="BB41" i="13"/>
  <c r="Q41" i="13"/>
  <c r="S41" i="13" s="1"/>
  <c r="P41" i="13"/>
  <c r="BG40" i="13"/>
  <c r="BE40" i="13"/>
  <c r="BD40" i="13"/>
  <c r="BC40" i="13"/>
  <c r="BB40" i="13"/>
  <c r="Q40" i="13"/>
  <c r="S40" i="13" s="1"/>
  <c r="P40" i="13"/>
  <c r="BG39" i="13"/>
  <c r="BE39" i="13"/>
  <c r="BD39" i="13"/>
  <c r="BC39" i="13"/>
  <c r="BB39" i="13"/>
  <c r="Q39" i="13"/>
  <c r="S39" i="13" s="1"/>
  <c r="P39" i="13"/>
  <c r="BG38" i="13"/>
  <c r="BE38" i="13"/>
  <c r="BD38" i="13"/>
  <c r="BC38" i="13"/>
  <c r="BB38" i="13"/>
  <c r="Q38" i="13"/>
  <c r="S38" i="13" s="1"/>
  <c r="P38" i="13"/>
  <c r="BG37" i="13"/>
  <c r="BE37" i="13"/>
  <c r="BD37" i="13"/>
  <c r="BC37" i="13"/>
  <c r="BB37" i="13"/>
  <c r="Q37" i="13"/>
  <c r="S37" i="13" s="1"/>
  <c r="P37" i="13"/>
  <c r="BG36" i="13"/>
  <c r="BE36" i="13"/>
  <c r="BD36" i="13"/>
  <c r="BC36" i="13"/>
  <c r="BB36" i="13"/>
  <c r="Q36" i="13"/>
  <c r="S36" i="13" s="1"/>
  <c r="P36" i="13"/>
  <c r="BG35" i="13"/>
  <c r="BE35" i="13"/>
  <c r="BD35" i="13"/>
  <c r="BC35" i="13"/>
  <c r="BB35" i="13"/>
  <c r="Q35" i="13"/>
  <c r="S35" i="13" s="1"/>
  <c r="P35" i="13"/>
  <c r="BG34" i="13"/>
  <c r="BE34" i="13"/>
  <c r="BD34" i="13"/>
  <c r="BC34" i="13"/>
  <c r="BB34" i="13"/>
  <c r="Q34" i="13"/>
  <c r="S34" i="13" s="1"/>
  <c r="P34" i="13"/>
  <c r="BG33" i="13"/>
  <c r="BE33" i="13"/>
  <c r="BD33" i="13"/>
  <c r="BC33" i="13"/>
  <c r="BB33" i="13"/>
  <c r="Q33" i="13"/>
  <c r="S33" i="13" s="1"/>
  <c r="AT33" i="13" s="1"/>
  <c r="P33" i="13"/>
  <c r="BG32" i="13"/>
  <c r="BE32" i="13"/>
  <c r="BD32" i="13"/>
  <c r="BC32" i="13"/>
  <c r="BB32" i="13"/>
  <c r="Q32" i="13"/>
  <c r="S32" i="13" s="1"/>
  <c r="AT32" i="13" s="1"/>
  <c r="P32" i="13"/>
  <c r="BG31" i="13"/>
  <c r="BE31" i="13"/>
  <c r="BD31" i="13"/>
  <c r="BC31" i="13"/>
  <c r="BB31" i="13"/>
  <c r="Q31" i="13"/>
  <c r="S31" i="13" s="1"/>
  <c r="AT31" i="13" s="1"/>
  <c r="P31" i="13"/>
  <c r="AW31" i="13" s="1"/>
  <c r="BG30" i="13"/>
  <c r="BE30" i="13"/>
  <c r="BD30" i="13"/>
  <c r="BC30" i="13"/>
  <c r="BB30" i="13"/>
  <c r="Q30" i="13"/>
  <c r="S30" i="13" s="1"/>
  <c r="AT30" i="13" s="1"/>
  <c r="P30" i="13"/>
  <c r="AW30" i="13" s="1"/>
  <c r="BG29" i="13"/>
  <c r="BE29" i="13"/>
  <c r="BD29" i="13"/>
  <c r="BC29" i="13"/>
  <c r="BB29" i="13"/>
  <c r="Q29" i="13"/>
  <c r="S29" i="13" s="1"/>
  <c r="AT29" i="13" s="1"/>
  <c r="P29" i="13"/>
  <c r="AW29" i="13" s="1"/>
  <c r="BG27" i="13"/>
  <c r="BE27" i="13"/>
  <c r="BD27" i="13"/>
  <c r="BC27" i="13"/>
  <c r="BB27" i="13"/>
  <c r="Q27" i="13"/>
  <c r="S27" i="13" s="1"/>
  <c r="AT27" i="13" s="1"/>
  <c r="P27" i="13"/>
  <c r="AW27" i="13" s="1"/>
  <c r="BG26" i="13"/>
  <c r="BE26" i="13"/>
  <c r="BD26" i="13"/>
  <c r="BC26" i="13"/>
  <c r="BB26" i="13"/>
  <c r="Q26" i="13"/>
  <c r="S26" i="13" s="1"/>
  <c r="AT26" i="13" s="1"/>
  <c r="P26" i="13"/>
  <c r="AW26" i="13" s="1"/>
  <c r="BG25" i="13"/>
  <c r="BE25" i="13"/>
  <c r="BD25" i="13"/>
  <c r="BC25" i="13"/>
  <c r="BB25" i="13"/>
  <c r="Q25" i="13"/>
  <c r="S25" i="13" s="1"/>
  <c r="AT25" i="13" s="1"/>
  <c r="P25" i="13"/>
  <c r="AW25" i="13" s="1"/>
  <c r="BG24" i="13"/>
  <c r="BE24" i="13"/>
  <c r="BD24" i="13"/>
  <c r="BC24" i="13"/>
  <c r="BB24" i="13"/>
  <c r="Q24" i="13"/>
  <c r="S24" i="13" s="1"/>
  <c r="AT24" i="13" s="1"/>
  <c r="P24" i="13"/>
  <c r="AW24" i="13" s="1"/>
  <c r="BG23" i="13"/>
  <c r="BE23" i="13"/>
  <c r="BD23" i="13"/>
  <c r="BC23" i="13"/>
  <c r="BB23" i="13"/>
  <c r="Q23" i="13"/>
  <c r="S23" i="13" s="1"/>
  <c r="AT23" i="13" s="1"/>
  <c r="P23" i="13"/>
  <c r="BG22" i="13"/>
  <c r="BE22" i="13"/>
  <c r="BD22" i="13"/>
  <c r="BC22" i="13"/>
  <c r="BB22" i="13"/>
  <c r="Q22" i="13"/>
  <c r="S22" i="13" s="1"/>
  <c r="AT22" i="13" s="1"/>
  <c r="AW22" i="13" s="1"/>
  <c r="P22" i="13"/>
  <c r="BG21" i="13"/>
  <c r="BE21" i="13"/>
  <c r="BD21" i="13"/>
  <c r="BC21" i="13"/>
  <c r="BB21" i="13"/>
  <c r="Q21" i="13"/>
  <c r="S21" i="13" s="1"/>
  <c r="AT21" i="13" s="1"/>
  <c r="P21" i="13"/>
  <c r="AW21" i="13" s="1"/>
  <c r="BG20" i="13"/>
  <c r="BE20" i="13"/>
  <c r="BD20" i="13"/>
  <c r="BC20" i="13"/>
  <c r="BB20" i="13"/>
  <c r="M20" i="13"/>
  <c r="L20" i="13"/>
  <c r="BG19" i="13"/>
  <c r="BE19" i="13"/>
  <c r="BD19" i="13"/>
  <c r="BC19" i="13"/>
  <c r="BB19" i="13"/>
  <c r="Q19" i="13"/>
  <c r="S19" i="13" s="1"/>
  <c r="AT19" i="13" s="1"/>
  <c r="P19" i="13"/>
  <c r="AW19" i="13" s="1"/>
  <c r="BG18" i="13"/>
  <c r="BE18" i="13"/>
  <c r="BD18" i="13"/>
  <c r="BC18" i="13"/>
  <c r="BB18" i="13"/>
  <c r="AF18" i="13"/>
  <c r="Q18" i="13"/>
  <c r="S18" i="13" s="1"/>
  <c r="P18" i="13"/>
  <c r="AW18" i="13" s="1"/>
  <c r="BG17" i="13"/>
  <c r="BE17" i="13"/>
  <c r="BD17" i="13"/>
  <c r="BC17" i="13"/>
  <c r="BB17" i="13"/>
  <c r="BG16" i="13"/>
  <c r="BE16" i="13"/>
  <c r="BD16" i="13"/>
  <c r="BC16" i="13"/>
  <c r="BB16" i="13"/>
  <c r="BG15" i="13"/>
  <c r="BE15" i="13"/>
  <c r="BD15" i="13"/>
  <c r="BC15" i="13"/>
  <c r="BB15" i="13"/>
  <c r="BG14" i="13"/>
  <c r="BE14" i="13"/>
  <c r="BD14" i="13"/>
  <c r="BC14" i="13"/>
  <c r="BB14" i="13"/>
  <c r="BG13" i="13"/>
  <c r="BE13" i="13"/>
  <c r="BD13" i="13"/>
  <c r="BC13" i="13"/>
  <c r="BB13" i="13"/>
  <c r="BG12" i="13"/>
  <c r="BE12" i="13"/>
  <c r="BD12" i="13"/>
  <c r="BC12" i="13"/>
  <c r="BB12" i="13"/>
  <c r="BG11" i="13"/>
  <c r="BE11" i="13"/>
  <c r="BD11" i="13"/>
  <c r="BC11" i="13"/>
  <c r="BB11" i="13"/>
  <c r="BG10" i="13"/>
  <c r="BE10" i="13"/>
  <c r="BD10" i="13"/>
  <c r="BC10" i="13"/>
  <c r="BB10" i="13"/>
  <c r="BG9" i="13"/>
  <c r="BE9" i="13"/>
  <c r="BD9" i="13"/>
  <c r="BC9" i="13"/>
  <c r="BB9" i="13"/>
  <c r="BG8" i="13"/>
  <c r="BE8" i="13"/>
  <c r="BD8" i="13"/>
  <c r="BC8" i="13"/>
  <c r="BB8" i="13"/>
  <c r="AV60" i="13" l="1"/>
  <c r="AV59" i="13"/>
  <c r="AV58" i="13"/>
  <c r="AV57" i="13"/>
  <c r="AV56" i="13"/>
  <c r="AV55" i="13"/>
  <c r="AV54" i="13"/>
  <c r="AV53" i="13"/>
  <c r="AV52" i="13"/>
  <c r="AV51" i="13"/>
  <c r="AV50" i="13"/>
  <c r="AV49" i="13"/>
  <c r="AV48" i="13"/>
  <c r="AV47" i="13"/>
  <c r="AV46" i="13"/>
  <c r="AV45" i="13"/>
  <c r="AV44" i="13"/>
  <c r="AV43" i="13"/>
  <c r="AV42" i="13"/>
  <c r="AV41" i="13"/>
  <c r="AV40" i="13"/>
  <c r="AV39" i="13"/>
  <c r="C57" i="31"/>
  <c r="AU55" i="31"/>
  <c r="AT55" i="31"/>
  <c r="AU56" i="31"/>
  <c r="AT56" i="31"/>
  <c r="C58" i="31"/>
  <c r="AV38" i="13"/>
  <c r="AV37" i="13"/>
  <c r="AV36" i="13"/>
  <c r="AV35" i="13"/>
  <c r="AV34" i="13"/>
  <c r="AV33" i="13"/>
  <c r="AW32" i="13"/>
  <c r="BF35" i="13"/>
  <c r="AW23" i="13"/>
  <c r="AV32" i="13"/>
  <c r="BF38" i="13"/>
  <c r="AV28" i="13"/>
  <c r="AV30" i="13"/>
  <c r="AV31" i="13"/>
  <c r="BF25" i="13"/>
  <c r="BF103" i="13"/>
  <c r="BF106" i="13"/>
  <c r="BF114" i="13"/>
  <c r="BF117" i="13"/>
  <c r="BF123" i="13"/>
  <c r="BF129" i="13"/>
  <c r="BF135" i="13"/>
  <c r="BF21" i="13"/>
  <c r="BF27" i="13"/>
  <c r="BF75" i="13"/>
  <c r="BF84" i="13"/>
  <c r="BF86" i="13"/>
  <c r="BF93" i="13"/>
  <c r="BF29" i="13"/>
  <c r="BF77" i="13"/>
  <c r="BF65" i="13"/>
  <c r="BF63" i="13"/>
  <c r="BF110" i="13"/>
  <c r="BF81" i="13"/>
  <c r="BF18" i="13"/>
  <c r="BF24" i="13"/>
  <c r="BF83" i="13"/>
  <c r="BF64" i="13"/>
  <c r="BF76" i="13"/>
  <c r="BF107" i="13"/>
  <c r="BF82" i="13"/>
  <c r="BF113" i="13"/>
  <c r="BF39" i="13"/>
  <c r="BF87" i="13"/>
  <c r="BF30" i="13"/>
  <c r="BF33" i="13"/>
  <c r="BF36" i="13"/>
  <c r="BF42" i="13"/>
  <c r="BF73" i="13"/>
  <c r="BF97" i="13"/>
  <c r="BF104" i="13"/>
  <c r="BF20" i="13"/>
  <c r="BF26" i="13"/>
  <c r="BF45" i="13"/>
  <c r="BF48" i="13"/>
  <c r="BF54" i="13"/>
  <c r="BF57" i="13"/>
  <c r="BF60" i="13"/>
  <c r="BF100" i="13"/>
  <c r="BF51" i="13"/>
  <c r="BF69" i="13"/>
  <c r="BF96" i="13"/>
  <c r="BF72" i="13"/>
  <c r="BF47" i="13"/>
  <c r="BF53" i="13"/>
  <c r="BF59" i="13"/>
  <c r="BF99" i="13"/>
  <c r="BF102" i="13"/>
  <c r="BF23" i="13"/>
  <c r="BF44" i="13"/>
  <c r="BF78" i="13"/>
  <c r="BF105" i="13"/>
  <c r="BF31" i="13"/>
  <c r="Q20" i="13"/>
  <c r="S20" i="13" s="1"/>
  <c r="AT20" i="13" s="1"/>
  <c r="AW20" i="13" s="1"/>
  <c r="BF22" i="13"/>
  <c r="BF43" i="13"/>
  <c r="BF46" i="13"/>
  <c r="BF49" i="13"/>
  <c r="BF58" i="13"/>
  <c r="BF61" i="13"/>
  <c r="BF88" i="13"/>
  <c r="BF91" i="13"/>
  <c r="BF111" i="13"/>
  <c r="BF92" i="13"/>
  <c r="BF120" i="13"/>
  <c r="BF126" i="13"/>
  <c r="BF132" i="13"/>
  <c r="BF62" i="13"/>
  <c r="BF95" i="13"/>
  <c r="BF50" i="13"/>
  <c r="BF80" i="13"/>
  <c r="BF116" i="13"/>
  <c r="BF122" i="13"/>
  <c r="BF128" i="13"/>
  <c r="BF134" i="13"/>
  <c r="BF68" i="13"/>
  <c r="BF79" i="13"/>
  <c r="BF119" i="13"/>
  <c r="BF125" i="13"/>
  <c r="BF131" i="13"/>
  <c r="BF137" i="13"/>
  <c r="AT18" i="13"/>
  <c r="BF34" i="13"/>
  <c r="BF71" i="13"/>
  <c r="BF90" i="13"/>
  <c r="BF94" i="13"/>
  <c r="BF98" i="13"/>
  <c r="BF109" i="13"/>
  <c r="BF19" i="13"/>
  <c r="BF37" i="13"/>
  <c r="BF41" i="13"/>
  <c r="BF52" i="13"/>
  <c r="BF56" i="13"/>
  <c r="BF67" i="13"/>
  <c r="BF101" i="13"/>
  <c r="BF112" i="13"/>
  <c r="BF115" i="13"/>
  <c r="BF118" i="13"/>
  <c r="BF121" i="13"/>
  <c r="BF124" i="13"/>
  <c r="BF127" i="13"/>
  <c r="BF130" i="13"/>
  <c r="BF133" i="13"/>
  <c r="BF136" i="13"/>
  <c r="BF10" i="13"/>
  <c r="BF89" i="13"/>
  <c r="BF108" i="13"/>
  <c r="BF15" i="13"/>
  <c r="BF40" i="13"/>
  <c r="BF32" i="13"/>
  <c r="BF55" i="13"/>
  <c r="BF12" i="13"/>
  <c r="BF17" i="13"/>
  <c r="BF66" i="13"/>
  <c r="BF70" i="13"/>
  <c r="BF74" i="13"/>
  <c r="BF85" i="13"/>
  <c r="BF8" i="13"/>
  <c r="BF9" i="13"/>
  <c r="BF16" i="13"/>
  <c r="BF11" i="13"/>
  <c r="BF14" i="13"/>
  <c r="BF13" i="13"/>
  <c r="P20" i="13"/>
  <c r="AU257" i="13" l="1"/>
  <c r="AU258" i="13"/>
  <c r="AU259" i="13"/>
  <c r="AU260" i="13"/>
  <c r="AU261" i="13"/>
  <c r="AU262" i="13"/>
  <c r="AU256" i="13"/>
  <c r="AU255" i="13"/>
  <c r="AU254" i="13"/>
  <c r="AU253" i="13"/>
  <c r="AU252" i="13"/>
  <c r="AU251" i="13"/>
  <c r="AU248" i="13"/>
  <c r="AU249" i="13"/>
  <c r="AU250" i="13"/>
  <c r="AU245" i="13"/>
  <c r="AU247" i="13"/>
  <c r="AU246" i="13"/>
  <c r="AU244" i="13"/>
  <c r="AU239" i="13"/>
  <c r="AU240" i="13"/>
  <c r="AU241" i="13"/>
  <c r="AU238" i="13"/>
  <c r="AU236" i="13"/>
  <c r="AU242" i="13"/>
  <c r="AU237" i="13"/>
  <c r="AU243" i="13"/>
  <c r="AU234" i="13"/>
  <c r="AU235" i="13"/>
  <c r="AU233" i="13"/>
  <c r="AU232" i="13"/>
  <c r="AU231" i="13"/>
  <c r="AU230" i="13"/>
  <c r="AU229" i="13"/>
  <c r="AU226" i="13"/>
  <c r="AU227" i="13"/>
  <c r="AU228" i="13"/>
  <c r="AU197" i="13"/>
  <c r="AU200" i="13"/>
  <c r="AU202" i="13"/>
  <c r="AU205" i="13"/>
  <c r="AU206" i="13"/>
  <c r="AU209" i="13"/>
  <c r="AU213" i="13"/>
  <c r="AU215" i="13"/>
  <c r="AU218" i="13"/>
  <c r="AU222" i="13"/>
  <c r="AU196" i="13"/>
  <c r="AU201" i="13"/>
  <c r="AU203" i="13"/>
  <c r="AU207" i="13"/>
  <c r="AU210" i="13"/>
  <c r="AU214" i="13"/>
  <c r="AU217" i="13"/>
  <c r="AU221" i="13"/>
  <c r="AU225" i="13"/>
  <c r="AU199" i="13"/>
  <c r="AU212" i="13"/>
  <c r="AU219" i="13"/>
  <c r="AU224" i="13"/>
  <c r="AU198" i="13"/>
  <c r="AU204" i="13"/>
  <c r="AU208" i="13"/>
  <c r="AU211" i="13"/>
  <c r="AU216" i="13"/>
  <c r="AU220" i="13"/>
  <c r="AU223" i="13"/>
  <c r="AU153" i="13"/>
  <c r="AU167" i="13"/>
  <c r="AU171" i="13"/>
  <c r="AU173" i="13"/>
  <c r="AU154" i="13"/>
  <c r="AU155" i="13"/>
  <c r="AU156" i="13"/>
  <c r="AU157" i="13"/>
  <c r="AU158" i="13"/>
  <c r="AU159" i="13"/>
  <c r="AU160" i="13"/>
  <c r="AU161" i="13"/>
  <c r="AU162" i="13"/>
  <c r="AU163" i="13"/>
  <c r="AU164" i="13"/>
  <c r="AU165" i="13"/>
  <c r="AU166" i="13"/>
  <c r="AU168" i="13"/>
  <c r="AU169" i="13"/>
  <c r="AU170" i="13"/>
  <c r="AU172" i="13"/>
  <c r="AU174" i="13"/>
  <c r="AU175" i="13"/>
  <c r="AU176" i="13"/>
  <c r="AU177" i="13"/>
  <c r="AU178" i="13"/>
  <c r="AU179" i="13"/>
  <c r="AU180" i="13"/>
  <c r="AU181" i="13"/>
  <c r="AU182" i="13"/>
  <c r="AU183" i="13"/>
  <c r="AU184" i="13"/>
  <c r="AU185" i="13"/>
  <c r="AU186" i="13"/>
  <c r="AU187" i="13"/>
  <c r="AU188" i="13"/>
  <c r="AU189" i="13"/>
  <c r="AU190" i="13"/>
  <c r="AU191" i="13"/>
  <c r="AU192" i="13"/>
  <c r="AU193" i="13"/>
  <c r="AU194" i="13"/>
  <c r="AU195" i="13"/>
  <c r="AU152" i="13"/>
  <c r="AU149" i="13"/>
  <c r="AU150" i="13"/>
  <c r="AU151" i="13"/>
  <c r="AU148" i="13"/>
  <c r="AU147" i="13"/>
  <c r="AU144" i="13"/>
  <c r="AU141" i="13"/>
  <c r="AU145" i="13"/>
  <c r="AU146" i="13"/>
  <c r="AU142" i="13"/>
  <c r="AU143" i="13"/>
  <c r="AU137" i="13"/>
  <c r="AU138" i="13"/>
  <c r="AU140" i="13"/>
  <c r="AU139" i="13"/>
  <c r="AU136" i="13"/>
  <c r="AU135" i="13"/>
  <c r="AU133" i="13"/>
  <c r="AU134" i="13"/>
  <c r="AU132" i="13"/>
  <c r="AU131" i="13"/>
  <c r="AU130" i="13"/>
  <c r="AU129" i="13"/>
  <c r="AU128" i="13"/>
  <c r="AU127" i="13"/>
  <c r="AU126" i="13"/>
  <c r="AU125" i="13"/>
  <c r="AU123" i="13"/>
  <c r="AU124" i="13"/>
  <c r="AU121" i="13"/>
  <c r="AU122" i="13"/>
  <c r="AU119" i="13"/>
  <c r="AU120" i="13"/>
  <c r="AU117" i="13"/>
  <c r="AU118" i="13"/>
  <c r="AU116" i="13"/>
  <c r="AU115" i="13"/>
  <c r="AU114" i="13"/>
  <c r="AU112" i="13"/>
  <c r="AU113" i="13"/>
  <c r="AU111" i="13"/>
  <c r="AU109" i="13"/>
  <c r="AU110" i="13"/>
  <c r="AU107" i="13"/>
  <c r="AU108" i="13"/>
  <c r="AU106" i="13"/>
  <c r="AU105" i="13"/>
  <c r="AU103" i="13"/>
  <c r="AU104" i="13"/>
  <c r="AU102" i="13"/>
  <c r="AU100" i="13"/>
  <c r="AU101" i="13"/>
  <c r="AU98" i="13"/>
  <c r="AU99" i="13"/>
  <c r="AU97" i="13"/>
  <c r="AU96" i="13"/>
  <c r="AU95" i="13"/>
  <c r="AU94" i="13"/>
  <c r="AU91" i="13"/>
  <c r="AU92" i="13"/>
  <c r="AU93" i="13"/>
  <c r="AU90" i="13"/>
  <c r="AU88" i="13"/>
  <c r="AU89" i="13"/>
  <c r="AU87" i="13"/>
  <c r="AU86" i="13"/>
  <c r="AU85" i="13"/>
  <c r="AU84" i="13"/>
  <c r="AU82" i="13"/>
  <c r="AU83" i="13"/>
  <c r="AU80" i="13"/>
  <c r="AU81" i="13"/>
  <c r="AU79" i="13"/>
  <c r="AU77" i="13"/>
  <c r="AU78" i="13"/>
  <c r="AU76" i="13"/>
  <c r="AU75" i="13"/>
  <c r="AU74" i="13"/>
  <c r="AU73" i="13"/>
  <c r="AU72" i="13"/>
  <c r="AU71" i="13"/>
  <c r="AU70" i="13"/>
  <c r="AU69" i="13"/>
  <c r="AU68" i="13"/>
  <c r="AU67" i="13"/>
  <c r="AU66" i="13"/>
  <c r="AU65" i="13"/>
  <c r="AU64" i="13"/>
  <c r="AU62" i="13"/>
  <c r="AU63" i="13"/>
  <c r="AU61" i="13"/>
  <c r="AU60" i="13"/>
  <c r="AU59" i="13"/>
  <c r="AU58" i="13"/>
  <c r="AU57" i="13"/>
  <c r="AU56" i="13"/>
  <c r="AU55" i="13"/>
  <c r="AU54" i="13"/>
  <c r="AU53" i="13"/>
  <c r="AU52" i="13"/>
  <c r="AU51" i="13"/>
  <c r="AU49" i="13"/>
  <c r="AU50" i="13"/>
  <c r="AU48" i="13"/>
  <c r="AU47" i="13"/>
  <c r="AU46" i="13"/>
  <c r="AU45" i="13"/>
  <c r="AU44" i="13"/>
  <c r="AU43" i="13"/>
  <c r="AU42" i="13"/>
  <c r="AU41" i="13"/>
  <c r="AU40" i="13"/>
  <c r="AU39" i="13"/>
  <c r="AT58" i="31"/>
  <c r="C60" i="31"/>
  <c r="AU58" i="31"/>
  <c r="AU57" i="31"/>
  <c r="AT57" i="31"/>
  <c r="C59" i="31"/>
  <c r="AU38" i="13"/>
  <c r="AU37" i="13"/>
  <c r="AU36" i="13"/>
  <c r="AU35" i="13"/>
  <c r="AU34" i="13"/>
  <c r="AU33" i="13"/>
  <c r="AU32" i="13"/>
  <c r="AU30" i="13"/>
  <c r="AU31" i="13"/>
  <c r="AU29" i="13"/>
  <c r="AV29" i="13"/>
  <c r="AV27" i="13"/>
  <c r="AV23" i="13"/>
  <c r="AU23" i="13"/>
  <c r="AU19" i="13"/>
  <c r="AV22" i="13"/>
  <c r="AV21" i="13"/>
  <c r="AU28" i="13"/>
  <c r="AV20" i="13"/>
  <c r="AV26" i="13"/>
  <c r="AU22" i="13"/>
  <c r="AU26" i="13"/>
  <c r="AV25" i="13"/>
  <c r="AU20" i="13"/>
  <c r="AV19" i="13"/>
  <c r="AU25" i="13"/>
  <c r="AU27" i="13"/>
  <c r="AU21" i="13"/>
  <c r="AV24" i="13"/>
  <c r="AU24" i="13"/>
  <c r="AV18" i="13"/>
  <c r="AU18" i="13"/>
  <c r="C62" i="31" l="1"/>
  <c r="AU60" i="31"/>
  <c r="AT60" i="31"/>
  <c r="C61" i="31"/>
  <c r="AU59" i="31"/>
  <c r="AT59" i="31"/>
  <c r="AW2" i="13"/>
  <c r="AU61" i="31" l="1"/>
  <c r="AT61" i="31"/>
  <c r="C63" i="31"/>
  <c r="AU62" i="31"/>
  <c r="AT62" i="31"/>
  <c r="C64" i="31"/>
  <c r="K43" i="4"/>
  <c r="AL43" i="4" s="1"/>
  <c r="J99" i="2"/>
  <c r="AR98" i="2"/>
  <c r="J98" i="2"/>
  <c r="J55" i="11"/>
  <c r="AQ55" i="11" s="1"/>
  <c r="J53" i="11"/>
  <c r="AQ53" i="11" s="1"/>
  <c r="S42" i="4"/>
  <c r="U42" i="4" s="1"/>
  <c r="S43" i="4"/>
  <c r="U43" i="4" s="1"/>
  <c r="S44" i="4"/>
  <c r="U44" i="4" s="1"/>
  <c r="S45" i="4"/>
  <c r="U45" i="4" s="1"/>
  <c r="S46" i="4"/>
  <c r="U46" i="4" s="1"/>
  <c r="S47" i="4"/>
  <c r="U47" i="4" s="1"/>
  <c r="S48" i="4"/>
  <c r="U48" i="4" s="1"/>
  <c r="S49" i="4"/>
  <c r="U49" i="4" s="1"/>
  <c r="S50" i="4"/>
  <c r="U50" i="4" s="1"/>
  <c r="AO50" i="4" s="1"/>
  <c r="S51" i="4"/>
  <c r="U51" i="4" s="1"/>
  <c r="AM51" i="4" s="1"/>
  <c r="S52" i="4"/>
  <c r="U52" i="4" s="1"/>
  <c r="S53" i="4"/>
  <c r="U53" i="4" s="1"/>
  <c r="S54" i="4"/>
  <c r="U54" i="4" s="1"/>
  <c r="S55" i="4"/>
  <c r="U55" i="4" s="1"/>
  <c r="S56" i="4"/>
  <c r="U56" i="4" s="1"/>
  <c r="S57" i="4"/>
  <c r="U57" i="4" s="1"/>
  <c r="S58" i="4"/>
  <c r="U58" i="4" s="1"/>
  <c r="S59" i="4"/>
  <c r="U59" i="4" s="1"/>
  <c r="S60" i="4"/>
  <c r="U60" i="4" s="1"/>
  <c r="AO60" i="4" s="1"/>
  <c r="S61" i="4"/>
  <c r="U61" i="4" s="1"/>
  <c r="S62" i="4"/>
  <c r="U62" i="4" s="1"/>
  <c r="S63" i="4"/>
  <c r="U63" i="4" s="1"/>
  <c r="S64" i="4"/>
  <c r="U64" i="4" s="1"/>
  <c r="S65" i="4"/>
  <c r="U65" i="4" s="1"/>
  <c r="S66" i="4"/>
  <c r="U66" i="4" s="1"/>
  <c r="S67" i="4"/>
  <c r="U67" i="4" s="1"/>
  <c r="S68" i="4"/>
  <c r="U68" i="4" s="1"/>
  <c r="S69" i="4"/>
  <c r="U69" i="4" s="1"/>
  <c r="S70" i="4"/>
  <c r="U70" i="4" s="1"/>
  <c r="S71" i="4"/>
  <c r="U71" i="4" s="1"/>
  <c r="S72" i="4"/>
  <c r="U72" i="4" s="1"/>
  <c r="S73" i="4"/>
  <c r="U73" i="4" s="1"/>
  <c r="S74" i="4"/>
  <c r="U74" i="4" s="1"/>
  <c r="S75" i="4"/>
  <c r="U75" i="4" s="1"/>
  <c r="S76" i="4"/>
  <c r="U76" i="4" s="1"/>
  <c r="S77" i="4"/>
  <c r="U77" i="4" s="1"/>
  <c r="S78" i="4"/>
  <c r="U78" i="4" s="1"/>
  <c r="S79" i="4"/>
  <c r="U79" i="4" s="1"/>
  <c r="S80" i="4"/>
  <c r="U80" i="4" s="1"/>
  <c r="S81" i="4"/>
  <c r="U81" i="4" s="1"/>
  <c r="S82" i="4"/>
  <c r="U82" i="4" s="1"/>
  <c r="S83" i="4"/>
  <c r="U83" i="4" s="1"/>
  <c r="AO83" i="4" s="1"/>
  <c r="S84" i="4"/>
  <c r="U84" i="4" s="1"/>
  <c r="AO84" i="4" s="1"/>
  <c r="S85" i="4"/>
  <c r="U85" i="4" s="1"/>
  <c r="S86" i="4"/>
  <c r="U86" i="4" s="1"/>
  <c r="AM86" i="4" s="1"/>
  <c r="AP86" i="4" s="1"/>
  <c r="S107" i="4"/>
  <c r="U107" i="4" s="1"/>
  <c r="AM107" i="4" s="1"/>
  <c r="S108" i="4"/>
  <c r="U108" i="4" s="1"/>
  <c r="AM108" i="4" s="1"/>
  <c r="S109" i="4"/>
  <c r="U109" i="4" s="1"/>
  <c r="AM109" i="4" s="1"/>
  <c r="S110" i="4"/>
  <c r="U110" i="4" s="1"/>
  <c r="AM110" i="4" s="1"/>
  <c r="S111" i="4"/>
  <c r="U111" i="4" s="1"/>
  <c r="AM111" i="4" s="1"/>
  <c r="S112" i="4"/>
  <c r="U112" i="4" s="1"/>
  <c r="AM112" i="4" s="1"/>
  <c r="S113" i="4"/>
  <c r="U113" i="4" s="1"/>
  <c r="AM113" i="4" s="1"/>
  <c r="S114" i="4"/>
  <c r="U114" i="4" s="1"/>
  <c r="AM114" i="4" s="1"/>
  <c r="S115" i="4"/>
  <c r="U115" i="4" s="1"/>
  <c r="AM115" i="4" s="1"/>
  <c r="S116" i="4"/>
  <c r="U116" i="4" s="1"/>
  <c r="AM116" i="4" s="1"/>
  <c r="S117" i="4"/>
  <c r="U117" i="4" s="1"/>
  <c r="AM117" i="4" s="1"/>
  <c r="S118" i="4"/>
  <c r="U118" i="4" s="1"/>
  <c r="AM118" i="4" s="1"/>
  <c r="S119" i="4"/>
  <c r="U119" i="4" s="1"/>
  <c r="AM119" i="4" s="1"/>
  <c r="S120" i="4"/>
  <c r="U120" i="4" s="1"/>
  <c r="AM120" i="4" s="1"/>
  <c r="S121" i="4"/>
  <c r="U121" i="4" s="1"/>
  <c r="AM121" i="4" s="1"/>
  <c r="S122" i="4"/>
  <c r="U122" i="4" s="1"/>
  <c r="AM122" i="4" s="1"/>
  <c r="S123" i="4"/>
  <c r="U123" i="4" s="1"/>
  <c r="AM123" i="4" s="1"/>
  <c r="S124" i="4"/>
  <c r="U124" i="4" s="1"/>
  <c r="AM124" i="4" s="1"/>
  <c r="S125" i="4"/>
  <c r="U125" i="4" s="1"/>
  <c r="AM125" i="4" s="1"/>
  <c r="S126" i="4"/>
  <c r="U126" i="4" s="1"/>
  <c r="AM126" i="4" s="1"/>
  <c r="S127" i="4"/>
  <c r="U127" i="4" s="1"/>
  <c r="AM127" i="4" s="1"/>
  <c r="S128" i="4"/>
  <c r="U128" i="4" s="1"/>
  <c r="AM128" i="4" s="1"/>
  <c r="S129" i="4"/>
  <c r="U129" i="4" s="1"/>
  <c r="AM129" i="4" s="1"/>
  <c r="S130" i="4"/>
  <c r="U130" i="4" s="1"/>
  <c r="AM130" i="4" s="1"/>
  <c r="S131" i="4"/>
  <c r="U131" i="4" s="1"/>
  <c r="AM131" i="4" s="1"/>
  <c r="S132" i="4"/>
  <c r="U132" i="4" s="1"/>
  <c r="AM132" i="4" s="1"/>
  <c r="S133" i="4"/>
  <c r="U133" i="4" s="1"/>
  <c r="AM133" i="4" s="1"/>
  <c r="S134" i="4"/>
  <c r="U134" i="4" s="1"/>
  <c r="AM134" i="4" s="1"/>
  <c r="S135" i="4"/>
  <c r="U135" i="4" s="1"/>
  <c r="AM135" i="4" s="1"/>
  <c r="S136" i="4"/>
  <c r="U136" i="4" s="1"/>
  <c r="AM136" i="4" s="1"/>
  <c r="S137" i="4"/>
  <c r="U137" i="4" s="1"/>
  <c r="AM137" i="4" s="1"/>
  <c r="S138" i="4"/>
  <c r="U138" i="4" s="1"/>
  <c r="AM138" i="4" s="1"/>
  <c r="S139" i="4"/>
  <c r="U139" i="4" s="1"/>
  <c r="AM139" i="4" s="1"/>
  <c r="S140" i="4"/>
  <c r="U140" i="4" s="1"/>
  <c r="AM140" i="4" s="1"/>
  <c r="S141" i="4"/>
  <c r="U141" i="4" s="1"/>
  <c r="AM141" i="4" s="1"/>
  <c r="S142" i="4"/>
  <c r="U142" i="4" s="1"/>
  <c r="AM142" i="4" s="1"/>
  <c r="S143" i="4"/>
  <c r="U143" i="4" s="1"/>
  <c r="AM143" i="4" s="1"/>
  <c r="S144" i="4"/>
  <c r="U144" i="4" s="1"/>
  <c r="AM144" i="4" s="1"/>
  <c r="S145" i="4"/>
  <c r="U145" i="4" s="1"/>
  <c r="AM145" i="4" s="1"/>
  <c r="S146" i="4"/>
  <c r="U146" i="4" s="1"/>
  <c r="AM146" i="4" s="1"/>
  <c r="S147" i="4"/>
  <c r="U147" i="4" s="1"/>
  <c r="AM147" i="4" s="1"/>
  <c r="S148" i="4"/>
  <c r="U148" i="4" s="1"/>
  <c r="AM148" i="4" s="1"/>
  <c r="S149" i="4"/>
  <c r="U149" i="4" s="1"/>
  <c r="AM149" i="4" s="1"/>
  <c r="S150" i="4"/>
  <c r="U150" i="4" s="1"/>
  <c r="AM150" i="4" s="1"/>
  <c r="S151" i="4"/>
  <c r="U151" i="4" s="1"/>
  <c r="AM151" i="4" s="1"/>
  <c r="S152" i="4"/>
  <c r="U152" i="4" s="1"/>
  <c r="AM152" i="4" s="1"/>
  <c r="S153" i="4"/>
  <c r="U153" i="4" s="1"/>
  <c r="AM153" i="4" s="1"/>
  <c r="S154" i="4"/>
  <c r="U154" i="4" s="1"/>
  <c r="AM154" i="4" s="1"/>
  <c r="S155" i="4"/>
  <c r="U155" i="4" s="1"/>
  <c r="AM155" i="4" s="1"/>
  <c r="S156" i="4"/>
  <c r="U156" i="4" s="1"/>
  <c r="AM156" i="4" s="1"/>
  <c r="S157" i="4"/>
  <c r="U157" i="4" s="1"/>
  <c r="AM157" i="4" s="1"/>
  <c r="S158" i="4"/>
  <c r="U158" i="4" s="1"/>
  <c r="AM158" i="4" s="1"/>
  <c r="S159" i="4"/>
  <c r="U159" i="4" s="1"/>
  <c r="AM159" i="4" s="1"/>
  <c r="S160" i="4"/>
  <c r="U160" i="4" s="1"/>
  <c r="AM160" i="4" s="1"/>
  <c r="S161" i="4"/>
  <c r="U161" i="4" s="1"/>
  <c r="AM161" i="4" s="1"/>
  <c r="S162" i="4"/>
  <c r="U162" i="4" s="1"/>
  <c r="AM162" i="4" s="1"/>
  <c r="S163" i="4"/>
  <c r="U163" i="4" s="1"/>
  <c r="AM163" i="4" s="1"/>
  <c r="S164" i="4"/>
  <c r="U164" i="4" s="1"/>
  <c r="AM164" i="4" s="1"/>
  <c r="S165" i="4"/>
  <c r="U165" i="4" s="1"/>
  <c r="AM165" i="4" s="1"/>
  <c r="S166" i="4"/>
  <c r="U166" i="4" s="1"/>
  <c r="AM166" i="4" s="1"/>
  <c r="S167" i="4"/>
  <c r="U167" i="4" s="1"/>
  <c r="AM167" i="4" s="1"/>
  <c r="S168" i="4"/>
  <c r="U168" i="4" s="1"/>
  <c r="AM168" i="4" s="1"/>
  <c r="S169" i="4"/>
  <c r="U169" i="4" s="1"/>
  <c r="AM169" i="4" s="1"/>
  <c r="S170" i="4"/>
  <c r="U170" i="4" s="1"/>
  <c r="AM170" i="4" s="1"/>
  <c r="S171" i="4"/>
  <c r="U171" i="4" s="1"/>
  <c r="AM171" i="4" s="1"/>
  <c r="S172" i="4"/>
  <c r="U172" i="4" s="1"/>
  <c r="AM172" i="4" s="1"/>
  <c r="S173" i="4"/>
  <c r="U173" i="4" s="1"/>
  <c r="AM173" i="4" s="1"/>
  <c r="S174" i="4"/>
  <c r="U174" i="4" s="1"/>
  <c r="AM174" i="4" s="1"/>
  <c r="S175" i="4"/>
  <c r="U175" i="4" s="1"/>
  <c r="AM175" i="4" s="1"/>
  <c r="S176" i="4"/>
  <c r="U176" i="4" s="1"/>
  <c r="AM176" i="4" s="1"/>
  <c r="S177" i="4"/>
  <c r="U177" i="4" s="1"/>
  <c r="AM177" i="4" s="1"/>
  <c r="S178" i="4"/>
  <c r="U178" i="4" s="1"/>
  <c r="AM178" i="4" s="1"/>
  <c r="S179" i="4"/>
  <c r="U179" i="4" s="1"/>
  <c r="AM179" i="4" s="1"/>
  <c r="S180" i="4"/>
  <c r="U180" i="4" s="1"/>
  <c r="AM180" i="4" s="1"/>
  <c r="S181" i="4"/>
  <c r="U181" i="4" s="1"/>
  <c r="AM181" i="4" s="1"/>
  <c r="S182" i="4"/>
  <c r="U182" i="4" s="1"/>
  <c r="AM182" i="4" s="1"/>
  <c r="S183" i="4"/>
  <c r="U183" i="4" s="1"/>
  <c r="AM183" i="4" s="1"/>
  <c r="S184" i="4"/>
  <c r="U184" i="4" s="1"/>
  <c r="AM184" i="4" s="1"/>
  <c r="S185" i="4"/>
  <c r="U185" i="4" s="1"/>
  <c r="AM185" i="4" s="1"/>
  <c r="S186" i="4"/>
  <c r="U186" i="4" s="1"/>
  <c r="AM186" i="4" s="1"/>
  <c r="S187" i="4"/>
  <c r="U187" i="4" s="1"/>
  <c r="AM187" i="4" s="1"/>
  <c r="S188" i="4"/>
  <c r="U188" i="4" s="1"/>
  <c r="AM188" i="4" s="1"/>
  <c r="S189" i="4"/>
  <c r="U189" i="4" s="1"/>
  <c r="AM189" i="4" s="1"/>
  <c r="S190" i="4"/>
  <c r="U190" i="4" s="1"/>
  <c r="AM190" i="4" s="1"/>
  <c r="S191" i="4"/>
  <c r="U191" i="4" s="1"/>
  <c r="AM191" i="4" s="1"/>
  <c r="S192" i="4"/>
  <c r="U192" i="4" s="1"/>
  <c r="AM192" i="4" s="1"/>
  <c r="S193" i="4"/>
  <c r="U193" i="4" s="1"/>
  <c r="AM193" i="4" s="1"/>
  <c r="S194" i="4"/>
  <c r="U194" i="4" s="1"/>
  <c r="AM194" i="4" s="1"/>
  <c r="S195" i="4"/>
  <c r="U195" i="4" s="1"/>
  <c r="AM195" i="4" s="1"/>
  <c r="S196" i="4"/>
  <c r="U196" i="4" s="1"/>
  <c r="AM196" i="4" s="1"/>
  <c r="S197" i="4"/>
  <c r="U197" i="4" s="1"/>
  <c r="AM197" i="4" s="1"/>
  <c r="S198" i="4"/>
  <c r="U198" i="4" s="1"/>
  <c r="AM198" i="4" s="1"/>
  <c r="S199" i="4"/>
  <c r="U199" i="4" s="1"/>
  <c r="AM199" i="4" s="1"/>
  <c r="S200" i="4"/>
  <c r="U200" i="4" s="1"/>
  <c r="AM200" i="4" s="1"/>
  <c r="S201" i="4"/>
  <c r="U201" i="4" s="1"/>
  <c r="AM201" i="4" s="1"/>
  <c r="S202" i="4"/>
  <c r="U202" i="4" s="1"/>
  <c r="AM202" i="4" s="1"/>
  <c r="S203" i="4"/>
  <c r="U203" i="4" s="1"/>
  <c r="AM203" i="4" s="1"/>
  <c r="S204" i="4"/>
  <c r="U204" i="4" s="1"/>
  <c r="AM204" i="4" s="1"/>
  <c r="S205" i="4"/>
  <c r="U205" i="4" s="1"/>
  <c r="AM205" i="4" s="1"/>
  <c r="S206" i="4"/>
  <c r="U206" i="4" s="1"/>
  <c r="AM206" i="4" s="1"/>
  <c r="S207" i="4"/>
  <c r="U207" i="4" s="1"/>
  <c r="AM207" i="4" s="1"/>
  <c r="S208" i="4"/>
  <c r="U208" i="4" s="1"/>
  <c r="AM208" i="4" s="1"/>
  <c r="S209" i="4"/>
  <c r="U209" i="4" s="1"/>
  <c r="AM209" i="4" s="1"/>
  <c r="S210" i="4"/>
  <c r="U210" i="4" s="1"/>
  <c r="AM210" i="4" s="1"/>
  <c r="S211" i="4"/>
  <c r="U211" i="4" s="1"/>
  <c r="AM211" i="4" s="1"/>
  <c r="S212" i="4"/>
  <c r="U212" i="4" s="1"/>
  <c r="AM212" i="4" s="1"/>
  <c r="S213" i="4"/>
  <c r="U213" i="4" s="1"/>
  <c r="AM213" i="4" s="1"/>
  <c r="S214" i="4"/>
  <c r="U214" i="4" s="1"/>
  <c r="AM214" i="4" s="1"/>
  <c r="S215" i="4"/>
  <c r="U215" i="4" s="1"/>
  <c r="AM215" i="4" s="1"/>
  <c r="S216" i="4"/>
  <c r="U216" i="4" s="1"/>
  <c r="AM216" i="4" s="1"/>
  <c r="S217" i="4"/>
  <c r="U217" i="4" s="1"/>
  <c r="AM217" i="4" s="1"/>
  <c r="S218" i="4"/>
  <c r="U218" i="4" s="1"/>
  <c r="AM218" i="4" s="1"/>
  <c r="S219" i="4"/>
  <c r="U219" i="4" s="1"/>
  <c r="AM219" i="4" s="1"/>
  <c r="S220" i="4"/>
  <c r="U220" i="4" s="1"/>
  <c r="AM220" i="4" s="1"/>
  <c r="S221" i="4"/>
  <c r="U221" i="4" s="1"/>
  <c r="AM221" i="4" s="1"/>
  <c r="S222" i="4"/>
  <c r="U222" i="4" s="1"/>
  <c r="AM222" i="4" s="1"/>
  <c r="S223" i="4"/>
  <c r="U223" i="4" s="1"/>
  <c r="AM223" i="4" s="1"/>
  <c r="S224" i="4"/>
  <c r="U224" i="4" s="1"/>
  <c r="AM224" i="4" s="1"/>
  <c r="S225" i="4"/>
  <c r="U225" i="4" s="1"/>
  <c r="AM225" i="4" s="1"/>
  <c r="S226" i="4"/>
  <c r="U226" i="4" s="1"/>
  <c r="AM226" i="4" s="1"/>
  <c r="S227" i="4"/>
  <c r="U227" i="4" s="1"/>
  <c r="AM227" i="4" s="1"/>
  <c r="S228" i="4"/>
  <c r="U228" i="4" s="1"/>
  <c r="AM228" i="4" s="1"/>
  <c r="S229" i="4"/>
  <c r="U229" i="4" s="1"/>
  <c r="AM229" i="4" s="1"/>
  <c r="S230" i="4"/>
  <c r="U230" i="4" s="1"/>
  <c r="AM230" i="4" s="1"/>
  <c r="S231" i="4"/>
  <c r="U231" i="4" s="1"/>
  <c r="AM231" i="4" s="1"/>
  <c r="S232" i="4"/>
  <c r="U232" i="4" s="1"/>
  <c r="AM232" i="4" s="1"/>
  <c r="S233" i="4"/>
  <c r="U233" i="4" s="1"/>
  <c r="AM233" i="4" s="1"/>
  <c r="S234" i="4"/>
  <c r="U234" i="4" s="1"/>
  <c r="AM234" i="4" s="1"/>
  <c r="S235" i="4"/>
  <c r="U235" i="4" s="1"/>
  <c r="AM235" i="4" s="1"/>
  <c r="S236" i="4"/>
  <c r="U236" i="4" s="1"/>
  <c r="AM236" i="4" s="1"/>
  <c r="S237" i="4"/>
  <c r="U237" i="4" s="1"/>
  <c r="AM237" i="4" s="1"/>
  <c r="S238" i="4"/>
  <c r="U238" i="4" s="1"/>
  <c r="AM238" i="4" s="1"/>
  <c r="S239" i="4"/>
  <c r="U239" i="4" s="1"/>
  <c r="AM239" i="4" s="1"/>
  <c r="S240" i="4"/>
  <c r="U240" i="4" s="1"/>
  <c r="AM240" i="4" s="1"/>
  <c r="S241" i="4"/>
  <c r="U241" i="4" s="1"/>
  <c r="AM241" i="4" s="1"/>
  <c r="S242" i="4"/>
  <c r="U242" i="4" s="1"/>
  <c r="AM242" i="4" s="1"/>
  <c r="S243" i="4"/>
  <c r="U243" i="4" s="1"/>
  <c r="AM243" i="4" s="1"/>
  <c r="S244" i="4"/>
  <c r="U244" i="4" s="1"/>
  <c r="AM244" i="4" s="1"/>
  <c r="S245" i="4"/>
  <c r="U245" i="4" s="1"/>
  <c r="S246" i="4"/>
  <c r="U246" i="4" s="1"/>
  <c r="S247" i="4"/>
  <c r="U247" i="4" s="1"/>
  <c r="S248" i="4"/>
  <c r="U248" i="4" s="1"/>
  <c r="S249" i="4"/>
  <c r="U249" i="4" s="1"/>
  <c r="S250" i="4"/>
  <c r="U250" i="4" s="1"/>
  <c r="S251" i="4"/>
  <c r="U251" i="4" s="1"/>
  <c r="S252" i="4"/>
  <c r="U252" i="4" s="1"/>
  <c r="S253" i="4"/>
  <c r="U253" i="4" s="1"/>
  <c r="S254" i="4"/>
  <c r="U254" i="4" s="1"/>
  <c r="S255" i="4"/>
  <c r="U255" i="4" s="1"/>
  <c r="S256" i="4"/>
  <c r="U256" i="4" s="1"/>
  <c r="S257" i="4"/>
  <c r="U257" i="4" s="1"/>
  <c r="S258" i="4"/>
  <c r="U258" i="4" s="1"/>
  <c r="S259" i="4"/>
  <c r="U259" i="4" s="1"/>
  <c r="S260" i="4"/>
  <c r="U260" i="4" s="1"/>
  <c r="S261" i="4"/>
  <c r="U261" i="4" s="1"/>
  <c r="S262" i="4"/>
  <c r="U262" i="4" s="1"/>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K42" i="4"/>
  <c r="AR97" i="2"/>
  <c r="AR96" i="2"/>
  <c r="J96" i="2"/>
  <c r="J97" i="2"/>
  <c r="W191" i="11"/>
  <c r="W192" i="11"/>
  <c r="W193" i="11"/>
  <c r="W194" i="11"/>
  <c r="W195" i="11"/>
  <c r="W196" i="11"/>
  <c r="W197" i="11"/>
  <c r="W198" i="11"/>
  <c r="W199" i="11"/>
  <c r="W200" i="11"/>
  <c r="W201" i="11"/>
  <c r="W202" i="11"/>
  <c r="W203" i="11"/>
  <c r="W204" i="11"/>
  <c r="W205" i="11"/>
  <c r="W206" i="11"/>
  <c r="W207" i="11"/>
  <c r="W208" i="11"/>
  <c r="W209" i="11"/>
  <c r="W210" i="11"/>
  <c r="W211" i="11"/>
  <c r="W212" i="11"/>
  <c r="W213" i="11"/>
  <c r="W214" i="11"/>
  <c r="W215" i="11"/>
  <c r="W216" i="11"/>
  <c r="W217" i="11"/>
  <c r="W218" i="11"/>
  <c r="W219" i="11"/>
  <c r="W220" i="11"/>
  <c r="W221" i="11"/>
  <c r="W222" i="11"/>
  <c r="W223" i="11"/>
  <c r="W224" i="11"/>
  <c r="W225" i="11"/>
  <c r="W226" i="11"/>
  <c r="W227" i="11"/>
  <c r="W228" i="11"/>
  <c r="W229" i="11"/>
  <c r="W230" i="11"/>
  <c r="W231" i="11"/>
  <c r="W232" i="11"/>
  <c r="W233" i="11"/>
  <c r="W234" i="11"/>
  <c r="W235" i="11"/>
  <c r="W236" i="11"/>
  <c r="W237" i="11"/>
  <c r="W238" i="11"/>
  <c r="W239" i="11"/>
  <c r="W240" i="11"/>
  <c r="W241" i="11"/>
  <c r="W242" i="11"/>
  <c r="AP240" i="4" l="1"/>
  <c r="AP224" i="4"/>
  <c r="AP239" i="4"/>
  <c r="AP223" i="4"/>
  <c r="AP238" i="4"/>
  <c r="AP222" i="4"/>
  <c r="AP241" i="4"/>
  <c r="AP237" i="4"/>
  <c r="AP221" i="4"/>
  <c r="AP236" i="4"/>
  <c r="AP220" i="4"/>
  <c r="AP235" i="4"/>
  <c r="AP219" i="4"/>
  <c r="AP234" i="4"/>
  <c r="AP218" i="4"/>
  <c r="AP233" i="4"/>
  <c r="AP217" i="4"/>
  <c r="AP232" i="4"/>
  <c r="AP216" i="4"/>
  <c r="AP231" i="4"/>
  <c r="AP215" i="4"/>
  <c r="AP225" i="4"/>
  <c r="AP230" i="4"/>
  <c r="AP214" i="4"/>
  <c r="AP229" i="4"/>
  <c r="AP213" i="4"/>
  <c r="AP244" i="4"/>
  <c r="AP228" i="4"/>
  <c r="AP212" i="4"/>
  <c r="AP243" i="4"/>
  <c r="AP227" i="4"/>
  <c r="AP242" i="4"/>
  <c r="AP226" i="4"/>
  <c r="AP107" i="4"/>
  <c r="AP108" i="4"/>
  <c r="AP109" i="4"/>
  <c r="AP110" i="4"/>
  <c r="AP111" i="4"/>
  <c r="AP112" i="4"/>
  <c r="AP113" i="4"/>
  <c r="AP114" i="4"/>
  <c r="AP115" i="4"/>
  <c r="AP116" i="4"/>
  <c r="AP117" i="4"/>
  <c r="AP118" i="4"/>
  <c r="AP119" i="4"/>
  <c r="AP120" i="4"/>
  <c r="AP121" i="4"/>
  <c r="AP122" i="4"/>
  <c r="AP123" i="4"/>
  <c r="AP124" i="4"/>
  <c r="AP125" i="4"/>
  <c r="AP126" i="4"/>
  <c r="AP127" i="4"/>
  <c r="AP128" i="4"/>
  <c r="AP129" i="4"/>
  <c r="AP130" i="4"/>
  <c r="AP131" i="4"/>
  <c r="AP132" i="4"/>
  <c r="AP133" i="4"/>
  <c r="AP134" i="4"/>
  <c r="AP135" i="4"/>
  <c r="AP136" i="4"/>
  <c r="AP137" i="4"/>
  <c r="AP138" i="4"/>
  <c r="AP139" i="4"/>
  <c r="AP140" i="4"/>
  <c r="AP141" i="4"/>
  <c r="AP142" i="4"/>
  <c r="AP143" i="4"/>
  <c r="AP144" i="4"/>
  <c r="AP145" i="4"/>
  <c r="AP146" i="4"/>
  <c r="AP147" i="4"/>
  <c r="AP148" i="4"/>
  <c r="AP149" i="4"/>
  <c r="AP150" i="4"/>
  <c r="AP151" i="4"/>
  <c r="AP152" i="4"/>
  <c r="AP153" i="4"/>
  <c r="AP154" i="4"/>
  <c r="AP155" i="4"/>
  <c r="AP156" i="4"/>
  <c r="AP157" i="4"/>
  <c r="AP158" i="4"/>
  <c r="AP159" i="4"/>
  <c r="AP160" i="4"/>
  <c r="AP161" i="4"/>
  <c r="AP162" i="4"/>
  <c r="AP163" i="4"/>
  <c r="AP164" i="4"/>
  <c r="AP165" i="4"/>
  <c r="AP166" i="4"/>
  <c r="AP167" i="4"/>
  <c r="AP168" i="4"/>
  <c r="AP169" i="4"/>
  <c r="AP170" i="4"/>
  <c r="AP171" i="4"/>
  <c r="AP172" i="4"/>
  <c r="AP173" i="4"/>
  <c r="AP174" i="4"/>
  <c r="AP175" i="4"/>
  <c r="AP176" i="4"/>
  <c r="AP177" i="4"/>
  <c r="AP178" i="4"/>
  <c r="AP179" i="4"/>
  <c r="AP180" i="4"/>
  <c r="AP181" i="4"/>
  <c r="AP182" i="4"/>
  <c r="AP183" i="4"/>
  <c r="AP184" i="4"/>
  <c r="AP185" i="4"/>
  <c r="AP186" i="4"/>
  <c r="AP187" i="4"/>
  <c r="AP188" i="4"/>
  <c r="AP189" i="4"/>
  <c r="AP190" i="4"/>
  <c r="AP191" i="4"/>
  <c r="AP192" i="4"/>
  <c r="AP193" i="4"/>
  <c r="AP194" i="4"/>
  <c r="AP195" i="4"/>
  <c r="AP196" i="4"/>
  <c r="AP197" i="4"/>
  <c r="AP198" i="4"/>
  <c r="AP199" i="4"/>
  <c r="AP200" i="4"/>
  <c r="AP201" i="4"/>
  <c r="AP202" i="4"/>
  <c r="AP203" i="4"/>
  <c r="AP204" i="4"/>
  <c r="AP205" i="4"/>
  <c r="AP206" i="4"/>
  <c r="AP207" i="4"/>
  <c r="AP208" i="4"/>
  <c r="AP209" i="4"/>
  <c r="AP210" i="4"/>
  <c r="AP211" i="4"/>
  <c r="AM85" i="4"/>
  <c r="AO85" i="4"/>
  <c r="AM84" i="4"/>
  <c r="AP84" i="4" s="1"/>
  <c r="AM83" i="4"/>
  <c r="AP83" i="4" s="1"/>
  <c r="AO82" i="4"/>
  <c r="AM82" i="4"/>
  <c r="AM62" i="4"/>
  <c r="AO62" i="4"/>
  <c r="AM63" i="4"/>
  <c r="AO63" i="4"/>
  <c r="AM61" i="4"/>
  <c r="AO61" i="4"/>
  <c r="AM64" i="4"/>
  <c r="AO64" i="4"/>
  <c r="AM59" i="4"/>
  <c r="AO59" i="4"/>
  <c r="AM58" i="4"/>
  <c r="AO58" i="4"/>
  <c r="AM57" i="4"/>
  <c r="AO57" i="4"/>
  <c r="AM68" i="4"/>
  <c r="AO68" i="4"/>
  <c r="AM66" i="4"/>
  <c r="AO66" i="4"/>
  <c r="AM81" i="4"/>
  <c r="AO81" i="4"/>
  <c r="AO80" i="4"/>
  <c r="AM80" i="4"/>
  <c r="AM79" i="4"/>
  <c r="AO79" i="4"/>
  <c r="AM78" i="4"/>
  <c r="AO78" i="4"/>
  <c r="AO77" i="4"/>
  <c r="AM77" i="4"/>
  <c r="AO76" i="4"/>
  <c r="AM76" i="4"/>
  <c r="AO75" i="4"/>
  <c r="AM75" i="4"/>
  <c r="AO74" i="4"/>
  <c r="AM74" i="4"/>
  <c r="AM73" i="4"/>
  <c r="AO73" i="4"/>
  <c r="AO72" i="4"/>
  <c r="AM72" i="4"/>
  <c r="AO71" i="4"/>
  <c r="AM71" i="4"/>
  <c r="AO70" i="4"/>
  <c r="AM70" i="4"/>
  <c r="AO69" i="4"/>
  <c r="AM69" i="4"/>
  <c r="AO67" i="4"/>
  <c r="AM67" i="4"/>
  <c r="AO65" i="4"/>
  <c r="AM65" i="4"/>
  <c r="AM60" i="4"/>
  <c r="AO56" i="4"/>
  <c r="AM56" i="4"/>
  <c r="AO55" i="4"/>
  <c r="AM55" i="4"/>
  <c r="AU63" i="31"/>
  <c r="AT63" i="31"/>
  <c r="C65" i="31"/>
  <c r="AT64" i="31"/>
  <c r="C66" i="31"/>
  <c r="AU64" i="31"/>
  <c r="AO54" i="4"/>
  <c r="AM54" i="4"/>
  <c r="AO53" i="4"/>
  <c r="AM53" i="4"/>
  <c r="AP53" i="4" s="1"/>
  <c r="AM52" i="4"/>
  <c r="AO52" i="4"/>
  <c r="AO51" i="4"/>
  <c r="AP51" i="4" s="1"/>
  <c r="AM50" i="4"/>
  <c r="AP50" i="4" s="1"/>
  <c r="AM47" i="4"/>
  <c r="AO47" i="4"/>
  <c r="AM46" i="4"/>
  <c r="AO46" i="4"/>
  <c r="AM45" i="4"/>
  <c r="AO45" i="4"/>
  <c r="AM44" i="4"/>
  <c r="AO44" i="4"/>
  <c r="AM49" i="4"/>
  <c r="AO49" i="4"/>
  <c r="AM48" i="4"/>
  <c r="AO48" i="4"/>
  <c r="AO43" i="4"/>
  <c r="AL42" i="4"/>
  <c r="AM43" i="4"/>
  <c r="CG15" i="7"/>
  <c r="CF15" i="7"/>
  <c r="CE15" i="7"/>
  <c r="CD15" i="7"/>
  <c r="CC15" i="7"/>
  <c r="CA15" i="7"/>
  <c r="BZ15" i="7"/>
  <c r="BY15" i="7"/>
  <c r="BW15" i="7"/>
  <c r="BV15" i="7"/>
  <c r="BU15" i="7"/>
  <c r="BT15" i="7"/>
  <c r="BS15" i="7"/>
  <c r="BR15" i="7"/>
  <c r="BQ15" i="7"/>
  <c r="CJ7" i="7"/>
  <c r="CI7" i="7"/>
  <c r="CH7" i="7"/>
  <c r="CF7" i="7"/>
  <c r="CE7" i="7"/>
  <c r="CD7" i="7"/>
  <c r="CC7" i="7"/>
  <c r="CB7" i="7"/>
  <c r="CA7" i="7"/>
  <c r="BZ7" i="7"/>
  <c r="BX7" i="7"/>
  <c r="BW7" i="7"/>
  <c r="BV7" i="7"/>
  <c r="BU7" i="7"/>
  <c r="BT7" i="7"/>
  <c r="BS7" i="7"/>
  <c r="BR7" i="7"/>
  <c r="BQ7" i="7"/>
  <c r="BP7" i="7"/>
  <c r="BO7" i="7"/>
  <c r="AS7" i="4"/>
  <c r="AS6" i="4"/>
  <c r="AN50" i="11"/>
  <c r="S41" i="4"/>
  <c r="U41" i="4" s="1"/>
  <c r="R41" i="4"/>
  <c r="K41" i="4"/>
  <c r="S40" i="4"/>
  <c r="U40" i="4" s="1"/>
  <c r="R40" i="4"/>
  <c r="K40" i="4"/>
  <c r="S38" i="4"/>
  <c r="U38" i="4" s="1"/>
  <c r="S39" i="4"/>
  <c r="U39" i="4" s="1"/>
  <c r="K39" i="4"/>
  <c r="R38" i="4"/>
  <c r="AS38" i="4" s="1"/>
  <c r="R39" i="4"/>
  <c r="AS39" i="4" s="1"/>
  <c r="K38" i="4"/>
  <c r="R37" i="4"/>
  <c r="S37" i="4"/>
  <c r="U37" i="4" s="1"/>
  <c r="K37" i="4"/>
  <c r="R36" i="4"/>
  <c r="S36" i="4"/>
  <c r="U36" i="4" s="1"/>
  <c r="K36" i="4"/>
  <c r="S8" i="4"/>
  <c r="R8" i="4"/>
  <c r="K7" i="4"/>
  <c r="U6" i="4"/>
  <c r="U7" i="4"/>
  <c r="R35" i="4"/>
  <c r="S35" i="4"/>
  <c r="U35" i="4" s="1"/>
  <c r="K35" i="4"/>
  <c r="R34" i="4"/>
  <c r="S34" i="4"/>
  <c r="U34" i="4" s="1"/>
  <c r="K34" i="4"/>
  <c r="AL34" i="4" s="1"/>
  <c r="S33" i="4"/>
  <c r="U33" i="4" s="1"/>
  <c r="R33" i="4"/>
  <c r="K33" i="4"/>
  <c r="L32" i="4"/>
  <c r="M32" i="4"/>
  <c r="K32" i="4"/>
  <c r="R30" i="4"/>
  <c r="R31" i="4"/>
  <c r="S31" i="4"/>
  <c r="U31" i="4" s="1"/>
  <c r="K31" i="4"/>
  <c r="K30" i="4"/>
  <c r="K29" i="4"/>
  <c r="K28" i="4"/>
  <c r="K27" i="4"/>
  <c r="AR64" i="2"/>
  <c r="S26" i="4"/>
  <c r="U26" i="4" s="1"/>
  <c r="S27" i="4"/>
  <c r="S28" i="4"/>
  <c r="U28" i="4" s="1"/>
  <c r="S29" i="4"/>
  <c r="U29" i="4" s="1"/>
  <c r="S30" i="4"/>
  <c r="U30" i="4" s="1"/>
  <c r="R25" i="4"/>
  <c r="R26" i="4"/>
  <c r="R27" i="4"/>
  <c r="R28" i="4"/>
  <c r="R29" i="4"/>
  <c r="K26" i="4"/>
  <c r="AP43" i="4" l="1"/>
  <c r="AP71" i="4"/>
  <c r="AP75" i="4"/>
  <c r="AP62" i="4"/>
  <c r="AP52" i="4"/>
  <c r="AP68" i="4"/>
  <c r="AP63" i="4"/>
  <c r="AP72" i="4"/>
  <c r="AP82" i="4"/>
  <c r="AP46" i="4"/>
  <c r="AP85" i="4"/>
  <c r="AP76" i="4"/>
  <c r="AS47" i="4"/>
  <c r="AP47" i="4"/>
  <c r="AS81" i="4"/>
  <c r="AP81" i="4"/>
  <c r="AS55" i="4"/>
  <c r="AP55" i="4"/>
  <c r="AS61" i="4"/>
  <c r="AP61" i="4"/>
  <c r="AS54" i="4"/>
  <c r="AP54" i="4"/>
  <c r="AS60" i="4"/>
  <c r="AP60" i="4"/>
  <c r="AS78" i="4"/>
  <c r="AP78" i="4"/>
  <c r="AS57" i="4"/>
  <c r="AP57" i="4"/>
  <c r="AS48" i="4"/>
  <c r="AP48" i="4"/>
  <c r="AS65" i="4"/>
  <c r="AP65" i="4"/>
  <c r="AS73" i="4"/>
  <c r="AP73" i="4"/>
  <c r="AS79" i="4"/>
  <c r="AP79" i="4"/>
  <c r="AS58" i="4"/>
  <c r="AP58" i="4"/>
  <c r="AS69" i="4"/>
  <c r="AP69" i="4"/>
  <c r="AS70" i="4"/>
  <c r="AP70" i="4"/>
  <c r="AS44" i="4"/>
  <c r="AP44" i="4"/>
  <c r="AS64" i="4"/>
  <c r="AP64" i="4"/>
  <c r="AS66" i="4"/>
  <c r="AP66" i="4"/>
  <c r="AS49" i="4"/>
  <c r="AP49" i="4"/>
  <c r="AP77" i="4"/>
  <c r="AS56" i="4"/>
  <c r="AP56" i="4"/>
  <c r="AS45" i="4"/>
  <c r="AP45" i="4"/>
  <c r="AS67" i="4"/>
  <c r="AP67" i="4"/>
  <c r="AS74" i="4"/>
  <c r="AP74" i="4"/>
  <c r="AS80" i="4"/>
  <c r="AP80" i="4"/>
  <c r="AS59" i="4"/>
  <c r="AP59" i="4"/>
  <c r="AS83" i="4"/>
  <c r="AS82" i="4"/>
  <c r="AS62" i="4"/>
  <c r="AS63" i="4"/>
  <c r="AS68" i="4"/>
  <c r="AS77" i="4"/>
  <c r="AS76" i="4"/>
  <c r="AS75" i="4"/>
  <c r="AS71" i="4"/>
  <c r="AS72" i="4"/>
  <c r="C68" i="31"/>
  <c r="AU66" i="31"/>
  <c r="AT66" i="31"/>
  <c r="C67" i="31"/>
  <c r="AU65" i="31"/>
  <c r="AT65" i="31"/>
  <c r="AS53" i="4"/>
  <c r="AS52" i="4"/>
  <c r="AS46" i="4"/>
  <c r="AS51" i="4"/>
  <c r="AS50" i="4"/>
  <c r="AO26" i="4"/>
  <c r="AO40" i="4"/>
  <c r="AO28" i="4"/>
  <c r="AO7" i="4"/>
  <c r="AO29" i="4"/>
  <c r="AO39" i="4"/>
  <c r="AM6" i="4"/>
  <c r="AO6" i="4"/>
  <c r="AO37" i="4"/>
  <c r="AO41" i="4"/>
  <c r="AO38" i="4"/>
  <c r="AO33" i="4"/>
  <c r="AO34" i="4"/>
  <c r="AO36" i="4"/>
  <c r="AM42" i="4"/>
  <c r="AO42" i="4"/>
  <c r="AO31" i="4"/>
  <c r="AM38" i="4"/>
  <c r="AM39" i="4"/>
  <c r="AL32" i="4"/>
  <c r="AM33" i="4"/>
  <c r="AL30" i="4"/>
  <c r="AM31" i="4"/>
  <c r="AM37" i="4"/>
  <c r="AM41" i="4"/>
  <c r="AL35" i="4"/>
  <c r="AM28" i="4"/>
  <c r="AS28" i="4" s="1"/>
  <c r="AM36" i="4"/>
  <c r="AM40" i="4"/>
  <c r="AM7" i="4"/>
  <c r="AM26" i="4"/>
  <c r="AM29" i="4"/>
  <c r="AM34" i="4"/>
  <c r="CK18" i="7"/>
  <c r="CK10" i="7"/>
  <c r="CD18" i="7"/>
  <c r="AS43" i="4"/>
  <c r="R32" i="4"/>
  <c r="S32" i="4"/>
  <c r="U32" i="4" s="1"/>
  <c r="U27" i="4"/>
  <c r="AR62" i="2"/>
  <c r="AR61" i="2"/>
  <c r="K62" i="2"/>
  <c r="K63" i="2"/>
  <c r="K61" i="2"/>
  <c r="AR60" i="2"/>
  <c r="AR59" i="2"/>
  <c r="AR19" i="11"/>
  <c r="AR17" i="11"/>
  <c r="AR16" i="11"/>
  <c r="S25" i="4"/>
  <c r="U25" i="4" s="1"/>
  <c r="K25" i="4"/>
  <c r="R24" i="4"/>
  <c r="AS24" i="4" s="1"/>
  <c r="S24" i="4"/>
  <c r="U24" i="4" s="1"/>
  <c r="K24" i="4"/>
  <c r="AP41" i="4" l="1"/>
  <c r="AP29" i="4"/>
  <c r="AP38" i="4"/>
  <c r="AP34" i="4"/>
  <c r="AP33" i="4"/>
  <c r="AP26" i="4"/>
  <c r="AP40" i="4"/>
  <c r="AP36" i="4"/>
  <c r="AP37" i="4"/>
  <c r="AP28" i="4"/>
  <c r="AP31" i="4"/>
  <c r="AP39" i="4"/>
  <c r="AS42" i="4"/>
  <c r="AP42" i="4"/>
  <c r="C69" i="31"/>
  <c r="AU67" i="31"/>
  <c r="AT67" i="31"/>
  <c r="C70" i="31"/>
  <c r="AU68" i="31"/>
  <c r="AT68" i="31"/>
  <c r="AM24" i="4"/>
  <c r="AP7" i="4"/>
  <c r="AQ6" i="4"/>
  <c r="AO25" i="4"/>
  <c r="AM32" i="4"/>
  <c r="AM30" i="4"/>
  <c r="AO30" i="4"/>
  <c r="AO24" i="4"/>
  <c r="AO32" i="4"/>
  <c r="AM27" i="4"/>
  <c r="AO27" i="4"/>
  <c r="AM35" i="4"/>
  <c r="AO35" i="4"/>
  <c r="AP6" i="4"/>
  <c r="AS31" i="4"/>
  <c r="AS34" i="4"/>
  <c r="AS37" i="4"/>
  <c r="AQ7" i="4"/>
  <c r="AR7" i="4" s="1"/>
  <c r="AS40" i="4"/>
  <c r="AS41" i="4"/>
  <c r="AS33" i="4"/>
  <c r="AS36" i="4"/>
  <c r="AM25" i="4"/>
  <c r="AS29" i="4"/>
  <c r="R23" i="4"/>
  <c r="AS23" i="4" s="1"/>
  <c r="S23" i="4"/>
  <c r="U23" i="4" s="1"/>
  <c r="K23" i="4"/>
  <c r="K22" i="4"/>
  <c r="AR6" i="4" l="1"/>
  <c r="AP25" i="4"/>
  <c r="AP35" i="4"/>
  <c r="AP27" i="4"/>
  <c r="AP24" i="4"/>
  <c r="AS30" i="4"/>
  <c r="AP30" i="4"/>
  <c r="AS32" i="4"/>
  <c r="AP32" i="4"/>
  <c r="C72" i="31"/>
  <c r="AU70" i="31"/>
  <c r="AT70" i="31"/>
  <c r="AU69" i="31"/>
  <c r="C71" i="31"/>
  <c r="AT69" i="31"/>
  <c r="AO23" i="4"/>
  <c r="AS35" i="4"/>
  <c r="AM23" i="4"/>
  <c r="K21" i="4"/>
  <c r="S14" i="4"/>
  <c r="U14" i="4" s="1"/>
  <c r="AP40" i="2"/>
  <c r="AP8" i="11"/>
  <c r="AR12" i="11"/>
  <c r="R21" i="4"/>
  <c r="AP23" i="4" l="1"/>
  <c r="AT72" i="31"/>
  <c r="C74" i="31"/>
  <c r="AU72" i="31"/>
  <c r="AT71" i="31"/>
  <c r="C73" i="31"/>
  <c r="AU71" i="31"/>
  <c r="S16" i="4"/>
  <c r="U16" i="4" s="1"/>
  <c r="S17" i="4"/>
  <c r="U17" i="4" s="1"/>
  <c r="S18" i="4"/>
  <c r="U18" i="4" s="1"/>
  <c r="S19" i="4"/>
  <c r="U19" i="4" s="1"/>
  <c r="S20" i="4"/>
  <c r="U20" i="4" s="1"/>
  <c r="S21" i="4"/>
  <c r="U21" i="4" s="1"/>
  <c r="S22" i="4"/>
  <c r="AS25" i="4"/>
  <c r="AS26" i="4"/>
  <c r="AS27" i="4"/>
  <c r="K20" i="4"/>
  <c r="R19" i="4"/>
  <c r="R20" i="4"/>
  <c r="R22" i="4"/>
  <c r="AS22" i="4" s="1"/>
  <c r="K19" i="4"/>
  <c r="S13" i="4"/>
  <c r="U13" i="4" s="1"/>
  <c r="R18" i="4"/>
  <c r="K18" i="4"/>
  <c r="R17" i="4"/>
  <c r="K17" i="4"/>
  <c r="R16" i="4"/>
  <c r="K16" i="4"/>
  <c r="S15" i="4"/>
  <c r="U15" i="4" s="1"/>
  <c r="R15" i="4"/>
  <c r="K15" i="4"/>
  <c r="R14" i="4"/>
  <c r="K14" i="4"/>
  <c r="AM14" i="4" s="1"/>
  <c r="R13" i="4"/>
  <c r="K13" i="4"/>
  <c r="AP39" i="2"/>
  <c r="AP41" i="2"/>
  <c r="AP42" i="2"/>
  <c r="AP43" i="2"/>
  <c r="AP44" i="2"/>
  <c r="AP45" i="2"/>
  <c r="AP46" i="2"/>
  <c r="AP47" i="2"/>
  <c r="AP48" i="2"/>
  <c r="AP49" i="2"/>
  <c r="V33" i="2"/>
  <c r="V34" i="2"/>
  <c r="V35" i="2"/>
  <c r="V36" i="2"/>
  <c r="V37" i="2"/>
  <c r="V38" i="2"/>
  <c r="V39" i="2"/>
  <c r="V40" i="2"/>
  <c r="V41" i="2"/>
  <c r="V42" i="2"/>
  <c r="V43" i="2"/>
  <c r="V44" i="2"/>
  <c r="V45" i="2"/>
  <c r="V46" i="2"/>
  <c r="V47" i="2"/>
  <c r="V48" i="2"/>
  <c r="V49" i="2"/>
  <c r="S40" i="2"/>
  <c r="S41" i="2"/>
  <c r="S42" i="2"/>
  <c r="S43" i="2"/>
  <c r="S44" i="2"/>
  <c r="S45" i="2"/>
  <c r="S46" i="2"/>
  <c r="S47" i="2"/>
  <c r="S48" i="2"/>
  <c r="S49" i="2"/>
  <c r="P41" i="2"/>
  <c r="P42" i="2"/>
  <c r="P43" i="2"/>
  <c r="P44" i="2"/>
  <c r="P45" i="2"/>
  <c r="P46" i="2"/>
  <c r="P47" i="2"/>
  <c r="P48" i="2"/>
  <c r="P49" i="2"/>
  <c r="M42" i="2"/>
  <c r="M43" i="2"/>
  <c r="M44" i="2"/>
  <c r="M45" i="2"/>
  <c r="M46" i="2"/>
  <c r="M47" i="2"/>
  <c r="M48" i="2"/>
  <c r="M49" i="2"/>
  <c r="J40" i="2"/>
  <c r="J41" i="2"/>
  <c r="J42" i="2"/>
  <c r="J43" i="2"/>
  <c r="J44" i="2"/>
  <c r="J45" i="2"/>
  <c r="J46" i="2"/>
  <c r="J47" i="2"/>
  <c r="J48" i="2"/>
  <c r="J49" i="2"/>
  <c r="EV26" i="7"/>
  <c r="EO26" i="7"/>
  <c r="CY26" i="7"/>
  <c r="DF26" i="7"/>
  <c r="DM26" i="7"/>
  <c r="DT26" i="7"/>
  <c r="EA26" i="7"/>
  <c r="EH26" i="7"/>
  <c r="X242" i="11"/>
  <c r="Y242" i="11" s="1"/>
  <c r="AU242" i="11" s="1"/>
  <c r="AV242" i="11" s="1"/>
  <c r="AU241" i="11"/>
  <c r="AV241" i="11" s="1"/>
  <c r="X241" i="11"/>
  <c r="AU240" i="11"/>
  <c r="AV240" i="11" s="1"/>
  <c r="X240" i="11"/>
  <c r="AU239" i="11"/>
  <c r="AV239" i="11" s="1"/>
  <c r="X239" i="11"/>
  <c r="AU238" i="11"/>
  <c r="AV238" i="11" s="1"/>
  <c r="X238" i="11"/>
  <c r="AU237" i="11"/>
  <c r="AV237" i="11" s="1"/>
  <c r="X237" i="11"/>
  <c r="AU236" i="11"/>
  <c r="AV236" i="11" s="1"/>
  <c r="X236" i="11"/>
  <c r="AU235" i="11"/>
  <c r="AV235" i="11" s="1"/>
  <c r="X235" i="11"/>
  <c r="AU234" i="11"/>
  <c r="AV234" i="11" s="1"/>
  <c r="X234" i="11"/>
  <c r="AU233" i="11"/>
  <c r="AV233" i="11" s="1"/>
  <c r="X233" i="11"/>
  <c r="AU232" i="11"/>
  <c r="AV232" i="11" s="1"/>
  <c r="X232" i="11"/>
  <c r="AU231" i="11"/>
  <c r="AV231" i="11" s="1"/>
  <c r="X231" i="11"/>
  <c r="AU230" i="11"/>
  <c r="AV230" i="11" s="1"/>
  <c r="X230" i="11"/>
  <c r="AU229" i="11"/>
  <c r="AV229" i="11" s="1"/>
  <c r="X229" i="11"/>
  <c r="AU228" i="11"/>
  <c r="AV228" i="11" s="1"/>
  <c r="X228" i="11"/>
  <c r="AU227" i="11"/>
  <c r="AV227" i="11" s="1"/>
  <c r="X227" i="11"/>
  <c r="AU226" i="11"/>
  <c r="AV226" i="11" s="1"/>
  <c r="X226" i="11"/>
  <c r="AU225" i="11"/>
  <c r="AV225" i="11" s="1"/>
  <c r="X225" i="11"/>
  <c r="AU224" i="11"/>
  <c r="AV224" i="11" s="1"/>
  <c r="X224" i="11"/>
  <c r="AU223" i="11"/>
  <c r="AV223" i="11" s="1"/>
  <c r="X223" i="11"/>
  <c r="AU222" i="11"/>
  <c r="AV222" i="11" s="1"/>
  <c r="X222" i="11"/>
  <c r="AU221" i="11"/>
  <c r="AV221" i="11" s="1"/>
  <c r="X221" i="11"/>
  <c r="AU220" i="11"/>
  <c r="AV220" i="11" s="1"/>
  <c r="X220" i="11"/>
  <c r="AU219" i="11"/>
  <c r="AV219" i="11" s="1"/>
  <c r="X219" i="11"/>
  <c r="AU218" i="11"/>
  <c r="AV218" i="11" s="1"/>
  <c r="X218" i="11"/>
  <c r="AU217" i="11"/>
  <c r="AV217" i="11" s="1"/>
  <c r="X217" i="11"/>
  <c r="AU216" i="11"/>
  <c r="AV216" i="11" s="1"/>
  <c r="X216" i="11"/>
  <c r="AU215" i="11"/>
  <c r="AV215" i="11" s="1"/>
  <c r="X215" i="11"/>
  <c r="AU214" i="11"/>
  <c r="AV214" i="11" s="1"/>
  <c r="X214" i="11"/>
  <c r="AU213" i="11"/>
  <c r="AV213" i="11" s="1"/>
  <c r="X213" i="11"/>
  <c r="AU212" i="11"/>
  <c r="AV212" i="11" s="1"/>
  <c r="X212" i="11"/>
  <c r="AU211" i="11"/>
  <c r="AV211" i="11" s="1"/>
  <c r="X211" i="11"/>
  <c r="AU210" i="11"/>
  <c r="AV210" i="11" s="1"/>
  <c r="X210" i="11"/>
  <c r="AU209" i="11"/>
  <c r="AV209" i="11" s="1"/>
  <c r="X209" i="11"/>
  <c r="AU208" i="11"/>
  <c r="AV208" i="11" s="1"/>
  <c r="X208" i="11"/>
  <c r="AU207" i="11"/>
  <c r="AV207" i="11" s="1"/>
  <c r="X207" i="11"/>
  <c r="AU206" i="11"/>
  <c r="AV206" i="11" s="1"/>
  <c r="X206" i="11"/>
  <c r="AU205" i="11"/>
  <c r="AV205" i="11" s="1"/>
  <c r="X205" i="11"/>
  <c r="AU204" i="11"/>
  <c r="AV204" i="11" s="1"/>
  <c r="X204" i="11"/>
  <c r="AU203" i="11"/>
  <c r="AV203" i="11" s="1"/>
  <c r="X203" i="11"/>
  <c r="AU202" i="11"/>
  <c r="AV202" i="11" s="1"/>
  <c r="X202" i="11"/>
  <c r="AU201" i="11"/>
  <c r="AV201" i="11" s="1"/>
  <c r="X201" i="11"/>
  <c r="AU200" i="11"/>
  <c r="AV200" i="11" s="1"/>
  <c r="X200" i="11"/>
  <c r="AU199" i="11"/>
  <c r="AV199" i="11" s="1"/>
  <c r="X199" i="11"/>
  <c r="AU198" i="11"/>
  <c r="AV198" i="11" s="1"/>
  <c r="X198" i="11"/>
  <c r="AU197" i="11"/>
  <c r="AV197" i="11" s="1"/>
  <c r="X197" i="11"/>
  <c r="AU196" i="11"/>
  <c r="AV196" i="11" s="1"/>
  <c r="X196" i="11"/>
  <c r="AU195" i="11"/>
  <c r="AV195" i="11" s="1"/>
  <c r="X195" i="11"/>
  <c r="AU194" i="11"/>
  <c r="AV194" i="11" s="1"/>
  <c r="X194" i="11"/>
  <c r="AU193" i="11"/>
  <c r="AV193" i="11" s="1"/>
  <c r="X193" i="11"/>
  <c r="AU192" i="11"/>
  <c r="AV192" i="11" s="1"/>
  <c r="X192" i="11"/>
  <c r="AU191" i="11"/>
  <c r="AV191" i="11" s="1"/>
  <c r="X191" i="11"/>
  <c r="BF190" i="11"/>
  <c r="AP190" i="11"/>
  <c r="AN190" i="11"/>
  <c r="V190" i="11"/>
  <c r="S190" i="11"/>
  <c r="P190" i="11"/>
  <c r="J190" i="11"/>
  <c r="AS190" i="11" s="1"/>
  <c r="BF189" i="11"/>
  <c r="AP189" i="11"/>
  <c r="AN189" i="11"/>
  <c r="V189" i="11"/>
  <c r="S189" i="11"/>
  <c r="P189" i="11"/>
  <c r="J189" i="11"/>
  <c r="BF188" i="11"/>
  <c r="AP188" i="11"/>
  <c r="AN188" i="11"/>
  <c r="V188" i="11"/>
  <c r="S188" i="11"/>
  <c r="P188" i="11"/>
  <c r="J188" i="11"/>
  <c r="BF187" i="11"/>
  <c r="AP187" i="11"/>
  <c r="AN187" i="11"/>
  <c r="V187" i="11"/>
  <c r="S187" i="11"/>
  <c r="P187" i="11"/>
  <c r="J187" i="11"/>
  <c r="BF186" i="11"/>
  <c r="AP186" i="11"/>
  <c r="AN186" i="11"/>
  <c r="V186" i="11"/>
  <c r="S186" i="11"/>
  <c r="P186" i="11"/>
  <c r="J186" i="11"/>
  <c r="AS186" i="11" s="1"/>
  <c r="BF185" i="11"/>
  <c r="AP185" i="11"/>
  <c r="AN185" i="11"/>
  <c r="V185" i="11"/>
  <c r="S185" i="11"/>
  <c r="P185" i="11"/>
  <c r="J185" i="11"/>
  <c r="BF184" i="11"/>
  <c r="AP184" i="11"/>
  <c r="AN184" i="11"/>
  <c r="V184" i="11"/>
  <c r="S184" i="11"/>
  <c r="P184" i="11"/>
  <c r="J184" i="11"/>
  <c r="AS184" i="11" s="1"/>
  <c r="BF183" i="11"/>
  <c r="AP183" i="11"/>
  <c r="AN183" i="11"/>
  <c r="V183" i="11"/>
  <c r="S183" i="11"/>
  <c r="P183" i="11"/>
  <c r="J183" i="11"/>
  <c r="BF182" i="11"/>
  <c r="AP182" i="11"/>
  <c r="AN182" i="11"/>
  <c r="V182" i="11"/>
  <c r="S182" i="11"/>
  <c r="P182" i="11"/>
  <c r="J182" i="11"/>
  <c r="BF181" i="11"/>
  <c r="AP181" i="11"/>
  <c r="AN181" i="11"/>
  <c r="V181" i="11"/>
  <c r="S181" i="11"/>
  <c r="P181" i="11"/>
  <c r="J181" i="11"/>
  <c r="BF180" i="11"/>
  <c r="AP180" i="11"/>
  <c r="AN180" i="11"/>
  <c r="V180" i="11"/>
  <c r="S180" i="11"/>
  <c r="P180" i="11"/>
  <c r="J180" i="11"/>
  <c r="AS180" i="11" s="1"/>
  <c r="BF179" i="11"/>
  <c r="AP179" i="11"/>
  <c r="AN179" i="11"/>
  <c r="V179" i="11"/>
  <c r="S179" i="11"/>
  <c r="P179" i="11"/>
  <c r="J179" i="11"/>
  <c r="BF178" i="11"/>
  <c r="AP178" i="11"/>
  <c r="AN178" i="11"/>
  <c r="V178" i="11"/>
  <c r="S178" i="11"/>
  <c r="P178" i="11"/>
  <c r="J178" i="11"/>
  <c r="AS178" i="11" s="1"/>
  <c r="BF177" i="11"/>
  <c r="AP177" i="11"/>
  <c r="AN177" i="11"/>
  <c r="V177" i="11"/>
  <c r="S177" i="11"/>
  <c r="P177" i="11"/>
  <c r="J177" i="11"/>
  <c r="BF176" i="11"/>
  <c r="AP176" i="11"/>
  <c r="AN176" i="11"/>
  <c r="V176" i="11"/>
  <c r="S176" i="11"/>
  <c r="P176" i="11"/>
  <c r="J176" i="11"/>
  <c r="BF175" i="11"/>
  <c r="AP175" i="11"/>
  <c r="AN175" i="11"/>
  <c r="V175" i="11"/>
  <c r="S175" i="11"/>
  <c r="P175" i="11"/>
  <c r="J175" i="11"/>
  <c r="BF174" i="11"/>
  <c r="AP174" i="11"/>
  <c r="AN174" i="11"/>
  <c r="V174" i="11"/>
  <c r="S174" i="11"/>
  <c r="P174" i="11"/>
  <c r="J174" i="11"/>
  <c r="AS174" i="11" s="1"/>
  <c r="BF173" i="11"/>
  <c r="AP173" i="11"/>
  <c r="AN173" i="11"/>
  <c r="V173" i="11"/>
  <c r="S173" i="11"/>
  <c r="P173" i="11"/>
  <c r="J173" i="11"/>
  <c r="BF172" i="11"/>
  <c r="AP172" i="11"/>
  <c r="AN172" i="11"/>
  <c r="V172" i="11"/>
  <c r="S172" i="11"/>
  <c r="P172" i="11"/>
  <c r="J172" i="11"/>
  <c r="AS172" i="11" s="1"/>
  <c r="BF171" i="11"/>
  <c r="AP171" i="11"/>
  <c r="AN171" i="11"/>
  <c r="V171" i="11"/>
  <c r="S171" i="11"/>
  <c r="P171" i="11"/>
  <c r="J171" i="11"/>
  <c r="BF170" i="11"/>
  <c r="AP170" i="11"/>
  <c r="AN170" i="11"/>
  <c r="V170" i="11"/>
  <c r="S170" i="11"/>
  <c r="P170" i="11"/>
  <c r="J170" i="11"/>
  <c r="BF169" i="11"/>
  <c r="AP169" i="11"/>
  <c r="AN169" i="11"/>
  <c r="V169" i="11"/>
  <c r="S169" i="11"/>
  <c r="P169" i="11"/>
  <c r="J169" i="11"/>
  <c r="BF168" i="11"/>
  <c r="AP168" i="11"/>
  <c r="AN168" i="11"/>
  <c r="V168" i="11"/>
  <c r="S168" i="11"/>
  <c r="P168" i="11"/>
  <c r="J168" i="11"/>
  <c r="AS168" i="11" s="1"/>
  <c r="BF167" i="11"/>
  <c r="AP167" i="11"/>
  <c r="AN167" i="11"/>
  <c r="V167" i="11"/>
  <c r="S167" i="11"/>
  <c r="P167" i="11"/>
  <c r="J167" i="11"/>
  <c r="BF166" i="11"/>
  <c r="AP166" i="11"/>
  <c r="AN166" i="11"/>
  <c r="V166" i="11"/>
  <c r="S166" i="11"/>
  <c r="P166" i="11"/>
  <c r="J166" i="11"/>
  <c r="AS166" i="11" s="1"/>
  <c r="BF165" i="11"/>
  <c r="AP165" i="11"/>
  <c r="AN165" i="11"/>
  <c r="V165" i="11"/>
  <c r="S165" i="11"/>
  <c r="P165" i="11"/>
  <c r="J165" i="11"/>
  <c r="BF164" i="11"/>
  <c r="AP164" i="11"/>
  <c r="AN164" i="11"/>
  <c r="V164" i="11"/>
  <c r="S164" i="11"/>
  <c r="P164" i="11"/>
  <c r="J164" i="11"/>
  <c r="BF163" i="11"/>
  <c r="AP163" i="11"/>
  <c r="AN163" i="11"/>
  <c r="V163" i="11"/>
  <c r="S163" i="11"/>
  <c r="P163" i="11"/>
  <c r="J163" i="11"/>
  <c r="BF162" i="11"/>
  <c r="AP162" i="11"/>
  <c r="AN162" i="11"/>
  <c r="V162" i="11"/>
  <c r="S162" i="11"/>
  <c r="P162" i="11"/>
  <c r="J162" i="11"/>
  <c r="AS162" i="11" s="1"/>
  <c r="BF161" i="11"/>
  <c r="AP161" i="11"/>
  <c r="AN161" i="11"/>
  <c r="V161" i="11"/>
  <c r="S161" i="11"/>
  <c r="P161" i="11"/>
  <c r="J161" i="11"/>
  <c r="BF160" i="11"/>
  <c r="AP160" i="11"/>
  <c r="AN160" i="11"/>
  <c r="V160" i="11"/>
  <c r="S160" i="11"/>
  <c r="P160" i="11"/>
  <c r="J160" i="11"/>
  <c r="AS160" i="11" s="1"/>
  <c r="BF159" i="11"/>
  <c r="AP159" i="11"/>
  <c r="AN159" i="11"/>
  <c r="V159" i="11"/>
  <c r="S159" i="11"/>
  <c r="P159" i="11"/>
  <c r="J159" i="11"/>
  <c r="BF158" i="11"/>
  <c r="AP158" i="11"/>
  <c r="AN158" i="11"/>
  <c r="V158" i="11"/>
  <c r="S158" i="11"/>
  <c r="P158" i="11"/>
  <c r="J158" i="11"/>
  <c r="BF157" i="11"/>
  <c r="AP157" i="11"/>
  <c r="AN157" i="11"/>
  <c r="V157" i="11"/>
  <c r="S157" i="11"/>
  <c r="P157" i="11"/>
  <c r="J157" i="11"/>
  <c r="BF156" i="11"/>
  <c r="AP156" i="11"/>
  <c r="AN156" i="11"/>
  <c r="V156" i="11"/>
  <c r="S156" i="11"/>
  <c r="P156" i="11"/>
  <c r="J156" i="11"/>
  <c r="AS156" i="11" s="1"/>
  <c r="BF155" i="11"/>
  <c r="AP155" i="11"/>
  <c r="AN155" i="11"/>
  <c r="V155" i="11"/>
  <c r="S155" i="11"/>
  <c r="P155" i="11"/>
  <c r="J155" i="11"/>
  <c r="BF154" i="11"/>
  <c r="AP154" i="11"/>
  <c r="AN154" i="11"/>
  <c r="V154" i="11"/>
  <c r="S154" i="11"/>
  <c r="P154" i="11"/>
  <c r="J154" i="11"/>
  <c r="AS154" i="11" s="1"/>
  <c r="BF153" i="11"/>
  <c r="AP153" i="11"/>
  <c r="AN153" i="11"/>
  <c r="V153" i="11"/>
  <c r="S153" i="11"/>
  <c r="P153" i="11"/>
  <c r="J153" i="11"/>
  <c r="BF152" i="11"/>
  <c r="AP152" i="11"/>
  <c r="AN152" i="11"/>
  <c r="V152" i="11"/>
  <c r="S152" i="11"/>
  <c r="P152" i="11"/>
  <c r="J152" i="11"/>
  <c r="BF151" i="11"/>
  <c r="AP151" i="11"/>
  <c r="AN151" i="11"/>
  <c r="V151" i="11"/>
  <c r="S151" i="11"/>
  <c r="P151" i="11"/>
  <c r="J151" i="11"/>
  <c r="BF150" i="11"/>
  <c r="AP150" i="11"/>
  <c r="AN150" i="11"/>
  <c r="V150" i="11"/>
  <c r="S150" i="11"/>
  <c r="P150" i="11"/>
  <c r="J150" i="11"/>
  <c r="AS150" i="11" s="1"/>
  <c r="BF149" i="11"/>
  <c r="AP149" i="11"/>
  <c r="AN149" i="11"/>
  <c r="V149" i="11"/>
  <c r="S149" i="11"/>
  <c r="P149" i="11"/>
  <c r="J149" i="11"/>
  <c r="BF148" i="11"/>
  <c r="AP148" i="11"/>
  <c r="AN148" i="11"/>
  <c r="V148" i="11"/>
  <c r="S148" i="11"/>
  <c r="P148" i="11"/>
  <c r="J148" i="11"/>
  <c r="AS148" i="11" s="1"/>
  <c r="BF147" i="11"/>
  <c r="AP147" i="11"/>
  <c r="AN147" i="11"/>
  <c r="V147" i="11"/>
  <c r="S147" i="11"/>
  <c r="P147" i="11"/>
  <c r="J147" i="11"/>
  <c r="BF146" i="11"/>
  <c r="AP146" i="11"/>
  <c r="AN146" i="11"/>
  <c r="V146" i="11"/>
  <c r="S146" i="11"/>
  <c r="P146" i="11"/>
  <c r="J146" i="11"/>
  <c r="BF145" i="11"/>
  <c r="AP145" i="11"/>
  <c r="AN145" i="11"/>
  <c r="V145" i="11"/>
  <c r="S145" i="11"/>
  <c r="P145" i="11"/>
  <c r="J145" i="11"/>
  <c r="BF144" i="11"/>
  <c r="AP144" i="11"/>
  <c r="AN144" i="11"/>
  <c r="V144" i="11"/>
  <c r="S144" i="11"/>
  <c r="P144" i="11"/>
  <c r="J144" i="11"/>
  <c r="AS144" i="11" s="1"/>
  <c r="BF143" i="11"/>
  <c r="AP143" i="11"/>
  <c r="AN143" i="11"/>
  <c r="V143" i="11"/>
  <c r="S143" i="11"/>
  <c r="P143" i="11"/>
  <c r="J143" i="11"/>
  <c r="BF142" i="11"/>
  <c r="AP142" i="11"/>
  <c r="AN142" i="11"/>
  <c r="V142" i="11"/>
  <c r="S142" i="11"/>
  <c r="P142" i="11"/>
  <c r="J142" i="11"/>
  <c r="AS142" i="11" s="1"/>
  <c r="BF141" i="11"/>
  <c r="AP141" i="11"/>
  <c r="AN141" i="11"/>
  <c r="V141" i="11"/>
  <c r="S141" i="11"/>
  <c r="P141" i="11"/>
  <c r="J141" i="11"/>
  <c r="BF140" i="11"/>
  <c r="AP140" i="11"/>
  <c r="AN140" i="11"/>
  <c r="V140" i="11"/>
  <c r="S140" i="11"/>
  <c r="P140" i="11"/>
  <c r="J140" i="11"/>
  <c r="BF139" i="11"/>
  <c r="AP139" i="11"/>
  <c r="AN139" i="11"/>
  <c r="V139" i="11"/>
  <c r="S139" i="11"/>
  <c r="P139" i="11"/>
  <c r="J139" i="11"/>
  <c r="BF138" i="11"/>
  <c r="AP138" i="11"/>
  <c r="AN138" i="11"/>
  <c r="V138" i="11"/>
  <c r="S138" i="11"/>
  <c r="P138" i="11"/>
  <c r="J138" i="11"/>
  <c r="AS138" i="11" s="1"/>
  <c r="BF137" i="11"/>
  <c r="AP137" i="11"/>
  <c r="AN137" i="11"/>
  <c r="V137" i="11"/>
  <c r="S137" i="11"/>
  <c r="P137" i="11"/>
  <c r="J137" i="11"/>
  <c r="BF136" i="11"/>
  <c r="AP136" i="11"/>
  <c r="AN136" i="11"/>
  <c r="V136" i="11"/>
  <c r="S136" i="11"/>
  <c r="P136" i="11"/>
  <c r="J136" i="11"/>
  <c r="AS136" i="11" s="1"/>
  <c r="BF135" i="11"/>
  <c r="AP135" i="11"/>
  <c r="AN135" i="11"/>
  <c r="V135" i="11"/>
  <c r="S135" i="11"/>
  <c r="P135" i="11"/>
  <c r="J135" i="11"/>
  <c r="BF134" i="11"/>
  <c r="AP134" i="11"/>
  <c r="AN134" i="11"/>
  <c r="V134" i="11"/>
  <c r="S134" i="11"/>
  <c r="P134" i="11"/>
  <c r="J134" i="11"/>
  <c r="BF133" i="11"/>
  <c r="AP133" i="11"/>
  <c r="AN133" i="11"/>
  <c r="V133" i="11"/>
  <c r="S133" i="11"/>
  <c r="P133" i="11"/>
  <c r="J133" i="11"/>
  <c r="BF132" i="11"/>
  <c r="AP132" i="11"/>
  <c r="AN132" i="11"/>
  <c r="V132" i="11"/>
  <c r="S132" i="11"/>
  <c r="P132" i="11"/>
  <c r="J132" i="11"/>
  <c r="BF131" i="11"/>
  <c r="AP131" i="11"/>
  <c r="AN131" i="11"/>
  <c r="V131" i="11"/>
  <c r="S131" i="11"/>
  <c r="P131" i="11"/>
  <c r="J131" i="11"/>
  <c r="BF130" i="11"/>
  <c r="AP130" i="11"/>
  <c r="AN130" i="11"/>
  <c r="V130" i="11"/>
  <c r="S130" i="11"/>
  <c r="P130" i="11"/>
  <c r="J130" i="11"/>
  <c r="AS130" i="11" s="1"/>
  <c r="BF129" i="11"/>
  <c r="AP129" i="11"/>
  <c r="AN129" i="11"/>
  <c r="V129" i="11"/>
  <c r="S129" i="11"/>
  <c r="P129" i="11"/>
  <c r="J129" i="11"/>
  <c r="BF128" i="11"/>
  <c r="AP128" i="11"/>
  <c r="AN128" i="11"/>
  <c r="V128" i="11"/>
  <c r="S128" i="11"/>
  <c r="P128" i="11"/>
  <c r="J128" i="11"/>
  <c r="BF127" i="11"/>
  <c r="AP127" i="11"/>
  <c r="AN127" i="11"/>
  <c r="V127" i="11"/>
  <c r="S127" i="11"/>
  <c r="P127" i="11"/>
  <c r="J127" i="11"/>
  <c r="BF126" i="11"/>
  <c r="AP126" i="11"/>
  <c r="AN126" i="11"/>
  <c r="V126" i="11"/>
  <c r="S126" i="11"/>
  <c r="P126" i="11"/>
  <c r="J126" i="11"/>
  <c r="BF125" i="11"/>
  <c r="AP125" i="11"/>
  <c r="AN125" i="11"/>
  <c r="V125" i="11"/>
  <c r="S125" i="11"/>
  <c r="P125" i="11"/>
  <c r="J125" i="11"/>
  <c r="BF124" i="11"/>
  <c r="AP124" i="11"/>
  <c r="AN124" i="11"/>
  <c r="V124" i="11"/>
  <c r="S124" i="11"/>
  <c r="P124" i="11"/>
  <c r="J124" i="11"/>
  <c r="AS124" i="11" s="1"/>
  <c r="BF123" i="11"/>
  <c r="AP123" i="11"/>
  <c r="AN123" i="11"/>
  <c r="V123" i="11"/>
  <c r="S123" i="11"/>
  <c r="P123" i="11"/>
  <c r="J123" i="11"/>
  <c r="BF122" i="11"/>
  <c r="AP122" i="11"/>
  <c r="AN122" i="11"/>
  <c r="V122" i="11"/>
  <c r="S122" i="11"/>
  <c r="P122" i="11"/>
  <c r="J122" i="11"/>
  <c r="BF121" i="11"/>
  <c r="AP121" i="11"/>
  <c r="AN121" i="11"/>
  <c r="V121" i="11"/>
  <c r="S121" i="11"/>
  <c r="P121" i="11"/>
  <c r="J121" i="11"/>
  <c r="BF120" i="11"/>
  <c r="AP120" i="11"/>
  <c r="V120" i="11"/>
  <c r="S120" i="11"/>
  <c r="P120" i="11"/>
  <c r="J120" i="11"/>
  <c r="AR120" i="11" s="1"/>
  <c r="BF119" i="11"/>
  <c r="AP119" i="11"/>
  <c r="V119" i="11"/>
  <c r="S119" i="11"/>
  <c r="P119" i="11"/>
  <c r="J119" i="11"/>
  <c r="AR119" i="11" s="1"/>
  <c r="BF118" i="11"/>
  <c r="AP118" i="11"/>
  <c r="AN118" i="11"/>
  <c r="V118" i="11"/>
  <c r="S118" i="11"/>
  <c r="P118" i="11"/>
  <c r="J118" i="11"/>
  <c r="AR118" i="11" s="1"/>
  <c r="BF117" i="11"/>
  <c r="AP117" i="11"/>
  <c r="AN117" i="11"/>
  <c r="V117" i="11"/>
  <c r="S117" i="11"/>
  <c r="P117" i="11"/>
  <c r="J117" i="11"/>
  <c r="AR117" i="11" s="1"/>
  <c r="BF116" i="11"/>
  <c r="AP116" i="11"/>
  <c r="AN116" i="11"/>
  <c r="V116" i="11"/>
  <c r="S116" i="11"/>
  <c r="P116" i="11"/>
  <c r="J116" i="11"/>
  <c r="AR116" i="11" s="1"/>
  <c r="BF115" i="11"/>
  <c r="AP115" i="11"/>
  <c r="AN115" i="11"/>
  <c r="V115" i="11"/>
  <c r="S115" i="11"/>
  <c r="P115" i="11"/>
  <c r="J115" i="11"/>
  <c r="AR115" i="11" s="1"/>
  <c r="BF114" i="11"/>
  <c r="AP114" i="11"/>
  <c r="AN114" i="11"/>
  <c r="V114" i="11"/>
  <c r="S114" i="11"/>
  <c r="P114" i="11"/>
  <c r="J114" i="11"/>
  <c r="AR114" i="11" s="1"/>
  <c r="BF113" i="11"/>
  <c r="AP113" i="11"/>
  <c r="AN113" i="11"/>
  <c r="V113" i="11"/>
  <c r="S113" i="11"/>
  <c r="P113" i="11"/>
  <c r="J113" i="11"/>
  <c r="AR113" i="11" s="1"/>
  <c r="BF112" i="11"/>
  <c r="AP112" i="11"/>
  <c r="AN112" i="11"/>
  <c r="V112" i="11"/>
  <c r="S112" i="11"/>
  <c r="P112" i="11"/>
  <c r="J112" i="11"/>
  <c r="AR112" i="11" s="1"/>
  <c r="BF111" i="11"/>
  <c r="AP111" i="11"/>
  <c r="AN111" i="11"/>
  <c r="V111" i="11"/>
  <c r="S111" i="11"/>
  <c r="P111" i="11"/>
  <c r="J111" i="11"/>
  <c r="AR111" i="11" s="1"/>
  <c r="BF110" i="11"/>
  <c r="AP110" i="11"/>
  <c r="AN110" i="11"/>
  <c r="V110" i="11"/>
  <c r="S110" i="11"/>
  <c r="P110" i="11"/>
  <c r="J110" i="11"/>
  <c r="AR110" i="11" s="1"/>
  <c r="BF109" i="11"/>
  <c r="AP109" i="11"/>
  <c r="AN109" i="11"/>
  <c r="V109" i="11"/>
  <c r="S109" i="11"/>
  <c r="P109" i="11"/>
  <c r="J109" i="11"/>
  <c r="AR109" i="11" s="1"/>
  <c r="BF108" i="11"/>
  <c r="AP108" i="11"/>
  <c r="AN108" i="11"/>
  <c r="V108" i="11"/>
  <c r="S108" i="11"/>
  <c r="P108" i="11"/>
  <c r="J108" i="11"/>
  <c r="AR108" i="11" s="1"/>
  <c r="BF107" i="11"/>
  <c r="AP107" i="11"/>
  <c r="AN107" i="11"/>
  <c r="V107" i="11"/>
  <c r="S107" i="11"/>
  <c r="P107" i="11"/>
  <c r="J107" i="11"/>
  <c r="AR107" i="11" s="1"/>
  <c r="BF106" i="11"/>
  <c r="AP106" i="11"/>
  <c r="AN106" i="11"/>
  <c r="V106" i="11"/>
  <c r="S106" i="11"/>
  <c r="P106" i="11"/>
  <c r="J106" i="11"/>
  <c r="AR106" i="11" s="1"/>
  <c r="BF105" i="11"/>
  <c r="AP105" i="11"/>
  <c r="AN105" i="11"/>
  <c r="V105" i="11"/>
  <c r="S105" i="11"/>
  <c r="P105" i="11"/>
  <c r="J105" i="11"/>
  <c r="AR105" i="11" s="1"/>
  <c r="BF104" i="11"/>
  <c r="AP104" i="11"/>
  <c r="AN104" i="11"/>
  <c r="V104" i="11"/>
  <c r="S104" i="11"/>
  <c r="P104" i="11"/>
  <c r="J104" i="11"/>
  <c r="AR104" i="11" s="1"/>
  <c r="BF103" i="11"/>
  <c r="AP103" i="11"/>
  <c r="AN103" i="11"/>
  <c r="V103" i="11"/>
  <c r="S103" i="11"/>
  <c r="P103" i="11"/>
  <c r="J103" i="11"/>
  <c r="AR103" i="11" s="1"/>
  <c r="BF102" i="11"/>
  <c r="AP102" i="11"/>
  <c r="AN102" i="11"/>
  <c r="V102" i="11"/>
  <c r="S102" i="11"/>
  <c r="P102" i="11"/>
  <c r="J102" i="11"/>
  <c r="AR102" i="11" s="1"/>
  <c r="BF101" i="11"/>
  <c r="AP101" i="11"/>
  <c r="AN101" i="11"/>
  <c r="V101" i="11"/>
  <c r="S101" i="11"/>
  <c r="P101" i="11"/>
  <c r="J101" i="11"/>
  <c r="AR101" i="11" s="1"/>
  <c r="BF100" i="11"/>
  <c r="AP100" i="11"/>
  <c r="AN100" i="11"/>
  <c r="V100" i="11"/>
  <c r="S100" i="11"/>
  <c r="P100" i="11"/>
  <c r="J100" i="11"/>
  <c r="AR100" i="11" s="1"/>
  <c r="BF99" i="11"/>
  <c r="AP99" i="11"/>
  <c r="AN99" i="11"/>
  <c r="V99" i="11"/>
  <c r="S99" i="11"/>
  <c r="P99" i="11"/>
  <c r="J99" i="11"/>
  <c r="AR99" i="11" s="1"/>
  <c r="BF98" i="11"/>
  <c r="AP98" i="11"/>
  <c r="AN98" i="11"/>
  <c r="V98" i="11"/>
  <c r="S98" i="11"/>
  <c r="P98" i="11"/>
  <c r="J98" i="11"/>
  <c r="AR98" i="11" s="1"/>
  <c r="BF97" i="11"/>
  <c r="AP97" i="11"/>
  <c r="AN97" i="11"/>
  <c r="V97" i="11"/>
  <c r="S97" i="11"/>
  <c r="P97" i="11"/>
  <c r="J97" i="11"/>
  <c r="AR97" i="11" s="1"/>
  <c r="BF96" i="11"/>
  <c r="AP96" i="11"/>
  <c r="AN96" i="11"/>
  <c r="V96" i="11"/>
  <c r="S96" i="11"/>
  <c r="P96" i="11"/>
  <c r="J96" i="11"/>
  <c r="AR96" i="11" s="1"/>
  <c r="BF95" i="11"/>
  <c r="AP95" i="11"/>
  <c r="AN95" i="11"/>
  <c r="V95" i="11"/>
  <c r="S95" i="11"/>
  <c r="P95" i="11"/>
  <c r="J95" i="11"/>
  <c r="AR95" i="11" s="1"/>
  <c r="BF94" i="11"/>
  <c r="AP94" i="11"/>
  <c r="AN94" i="11"/>
  <c r="V94" i="11"/>
  <c r="S94" i="11"/>
  <c r="P94" i="11"/>
  <c r="J94" i="11"/>
  <c r="AR94" i="11" s="1"/>
  <c r="BF93" i="11"/>
  <c r="AP93" i="11"/>
  <c r="AN93" i="11"/>
  <c r="V93" i="11"/>
  <c r="S93" i="11"/>
  <c r="P93" i="11"/>
  <c r="J93" i="11"/>
  <c r="AR93" i="11" s="1"/>
  <c r="BF92" i="11"/>
  <c r="AP92" i="11"/>
  <c r="AN92" i="11"/>
  <c r="V92" i="11"/>
  <c r="S92" i="11"/>
  <c r="P92" i="11"/>
  <c r="J92" i="11"/>
  <c r="AR92" i="11" s="1"/>
  <c r="BF91" i="11"/>
  <c r="AP91" i="11"/>
  <c r="AN91" i="11"/>
  <c r="V91" i="11"/>
  <c r="S91" i="11"/>
  <c r="P91" i="11"/>
  <c r="J91" i="11"/>
  <c r="AR91" i="11" s="1"/>
  <c r="BF90" i="11"/>
  <c r="AP90" i="11"/>
  <c r="AN90" i="11"/>
  <c r="V90" i="11"/>
  <c r="S90" i="11"/>
  <c r="P90" i="11"/>
  <c r="J90" i="11"/>
  <c r="AR90" i="11" s="1"/>
  <c r="BF89" i="11"/>
  <c r="AP89" i="11"/>
  <c r="AN89" i="11"/>
  <c r="V89" i="11"/>
  <c r="S89" i="11"/>
  <c r="P89" i="11"/>
  <c r="J89" i="11"/>
  <c r="AR89" i="11" s="1"/>
  <c r="BF88" i="11"/>
  <c r="AP88" i="11"/>
  <c r="AN88" i="11"/>
  <c r="V88" i="11"/>
  <c r="S88" i="11"/>
  <c r="P88" i="11"/>
  <c r="J88" i="11"/>
  <c r="AR88" i="11" s="1"/>
  <c r="BF87" i="11"/>
  <c r="AP87" i="11"/>
  <c r="AN87" i="11"/>
  <c r="V87" i="11"/>
  <c r="S87" i="11"/>
  <c r="P87" i="11"/>
  <c r="J87" i="11"/>
  <c r="AR87" i="11" s="1"/>
  <c r="BF86" i="11"/>
  <c r="AP86" i="11"/>
  <c r="AN86" i="11"/>
  <c r="V86" i="11"/>
  <c r="S86" i="11"/>
  <c r="P86" i="11"/>
  <c r="J86" i="11"/>
  <c r="AR86" i="11" s="1"/>
  <c r="BF85" i="11"/>
  <c r="AP85" i="11"/>
  <c r="AN85" i="11"/>
  <c r="V85" i="11"/>
  <c r="S85" i="11"/>
  <c r="P85" i="11"/>
  <c r="J85" i="11"/>
  <c r="AR85" i="11" s="1"/>
  <c r="BF84" i="11"/>
  <c r="AP84" i="11"/>
  <c r="AN84" i="11"/>
  <c r="V84" i="11"/>
  <c r="S84" i="11"/>
  <c r="P84" i="11"/>
  <c r="J84" i="11"/>
  <c r="AR84" i="11" s="1"/>
  <c r="BF83" i="11"/>
  <c r="AP83" i="11"/>
  <c r="AN83" i="11"/>
  <c r="V83" i="11"/>
  <c r="S83" i="11"/>
  <c r="P83" i="11"/>
  <c r="J83" i="11"/>
  <c r="AR83" i="11" s="1"/>
  <c r="BF82" i="11"/>
  <c r="AP82" i="11"/>
  <c r="AN82" i="11"/>
  <c r="V82" i="11"/>
  <c r="S82" i="11"/>
  <c r="P82" i="11"/>
  <c r="J82" i="11"/>
  <c r="AR82" i="11" s="1"/>
  <c r="BF81" i="11"/>
  <c r="AP81" i="11"/>
  <c r="AN81" i="11"/>
  <c r="V81" i="11"/>
  <c r="S81" i="11"/>
  <c r="P81" i="11"/>
  <c r="J81" i="11"/>
  <c r="AR81" i="11" s="1"/>
  <c r="BF80" i="11"/>
  <c r="AP80" i="11"/>
  <c r="AN80" i="11"/>
  <c r="V80" i="11"/>
  <c r="S80" i="11"/>
  <c r="P80" i="11"/>
  <c r="J80" i="11"/>
  <c r="AR80" i="11" s="1"/>
  <c r="BF79" i="11"/>
  <c r="AP79" i="11"/>
  <c r="AN79" i="11"/>
  <c r="V79" i="11"/>
  <c r="S79" i="11"/>
  <c r="P79" i="11"/>
  <c r="J79" i="11"/>
  <c r="AR79" i="11" s="1"/>
  <c r="BF78" i="11"/>
  <c r="AP78" i="11"/>
  <c r="AN78" i="11"/>
  <c r="V78" i="11"/>
  <c r="S78" i="11"/>
  <c r="P78" i="11"/>
  <c r="J78" i="11"/>
  <c r="AR78" i="11" s="1"/>
  <c r="BF77" i="11"/>
  <c r="AP77" i="11"/>
  <c r="AN77" i="11"/>
  <c r="V77" i="11"/>
  <c r="S77" i="11"/>
  <c r="P77" i="11"/>
  <c r="J77" i="11"/>
  <c r="AR77" i="11" s="1"/>
  <c r="BF76" i="11"/>
  <c r="AP76" i="11"/>
  <c r="AN76" i="11"/>
  <c r="V76" i="11"/>
  <c r="S76" i="11"/>
  <c r="P76" i="11"/>
  <c r="J76" i="11"/>
  <c r="AR76" i="11" s="1"/>
  <c r="BF75" i="11"/>
  <c r="AP75" i="11"/>
  <c r="AN75" i="11"/>
  <c r="V75" i="11"/>
  <c r="S75" i="11"/>
  <c r="P75" i="11"/>
  <c r="J75" i="11"/>
  <c r="AR75" i="11" s="1"/>
  <c r="BF74" i="11"/>
  <c r="AP74" i="11"/>
  <c r="AN74" i="11"/>
  <c r="V74" i="11"/>
  <c r="S74" i="11"/>
  <c r="P74" i="11"/>
  <c r="J74" i="11"/>
  <c r="AR74" i="11" s="1"/>
  <c r="BF73" i="11"/>
  <c r="AP73" i="11"/>
  <c r="AN73" i="11"/>
  <c r="V73" i="11"/>
  <c r="S73" i="11"/>
  <c r="P73" i="11"/>
  <c r="J73" i="11"/>
  <c r="AR73" i="11" s="1"/>
  <c r="BF72" i="11"/>
  <c r="AP72" i="11"/>
  <c r="AN72" i="11"/>
  <c r="V72" i="11"/>
  <c r="S72" i="11"/>
  <c r="P72" i="11"/>
  <c r="J72" i="11"/>
  <c r="AR72" i="11" s="1"/>
  <c r="BF71" i="11"/>
  <c r="AP71" i="11"/>
  <c r="AN71" i="11"/>
  <c r="V71" i="11"/>
  <c r="S71" i="11"/>
  <c r="P71" i="11"/>
  <c r="J71" i="11"/>
  <c r="AR71" i="11" s="1"/>
  <c r="BF70" i="11"/>
  <c r="AP70" i="11"/>
  <c r="AN70" i="11"/>
  <c r="V70" i="11"/>
  <c r="S70" i="11"/>
  <c r="P70" i="11"/>
  <c r="J70" i="11"/>
  <c r="AR70" i="11" s="1"/>
  <c r="BF69" i="11"/>
  <c r="AN69" i="11"/>
  <c r="V69" i="11"/>
  <c r="S69" i="11"/>
  <c r="P69" i="11"/>
  <c r="J69" i="11"/>
  <c r="BF68" i="11"/>
  <c r="AP68" i="11"/>
  <c r="AN68" i="11"/>
  <c r="V68" i="11"/>
  <c r="S68" i="11"/>
  <c r="P68" i="11"/>
  <c r="J68" i="11"/>
  <c r="AR68" i="11" s="1"/>
  <c r="BF67" i="11"/>
  <c r="AP67" i="11"/>
  <c r="AN67" i="11"/>
  <c r="V67" i="11"/>
  <c r="S67" i="11"/>
  <c r="P67" i="11"/>
  <c r="J67" i="11"/>
  <c r="AR67" i="11" s="1"/>
  <c r="BF66" i="11"/>
  <c r="AP66" i="11"/>
  <c r="AN66" i="11"/>
  <c r="V66" i="11"/>
  <c r="S66" i="11"/>
  <c r="P66" i="11"/>
  <c r="J66" i="11"/>
  <c r="AR66" i="11" s="1"/>
  <c r="BF65" i="11"/>
  <c r="AP65" i="11"/>
  <c r="AN65" i="11"/>
  <c r="V65" i="11"/>
  <c r="S65" i="11"/>
  <c r="P65" i="11"/>
  <c r="J65" i="11"/>
  <c r="AR65" i="11" s="1"/>
  <c r="BF64" i="11"/>
  <c r="AP64" i="11"/>
  <c r="AN64" i="11"/>
  <c r="V64" i="11"/>
  <c r="S64" i="11"/>
  <c r="P64" i="11"/>
  <c r="J64" i="11"/>
  <c r="AR64" i="11" s="1"/>
  <c r="BF63" i="11"/>
  <c r="AP63" i="11"/>
  <c r="AN63" i="11"/>
  <c r="V63" i="11"/>
  <c r="S63" i="11"/>
  <c r="P63" i="11"/>
  <c r="J63" i="11"/>
  <c r="AR63" i="11" s="1"/>
  <c r="BF62" i="11"/>
  <c r="AN62" i="11"/>
  <c r="V62" i="11"/>
  <c r="S62" i="11"/>
  <c r="P62" i="11"/>
  <c r="J62" i="11"/>
  <c r="AR62" i="11" s="1"/>
  <c r="BF61" i="11"/>
  <c r="AP61" i="11"/>
  <c r="AN61" i="11"/>
  <c r="V61" i="11"/>
  <c r="S61" i="11"/>
  <c r="P61" i="11"/>
  <c r="J61" i="11"/>
  <c r="AQ61" i="11" s="1"/>
  <c r="BF60" i="11"/>
  <c r="AP60" i="11"/>
  <c r="AN60" i="11"/>
  <c r="V60" i="11"/>
  <c r="S60" i="11"/>
  <c r="P60" i="11"/>
  <c r="J60" i="11"/>
  <c r="AQ60" i="11" s="1"/>
  <c r="BF59" i="11"/>
  <c r="AP59" i="11"/>
  <c r="AN59" i="11"/>
  <c r="V59" i="11"/>
  <c r="S59" i="11"/>
  <c r="P59" i="11"/>
  <c r="J59" i="11"/>
  <c r="AR59" i="11" s="1"/>
  <c r="BF58" i="11"/>
  <c r="AP58" i="11"/>
  <c r="AN58" i="11"/>
  <c r="V58" i="11"/>
  <c r="S58" i="11"/>
  <c r="P58" i="11"/>
  <c r="J58" i="11"/>
  <c r="AQ58" i="11" s="1"/>
  <c r="BF57" i="11"/>
  <c r="AP57" i="11"/>
  <c r="AN57" i="11"/>
  <c r="V57" i="11"/>
  <c r="S57" i="11"/>
  <c r="P57" i="11"/>
  <c r="BF56" i="11"/>
  <c r="AP56" i="11"/>
  <c r="AN56" i="11"/>
  <c r="V56" i="11"/>
  <c r="S56" i="11"/>
  <c r="P56" i="11"/>
  <c r="BF55" i="11"/>
  <c r="AN55" i="11"/>
  <c r="V55" i="11"/>
  <c r="S55" i="11"/>
  <c r="P55" i="11"/>
  <c r="BF54" i="11"/>
  <c r="AP54" i="11"/>
  <c r="AN54" i="11"/>
  <c r="V54" i="11"/>
  <c r="S54" i="11"/>
  <c r="P54" i="11"/>
  <c r="J54" i="11"/>
  <c r="AQ54" i="11" s="1"/>
  <c r="BF53" i="11"/>
  <c r="AP53" i="11"/>
  <c r="AN53" i="11"/>
  <c r="V53" i="11"/>
  <c r="S53" i="11"/>
  <c r="P53" i="11"/>
  <c r="BF52" i="11"/>
  <c r="AN52" i="11"/>
  <c r="V52" i="11"/>
  <c r="S52" i="11"/>
  <c r="P52" i="11"/>
  <c r="J52" i="11"/>
  <c r="AQ52" i="11" s="1"/>
  <c r="BF51" i="11"/>
  <c r="AP51" i="11"/>
  <c r="AN51" i="11"/>
  <c r="V51" i="11"/>
  <c r="S51" i="11"/>
  <c r="P51" i="11"/>
  <c r="J51" i="11"/>
  <c r="AQ51" i="11" s="1"/>
  <c r="BF50" i="11"/>
  <c r="AP50" i="11"/>
  <c r="V50" i="11"/>
  <c r="S50" i="11"/>
  <c r="P50" i="11"/>
  <c r="J50" i="11"/>
  <c r="BF49" i="11"/>
  <c r="AP49" i="11"/>
  <c r="AN49" i="11"/>
  <c r="V49" i="11"/>
  <c r="S49" i="11"/>
  <c r="P49" i="11"/>
  <c r="J49" i="11"/>
  <c r="BF48" i="11"/>
  <c r="AP48" i="11"/>
  <c r="AN48" i="11"/>
  <c r="V48" i="11"/>
  <c r="S48" i="11"/>
  <c r="P48" i="11"/>
  <c r="J48" i="11"/>
  <c r="BF47" i="11"/>
  <c r="AP47" i="11"/>
  <c r="AN47" i="11"/>
  <c r="V47" i="11"/>
  <c r="S47" i="11"/>
  <c r="P47" i="11"/>
  <c r="J47" i="11"/>
  <c r="BF46" i="11"/>
  <c r="AP46" i="11"/>
  <c r="AN46" i="11"/>
  <c r="V46" i="11"/>
  <c r="S46" i="11"/>
  <c r="P46" i="11"/>
  <c r="J46" i="11"/>
  <c r="BF45" i="11"/>
  <c r="AP45" i="11"/>
  <c r="AN45" i="11"/>
  <c r="V45" i="11"/>
  <c r="S45" i="11"/>
  <c r="P45" i="11"/>
  <c r="J45" i="11"/>
  <c r="BF44" i="11"/>
  <c r="AP44" i="11"/>
  <c r="AN44" i="11"/>
  <c r="V44" i="11"/>
  <c r="S44" i="11"/>
  <c r="P44" i="11"/>
  <c r="J44" i="11"/>
  <c r="BF43" i="11"/>
  <c r="AP43" i="11"/>
  <c r="AN43" i="11"/>
  <c r="V43" i="11"/>
  <c r="S43" i="11"/>
  <c r="P43" i="11"/>
  <c r="J43" i="11"/>
  <c r="BF42" i="11"/>
  <c r="AP42" i="11"/>
  <c r="AN42" i="11"/>
  <c r="V42" i="11"/>
  <c r="S42" i="11"/>
  <c r="P42" i="11"/>
  <c r="J42" i="11"/>
  <c r="BF41" i="11"/>
  <c r="AP41" i="11"/>
  <c r="AN41" i="11"/>
  <c r="V41" i="11"/>
  <c r="S41" i="11"/>
  <c r="P41" i="11"/>
  <c r="J41" i="11"/>
  <c r="BF40" i="11"/>
  <c r="AP40" i="11"/>
  <c r="AN40" i="11"/>
  <c r="V40" i="11"/>
  <c r="S40" i="11"/>
  <c r="P40" i="11"/>
  <c r="J40" i="11"/>
  <c r="BF39" i="11"/>
  <c r="AP39" i="11"/>
  <c r="AN39" i="11"/>
  <c r="V39" i="11"/>
  <c r="S39" i="11"/>
  <c r="P39" i="11"/>
  <c r="J39" i="11"/>
  <c r="BF38" i="11"/>
  <c r="AP38" i="11"/>
  <c r="AN38" i="11"/>
  <c r="V38" i="11"/>
  <c r="S38" i="11"/>
  <c r="P38" i="11"/>
  <c r="J38" i="11"/>
  <c r="BF37" i="11"/>
  <c r="AP37" i="11"/>
  <c r="AN37" i="11"/>
  <c r="V37" i="11"/>
  <c r="S37" i="11"/>
  <c r="P37" i="11"/>
  <c r="J37" i="11"/>
  <c r="BF36" i="11"/>
  <c r="AP36" i="11"/>
  <c r="AN36" i="11"/>
  <c r="V36" i="11"/>
  <c r="S36" i="11"/>
  <c r="P36" i="11"/>
  <c r="M36" i="11"/>
  <c r="J36" i="11"/>
  <c r="BF35" i="11"/>
  <c r="AP35" i="11"/>
  <c r="AN35" i="11"/>
  <c r="V35" i="11"/>
  <c r="S35" i="11"/>
  <c r="P35" i="11"/>
  <c r="M35" i="11"/>
  <c r="J35" i="11"/>
  <c r="BF34" i="11"/>
  <c r="AP34" i="11"/>
  <c r="AN34" i="11"/>
  <c r="V34" i="11"/>
  <c r="S34" i="11"/>
  <c r="P34" i="11"/>
  <c r="M34" i="11"/>
  <c r="J34" i="11"/>
  <c r="BF33" i="11"/>
  <c r="AP33" i="11"/>
  <c r="AN33" i="11"/>
  <c r="V33" i="11"/>
  <c r="S33" i="11"/>
  <c r="P33" i="11"/>
  <c r="M33" i="11"/>
  <c r="J33" i="11"/>
  <c r="BF32" i="11"/>
  <c r="AP32" i="11"/>
  <c r="AN32" i="11"/>
  <c r="V32" i="11"/>
  <c r="S32" i="11"/>
  <c r="P32" i="11"/>
  <c r="M32" i="11"/>
  <c r="J32" i="11"/>
  <c r="BF31" i="11"/>
  <c r="AP31" i="11"/>
  <c r="AN31" i="11"/>
  <c r="V31" i="11"/>
  <c r="S31" i="11"/>
  <c r="P31" i="11"/>
  <c r="M31" i="11"/>
  <c r="J31" i="11"/>
  <c r="BF30" i="11"/>
  <c r="AP30" i="11"/>
  <c r="AN30" i="11"/>
  <c r="V30" i="11"/>
  <c r="S30" i="11"/>
  <c r="P30" i="11"/>
  <c r="M30" i="11"/>
  <c r="J30" i="11"/>
  <c r="BF29" i="11"/>
  <c r="AP29" i="11"/>
  <c r="AN29" i="11"/>
  <c r="V29" i="11"/>
  <c r="S29" i="11"/>
  <c r="P29" i="11"/>
  <c r="M29" i="11"/>
  <c r="J29" i="11"/>
  <c r="BF28" i="11"/>
  <c r="AP28" i="11"/>
  <c r="AN28" i="11"/>
  <c r="V28" i="11"/>
  <c r="S28" i="11"/>
  <c r="P28" i="11"/>
  <c r="M28" i="11"/>
  <c r="J28" i="11"/>
  <c r="BF27" i="11"/>
  <c r="AP27" i="11"/>
  <c r="AN27" i="11"/>
  <c r="V27" i="11"/>
  <c r="S27" i="11"/>
  <c r="P27" i="11"/>
  <c r="M27" i="11"/>
  <c r="J27" i="11"/>
  <c r="BF26" i="11"/>
  <c r="AP26" i="11"/>
  <c r="AN26" i="11"/>
  <c r="V26" i="11"/>
  <c r="S26" i="11"/>
  <c r="P26" i="11"/>
  <c r="M26" i="11"/>
  <c r="J26" i="11"/>
  <c r="BF25" i="11"/>
  <c r="AP25" i="11"/>
  <c r="AN25" i="11"/>
  <c r="V25" i="11"/>
  <c r="S25" i="11"/>
  <c r="P25" i="11"/>
  <c r="M25" i="11"/>
  <c r="J25" i="11"/>
  <c r="BF24" i="11"/>
  <c r="AP24" i="11"/>
  <c r="AN24" i="11"/>
  <c r="V24" i="11"/>
  <c r="S24" i="11"/>
  <c r="P24" i="11"/>
  <c r="M24" i="11"/>
  <c r="J24" i="11"/>
  <c r="BF23" i="11"/>
  <c r="AP23" i="11"/>
  <c r="AN23" i="11"/>
  <c r="V23" i="11"/>
  <c r="S23" i="11"/>
  <c r="P23" i="11"/>
  <c r="M23" i="11"/>
  <c r="J23" i="11"/>
  <c r="BF22" i="11"/>
  <c r="AP22" i="11"/>
  <c r="AN22" i="11"/>
  <c r="V22" i="11"/>
  <c r="S22" i="11"/>
  <c r="P22" i="11"/>
  <c r="M22" i="11"/>
  <c r="J22" i="11"/>
  <c r="BF21" i="11"/>
  <c r="AP21" i="11"/>
  <c r="AN21" i="11"/>
  <c r="V21" i="11"/>
  <c r="S21" i="11"/>
  <c r="P21" i="11"/>
  <c r="M21" i="11"/>
  <c r="J21" i="11"/>
  <c r="BF20" i="11"/>
  <c r="AP20" i="11"/>
  <c r="AN20" i="11"/>
  <c r="V20" i="11"/>
  <c r="S20" i="11"/>
  <c r="P20" i="11"/>
  <c r="M20" i="11"/>
  <c r="J20" i="11"/>
  <c r="BF19" i="11"/>
  <c r="AP19" i="11"/>
  <c r="AN19" i="11"/>
  <c r="V19" i="11"/>
  <c r="S19" i="11"/>
  <c r="P19" i="11"/>
  <c r="M19" i="11"/>
  <c r="J19" i="11"/>
  <c r="BF18" i="11"/>
  <c r="AP18" i="11"/>
  <c r="AN18" i="11"/>
  <c r="V18" i="11"/>
  <c r="S18" i="11"/>
  <c r="P18" i="11"/>
  <c r="M18" i="11"/>
  <c r="J18" i="11"/>
  <c r="BF17" i="11"/>
  <c r="AP17" i="11"/>
  <c r="AN17" i="11"/>
  <c r="V17" i="11"/>
  <c r="S17" i="11"/>
  <c r="P17" i="11"/>
  <c r="M17" i="11"/>
  <c r="J17" i="11"/>
  <c r="BF16" i="11"/>
  <c r="AP16" i="11"/>
  <c r="AN16" i="11"/>
  <c r="V16" i="11"/>
  <c r="S16" i="11"/>
  <c r="P16" i="11"/>
  <c r="M16" i="11"/>
  <c r="J16" i="11"/>
  <c r="BF15" i="11"/>
  <c r="AP15" i="11"/>
  <c r="AN15" i="11"/>
  <c r="V15" i="11"/>
  <c r="S15" i="11"/>
  <c r="P15" i="11"/>
  <c r="M15" i="11"/>
  <c r="J15" i="11"/>
  <c r="BF14" i="11"/>
  <c r="AP14" i="11"/>
  <c r="AN14" i="11"/>
  <c r="V14" i="11"/>
  <c r="S14" i="11"/>
  <c r="P14" i="11"/>
  <c r="M14" i="11"/>
  <c r="J14" i="11"/>
  <c r="BF13" i="11"/>
  <c r="AP13" i="11"/>
  <c r="AN13" i="11"/>
  <c r="V13" i="11"/>
  <c r="S13" i="11"/>
  <c r="P13" i="11"/>
  <c r="M13" i="11"/>
  <c r="J13" i="11"/>
  <c r="BF12" i="11"/>
  <c r="AP12" i="11"/>
  <c r="AN12" i="11"/>
  <c r="V12" i="11"/>
  <c r="S12" i="11"/>
  <c r="P12" i="11"/>
  <c r="M12" i="11"/>
  <c r="J12" i="11"/>
  <c r="BF11" i="11"/>
  <c r="AP11" i="11"/>
  <c r="AN11" i="11"/>
  <c r="Y11" i="11"/>
  <c r="V11" i="11"/>
  <c r="S11" i="11"/>
  <c r="P11" i="11"/>
  <c r="M11" i="11"/>
  <c r="J11" i="11"/>
  <c r="BF10" i="11"/>
  <c r="AP10" i="11"/>
  <c r="AN10" i="11"/>
  <c r="V10" i="11"/>
  <c r="S10" i="11"/>
  <c r="P10" i="11"/>
  <c r="M10" i="11"/>
  <c r="J10" i="11"/>
  <c r="BF9" i="11"/>
  <c r="AP9" i="11"/>
  <c r="AN9" i="11"/>
  <c r="Y9" i="11"/>
  <c r="V9" i="11"/>
  <c r="S9" i="11"/>
  <c r="P9" i="11"/>
  <c r="M9" i="11"/>
  <c r="J9" i="11"/>
  <c r="BF8" i="11"/>
  <c r="AN8" i="11"/>
  <c r="Y8" i="11"/>
  <c r="V8" i="11"/>
  <c r="S8" i="11"/>
  <c r="P8" i="11"/>
  <c r="M8" i="11"/>
  <c r="J8" i="11"/>
  <c r="BI10" i="7"/>
  <c r="BP10" i="7"/>
  <c r="BW10" i="7"/>
  <c r="CD10" i="7"/>
  <c r="CR10" i="7"/>
  <c r="CY10" i="7"/>
  <c r="DF10" i="7"/>
  <c r="DT10" i="7"/>
  <c r="EA10" i="7"/>
  <c r="EH10" i="7"/>
  <c r="BB10" i="7"/>
  <c r="AS123" i="11" l="1"/>
  <c r="AS129" i="11"/>
  <c r="AS135" i="11"/>
  <c r="AS141" i="11"/>
  <c r="AS147" i="11"/>
  <c r="AS153" i="11"/>
  <c r="AS159" i="11"/>
  <c r="AS165" i="11"/>
  <c r="AS121" i="11"/>
  <c r="AS127" i="11"/>
  <c r="AS133" i="11"/>
  <c r="AS139" i="11"/>
  <c r="AS145" i="11"/>
  <c r="AS151" i="11"/>
  <c r="AS163" i="11"/>
  <c r="AS169" i="11"/>
  <c r="AS175" i="11"/>
  <c r="AS181" i="11"/>
  <c r="AS187" i="11"/>
  <c r="AS126" i="11"/>
  <c r="AS177" i="11"/>
  <c r="AS183" i="11"/>
  <c r="AS189" i="11"/>
  <c r="AS132" i="11"/>
  <c r="AS171" i="11"/>
  <c r="AS157" i="11"/>
  <c r="AS122" i="11"/>
  <c r="AS125" i="11"/>
  <c r="AS128" i="11"/>
  <c r="AS131" i="11"/>
  <c r="AS134" i="11"/>
  <c r="AS137" i="11"/>
  <c r="AS140" i="11"/>
  <c r="AS143" i="11"/>
  <c r="AS146" i="11"/>
  <c r="AS149" i="11"/>
  <c r="AS152" i="11"/>
  <c r="AS155" i="11"/>
  <c r="AS158" i="11"/>
  <c r="AS161" i="11"/>
  <c r="AS164" i="11"/>
  <c r="AS167" i="11"/>
  <c r="AS170" i="11"/>
  <c r="AS173" i="11"/>
  <c r="AS176" i="11"/>
  <c r="AS179" i="11"/>
  <c r="AS182" i="11"/>
  <c r="AS185" i="11"/>
  <c r="AS188" i="11"/>
  <c r="AT73" i="31"/>
  <c r="C75" i="31"/>
  <c r="AU73" i="31"/>
  <c r="AU74" i="31"/>
  <c r="AT74" i="31"/>
  <c r="C76" i="31"/>
  <c r="AR69" i="11"/>
  <c r="AR1" i="11" s="1" a="1"/>
  <c r="AR1" i="11" s="1"/>
  <c r="X65" i="11"/>
  <c r="Y65" i="11" s="1"/>
  <c r="AS65" i="11" s="1"/>
  <c r="M1" i="11"/>
  <c r="P1" i="11"/>
  <c r="AS9" i="11"/>
  <c r="AX9" i="11" s="1"/>
  <c r="AU122" i="11"/>
  <c r="AU125" i="11"/>
  <c r="AU128" i="11"/>
  <c r="AU131" i="11"/>
  <c r="AU134" i="11"/>
  <c r="AU137" i="11"/>
  <c r="AU140" i="11"/>
  <c r="AU143" i="11"/>
  <c r="AU146" i="11"/>
  <c r="AU149" i="11"/>
  <c r="AU152" i="11"/>
  <c r="AU155" i="11"/>
  <c r="AU158" i="11"/>
  <c r="AU161" i="11"/>
  <c r="AU164" i="11"/>
  <c r="AU167" i="11"/>
  <c r="AU170" i="11"/>
  <c r="AU173" i="11"/>
  <c r="AU176" i="11"/>
  <c r="AU179" i="11"/>
  <c r="AU182" i="11"/>
  <c r="AU185" i="11"/>
  <c r="AU188" i="11"/>
  <c r="AP1" i="11" a="1"/>
  <c r="AP1" i="11" s="1"/>
  <c r="AS8" i="11"/>
  <c r="AS11" i="11"/>
  <c r="AO19" i="4"/>
  <c r="J1" i="11" a="1"/>
  <c r="J1" i="11" s="1"/>
  <c r="AU8" i="11"/>
  <c r="AU11" i="11"/>
  <c r="AU9" i="11"/>
  <c r="AU123" i="11"/>
  <c r="AU126" i="11"/>
  <c r="AU129" i="11"/>
  <c r="AU132" i="11"/>
  <c r="AU135" i="11"/>
  <c r="AU138" i="11"/>
  <c r="AM21" i="4"/>
  <c r="AO21" i="4"/>
  <c r="AO20" i="4"/>
  <c r="AO16" i="4"/>
  <c r="AO14" i="4"/>
  <c r="AP14" i="4" s="1"/>
  <c r="AM16" i="4"/>
  <c r="AU121" i="11"/>
  <c r="AU124" i="11"/>
  <c r="AU127" i="11"/>
  <c r="AU130" i="11"/>
  <c r="AU133" i="11"/>
  <c r="AU136" i="11"/>
  <c r="AU139" i="11"/>
  <c r="AU142" i="11"/>
  <c r="AU145" i="11"/>
  <c r="AU148" i="11"/>
  <c r="AU151" i="11"/>
  <c r="AU154" i="11"/>
  <c r="AU157" i="11"/>
  <c r="AU160" i="11"/>
  <c r="AU163" i="11"/>
  <c r="AU166" i="11"/>
  <c r="AU169" i="11"/>
  <c r="AU172" i="11"/>
  <c r="AU175" i="11"/>
  <c r="AU178" i="11"/>
  <c r="AU181" i="11"/>
  <c r="AU184" i="11"/>
  <c r="AU187" i="11"/>
  <c r="AU190" i="11"/>
  <c r="AU141" i="11"/>
  <c r="AU144" i="11"/>
  <c r="AU147" i="11"/>
  <c r="AU150" i="11"/>
  <c r="AU153" i="11"/>
  <c r="AU156" i="11"/>
  <c r="AU159" i="11"/>
  <c r="AU162" i="11"/>
  <c r="AU165" i="11"/>
  <c r="AU168" i="11"/>
  <c r="AU171" i="11"/>
  <c r="AU174" i="11"/>
  <c r="AU177" i="11"/>
  <c r="AU180" i="11"/>
  <c r="AU183" i="11"/>
  <c r="AU186" i="11"/>
  <c r="AU189" i="11"/>
  <c r="AM20" i="4"/>
  <c r="AL13" i="4"/>
  <c r="AM19" i="4"/>
  <c r="AL15" i="4"/>
  <c r="X50" i="11"/>
  <c r="Y50" i="11" s="1"/>
  <c r="W50" i="11"/>
  <c r="W48" i="11"/>
  <c r="X48" i="11"/>
  <c r="Y48" i="11" s="1"/>
  <c r="AS48" i="11" s="1"/>
  <c r="X52" i="11"/>
  <c r="Y52" i="11" s="1"/>
  <c r="AS52" i="11" s="1"/>
  <c r="W52" i="11"/>
  <c r="W54" i="11"/>
  <c r="X54" i="11"/>
  <c r="Y54" i="11" s="1"/>
  <c r="W56" i="11"/>
  <c r="X56" i="11"/>
  <c r="Y56" i="11" s="1"/>
  <c r="AS56" i="11" s="1"/>
  <c r="W47" i="11"/>
  <c r="X47" i="11"/>
  <c r="Y47" i="11" s="1"/>
  <c r="AS47" i="11" s="1"/>
  <c r="W58" i="11"/>
  <c r="X58" i="11"/>
  <c r="Y58" i="11" s="1"/>
  <c r="AS58" i="11" s="1"/>
  <c r="X49" i="11"/>
  <c r="W49" i="11"/>
  <c r="X51" i="11"/>
  <c r="Y51" i="11" s="1"/>
  <c r="AS51" i="11" s="1"/>
  <c r="W51" i="11"/>
  <c r="W53" i="11"/>
  <c r="X53" i="11"/>
  <c r="Y53" i="11" s="1"/>
  <c r="W46" i="11"/>
  <c r="X46" i="11"/>
  <c r="Y46" i="11" s="1"/>
  <c r="AS46" i="11" s="1"/>
  <c r="W55" i="11"/>
  <c r="X55" i="11"/>
  <c r="Y55" i="11" s="1"/>
  <c r="AS55" i="11" s="1"/>
  <c r="X57" i="11"/>
  <c r="Y57" i="11" s="1"/>
  <c r="AS57" i="11" s="1"/>
  <c r="W57" i="11"/>
  <c r="W119" i="11"/>
  <c r="W125" i="11"/>
  <c r="W128" i="11"/>
  <c r="W137" i="11"/>
  <c r="W140" i="11"/>
  <c r="W146" i="11"/>
  <c r="W149" i="11"/>
  <c r="W152" i="11"/>
  <c r="W155" i="11"/>
  <c r="W158" i="11"/>
  <c r="W161" i="11"/>
  <c r="W164" i="11"/>
  <c r="W167" i="11"/>
  <c r="W170" i="11"/>
  <c r="W60" i="11"/>
  <c r="W63" i="11"/>
  <c r="W175" i="11"/>
  <c r="W178" i="11"/>
  <c r="W181" i="11"/>
  <c r="W184" i="11"/>
  <c r="W187" i="11"/>
  <c r="W190" i="11"/>
  <c r="W66" i="11"/>
  <c r="W69" i="11"/>
  <c r="W122" i="11"/>
  <c r="W131" i="11"/>
  <c r="W134" i="11"/>
  <c r="W143" i="11"/>
  <c r="W173" i="11"/>
  <c r="X117" i="11"/>
  <c r="Y117" i="11" s="1"/>
  <c r="AS117" i="11" s="1"/>
  <c r="W72" i="11"/>
  <c r="W75" i="11"/>
  <c r="W78" i="11"/>
  <c r="W81" i="11"/>
  <c r="W84" i="11"/>
  <c r="W87" i="11"/>
  <c r="W90" i="11"/>
  <c r="W93" i="11"/>
  <c r="W96" i="11"/>
  <c r="W99" i="11"/>
  <c r="W105" i="11"/>
  <c r="W108" i="11"/>
  <c r="W111" i="11"/>
  <c r="X182" i="11"/>
  <c r="W102" i="11"/>
  <c r="X105" i="11"/>
  <c r="Y105" i="11" s="1"/>
  <c r="AS105" i="11" s="1"/>
  <c r="W114" i="11"/>
  <c r="W117" i="11"/>
  <c r="W120" i="11"/>
  <c r="W123" i="11"/>
  <c r="W126" i="11"/>
  <c r="W129" i="11"/>
  <c r="W132" i="11"/>
  <c r="W135" i="11"/>
  <c r="W138" i="11"/>
  <c r="W141" i="11"/>
  <c r="W144" i="11"/>
  <c r="W147" i="11"/>
  <c r="W150" i="11"/>
  <c r="W153" i="11"/>
  <c r="W156" i="11"/>
  <c r="W159" i="11"/>
  <c r="W162" i="11"/>
  <c r="W165" i="11"/>
  <c r="W168" i="11"/>
  <c r="W171" i="11"/>
  <c r="X174" i="11"/>
  <c r="W15" i="11"/>
  <c r="X18" i="11"/>
  <c r="Y18" i="11" s="1"/>
  <c r="AS18" i="11" s="1"/>
  <c r="X33" i="11"/>
  <c r="Y33" i="11" s="1"/>
  <c r="AS33" i="11" s="1"/>
  <c r="W176" i="11"/>
  <c r="W179" i="11"/>
  <c r="W41" i="11"/>
  <c r="W61" i="11"/>
  <c r="W64" i="11"/>
  <c r="W67" i="11"/>
  <c r="W70" i="11"/>
  <c r="W73" i="11"/>
  <c r="W76" i="11"/>
  <c r="W79" i="11"/>
  <c r="W82" i="11"/>
  <c r="W85" i="11"/>
  <c r="W88" i="11"/>
  <c r="W91" i="11"/>
  <c r="W94" i="11"/>
  <c r="W97" i="11"/>
  <c r="W100" i="11"/>
  <c r="W103" i="11"/>
  <c r="W46" i="2"/>
  <c r="W48" i="2"/>
  <c r="X48" i="2"/>
  <c r="W44" i="2"/>
  <c r="X47" i="2"/>
  <c r="X46" i="2"/>
  <c r="X42" i="2"/>
  <c r="X45" i="2"/>
  <c r="W174" i="11"/>
  <c r="W177" i="11"/>
  <c r="W180" i="11"/>
  <c r="W59" i="11"/>
  <c r="W62" i="11"/>
  <c r="W65" i="11"/>
  <c r="W68" i="11"/>
  <c r="W71" i="11"/>
  <c r="W74" i="11"/>
  <c r="W77" i="11"/>
  <c r="W80" i="11"/>
  <c r="W83" i="11"/>
  <c r="W86" i="11"/>
  <c r="W89" i="11"/>
  <c r="W92" i="11"/>
  <c r="W95" i="11"/>
  <c r="W98" i="11"/>
  <c r="W101" i="11"/>
  <c r="W104" i="11"/>
  <c r="W183" i="11"/>
  <c r="W186" i="11"/>
  <c r="W189" i="11"/>
  <c r="W107" i="11"/>
  <c r="W110" i="11"/>
  <c r="W113" i="11"/>
  <c r="W116" i="11"/>
  <c r="W182" i="11"/>
  <c r="W185" i="11"/>
  <c r="W188" i="11"/>
  <c r="W106" i="11"/>
  <c r="W109" i="11"/>
  <c r="W112" i="11"/>
  <c r="W115" i="11"/>
  <c r="W118" i="11"/>
  <c r="W121" i="11"/>
  <c r="W124" i="11"/>
  <c r="W127" i="11"/>
  <c r="W130" i="11"/>
  <c r="W133" i="11"/>
  <c r="W136" i="11"/>
  <c r="W139" i="11"/>
  <c r="W142" i="11"/>
  <c r="W145" i="11"/>
  <c r="W148" i="11"/>
  <c r="W151" i="11"/>
  <c r="W154" i="11"/>
  <c r="W157" i="11"/>
  <c r="W160" i="11"/>
  <c r="W163" i="11"/>
  <c r="W166" i="11"/>
  <c r="W169" i="11"/>
  <c r="W172" i="11"/>
  <c r="AS14" i="4"/>
  <c r="W47" i="2"/>
  <c r="X49" i="2"/>
  <c r="W41" i="2"/>
  <c r="X41" i="2"/>
  <c r="Y41" i="2" s="1"/>
  <c r="AS41" i="2" s="1"/>
  <c r="X44" i="2"/>
  <c r="W42" i="2"/>
  <c r="W45" i="2"/>
  <c r="X43" i="2"/>
  <c r="X164" i="11"/>
  <c r="X10" i="11"/>
  <c r="Y10" i="11" s="1"/>
  <c r="AS10" i="11" s="1"/>
  <c r="X80" i="11"/>
  <c r="Y80" i="11" s="1"/>
  <c r="AS80" i="11" s="1"/>
  <c r="X112" i="11"/>
  <c r="Y112" i="11" s="1"/>
  <c r="AS112" i="11" s="1"/>
  <c r="X156" i="11"/>
  <c r="X23" i="11"/>
  <c r="Y23" i="11" s="1"/>
  <c r="AS23" i="11" s="1"/>
  <c r="X26" i="11"/>
  <c r="Y26" i="11" s="1"/>
  <c r="AS26" i="11" s="1"/>
  <c r="W35" i="11"/>
  <c r="X72" i="11"/>
  <c r="Y72" i="11" s="1"/>
  <c r="AS72" i="11" s="1"/>
  <c r="X155" i="11"/>
  <c r="X119" i="11"/>
  <c r="Y119" i="11" s="1"/>
  <c r="AS119" i="11" s="1"/>
  <c r="X146" i="11"/>
  <c r="X86" i="11"/>
  <c r="Y86" i="11" s="1"/>
  <c r="AS86" i="11" s="1"/>
  <c r="W9" i="11"/>
  <c r="U22" i="4"/>
  <c r="W43" i="2"/>
  <c r="W49" i="2"/>
  <c r="W26" i="11"/>
  <c r="W25" i="11"/>
  <c r="X25" i="11"/>
  <c r="Y25" i="11" s="1"/>
  <c r="AS25" i="11" s="1"/>
  <c r="X74" i="11"/>
  <c r="Y74" i="11" s="1"/>
  <c r="AS74" i="11" s="1"/>
  <c r="X139" i="11"/>
  <c r="X9" i="11"/>
  <c r="X128" i="11"/>
  <c r="X173" i="11"/>
  <c r="X91" i="11"/>
  <c r="Y91" i="11" s="1"/>
  <c r="AS91" i="11" s="1"/>
  <c r="X130" i="11"/>
  <c r="X34" i="11"/>
  <c r="Y34" i="11" s="1"/>
  <c r="AS34" i="11" s="1"/>
  <c r="X180" i="11"/>
  <c r="X188" i="11"/>
  <c r="X138" i="11"/>
  <c r="X171" i="11"/>
  <c r="X89" i="11"/>
  <c r="Y89" i="11" s="1"/>
  <c r="AS89" i="11" s="1"/>
  <c r="X11" i="11"/>
  <c r="X17" i="11"/>
  <c r="W42" i="11"/>
  <c r="X24" i="11"/>
  <c r="Y24" i="11" s="1"/>
  <c r="AS24" i="11" s="1"/>
  <c r="X98" i="11"/>
  <c r="Y98" i="11" s="1"/>
  <c r="AS98" i="11" s="1"/>
  <c r="X40" i="11"/>
  <c r="Y40" i="11" s="1"/>
  <c r="AS40" i="11" s="1"/>
  <c r="X42" i="11"/>
  <c r="Y42" i="11" s="1"/>
  <c r="AS42" i="11" s="1"/>
  <c r="X162" i="11"/>
  <c r="X187" i="11"/>
  <c r="W18" i="11"/>
  <c r="W23" i="11"/>
  <c r="W39" i="11"/>
  <c r="W40" i="11"/>
  <c r="X41" i="11"/>
  <c r="Y41" i="11" s="1"/>
  <c r="AS41" i="11" s="1"/>
  <c r="X66" i="11"/>
  <c r="Y66" i="11" s="1"/>
  <c r="AS66" i="11" s="1"/>
  <c r="X81" i="11"/>
  <c r="Y81" i="11" s="1"/>
  <c r="AS81" i="11" s="1"/>
  <c r="X82" i="11"/>
  <c r="Y82" i="11" s="1"/>
  <c r="X137" i="11"/>
  <c r="X35" i="11"/>
  <c r="Y35" i="11" s="1"/>
  <c r="AS35" i="11" s="1"/>
  <c r="X8" i="11"/>
  <c r="W17" i="11"/>
  <c r="W11" i="11"/>
  <c r="X16" i="11"/>
  <c r="Y16" i="11" s="1"/>
  <c r="AS16" i="11" s="1"/>
  <c r="W27" i="11"/>
  <c r="W34" i="11"/>
  <c r="X63" i="11"/>
  <c r="Y63" i="11" s="1"/>
  <c r="AS63" i="11" s="1"/>
  <c r="X64" i="11"/>
  <c r="Y64" i="11" s="1"/>
  <c r="AS64" i="11" s="1"/>
  <c r="X92" i="11"/>
  <c r="Y92" i="11" s="1"/>
  <c r="X107" i="11"/>
  <c r="Y107" i="11" s="1"/>
  <c r="AS107" i="11" s="1"/>
  <c r="X147" i="11"/>
  <c r="X181" i="11"/>
  <c r="X184" i="11"/>
  <c r="X190" i="11"/>
  <c r="W33" i="11"/>
  <c r="X106" i="11"/>
  <c r="Y106" i="11" s="1"/>
  <c r="AS106" i="11" s="1"/>
  <c r="X120" i="11"/>
  <c r="Y120" i="11" s="1"/>
  <c r="AS120" i="11" s="1"/>
  <c r="X136" i="11"/>
  <c r="X31" i="11"/>
  <c r="Y31" i="11" s="1"/>
  <c r="AS31" i="11" s="1"/>
  <c r="X32" i="11"/>
  <c r="Y32" i="11" s="1"/>
  <c r="AS32" i="11" s="1"/>
  <c r="W31" i="11"/>
  <c r="X90" i="11"/>
  <c r="Y90" i="11" s="1"/>
  <c r="X100" i="11"/>
  <c r="Y100" i="11" s="1"/>
  <c r="AS100" i="11" s="1"/>
  <c r="X114" i="11"/>
  <c r="Y114" i="11" s="1"/>
  <c r="AS114" i="11" s="1"/>
  <c r="X145" i="11"/>
  <c r="X27" i="11"/>
  <c r="Y27" i="11" s="1"/>
  <c r="AS27" i="11" s="1"/>
  <c r="X71" i="11"/>
  <c r="Y71" i="11" s="1"/>
  <c r="AS71" i="11" s="1"/>
  <c r="X94" i="11"/>
  <c r="Y94" i="11" s="1"/>
  <c r="AS94" i="11" s="1"/>
  <c r="X169" i="11"/>
  <c r="X189" i="11"/>
  <c r="W19" i="11"/>
  <c r="X129" i="11"/>
  <c r="X165" i="11"/>
  <c r="X163" i="11"/>
  <c r="X19" i="11"/>
  <c r="X39" i="11"/>
  <c r="Y39" i="11" s="1"/>
  <c r="AS39" i="11" s="1"/>
  <c r="AL18" i="4"/>
  <c r="AO18" i="4" s="1"/>
  <c r="AL17" i="4"/>
  <c r="X22" i="11"/>
  <c r="Y22" i="11" s="1"/>
  <c r="AS22" i="11" s="1"/>
  <c r="W22" i="11"/>
  <c r="X75" i="11"/>
  <c r="Y75" i="11" s="1"/>
  <c r="AS75" i="11" s="1"/>
  <c r="X14" i="11"/>
  <c r="Y14" i="11" s="1"/>
  <c r="AS14" i="11" s="1"/>
  <c r="W14" i="11"/>
  <c r="X96" i="11"/>
  <c r="Y96" i="11" s="1"/>
  <c r="AS96" i="11" s="1"/>
  <c r="X125" i="11"/>
  <c r="X161" i="11"/>
  <c r="X84" i="11"/>
  <c r="Y84" i="11" s="1"/>
  <c r="AS84" i="11" s="1"/>
  <c r="X76" i="11"/>
  <c r="Y76" i="11" s="1"/>
  <c r="AS76" i="11" s="1"/>
  <c r="W8" i="11"/>
  <c r="X59" i="11"/>
  <c r="Y59" i="11" s="1"/>
  <c r="AS59" i="11" s="1"/>
  <c r="X121" i="11"/>
  <c r="X158" i="11"/>
  <c r="X67" i="11"/>
  <c r="Y67" i="11" s="1"/>
  <c r="AS67" i="11" s="1"/>
  <c r="X93" i="11"/>
  <c r="Y93" i="11" s="1"/>
  <c r="AS93" i="11" s="1"/>
  <c r="W10" i="11"/>
  <c r="X15" i="11"/>
  <c r="Y15" i="11" s="1"/>
  <c r="AS15" i="11" s="1"/>
  <c r="X30" i="11"/>
  <c r="Y30" i="11" s="1"/>
  <c r="AS30" i="11" s="1"/>
  <c r="W30" i="11"/>
  <c r="X62" i="11"/>
  <c r="Y62" i="11" s="1"/>
  <c r="AS62" i="11" s="1"/>
  <c r="X68" i="11"/>
  <c r="Y68" i="11" s="1"/>
  <c r="X73" i="11"/>
  <c r="Y73" i="11" s="1"/>
  <c r="AS73" i="11" s="1"/>
  <c r="X38" i="11"/>
  <c r="Y38" i="11" s="1"/>
  <c r="AS38" i="11" s="1"/>
  <c r="W43" i="11"/>
  <c r="X43" i="11"/>
  <c r="Y43" i="11" s="1"/>
  <c r="AS43" i="11" s="1"/>
  <c r="W12" i="11"/>
  <c r="X13" i="11"/>
  <c r="Y13" i="11" s="1"/>
  <c r="AS13" i="11" s="1"/>
  <c r="W13" i="11"/>
  <c r="X21" i="11"/>
  <c r="Y21" i="11" s="1"/>
  <c r="AS21" i="11" s="1"/>
  <c r="W21" i="11"/>
  <c r="X29" i="11"/>
  <c r="Y29" i="11" s="1"/>
  <c r="AS29" i="11" s="1"/>
  <c r="W29" i="11"/>
  <c r="X37" i="11"/>
  <c r="Y37" i="11" s="1"/>
  <c r="AS37" i="11" s="1"/>
  <c r="W37" i="11"/>
  <c r="X70" i="11"/>
  <c r="Y70" i="11" s="1"/>
  <c r="AS70" i="11" s="1"/>
  <c r="X79" i="11"/>
  <c r="Y79" i="11" s="1"/>
  <c r="AS79" i="11" s="1"/>
  <c r="X123" i="11"/>
  <c r="X45" i="11"/>
  <c r="Y45" i="11" s="1"/>
  <c r="AS45" i="11" s="1"/>
  <c r="W45" i="11"/>
  <c r="X61" i="11"/>
  <c r="Y61" i="11" s="1"/>
  <c r="AS61" i="11" s="1"/>
  <c r="X78" i="11"/>
  <c r="Y78" i="11" s="1"/>
  <c r="AS78" i="11" s="1"/>
  <c r="X122" i="11"/>
  <c r="W16" i="11"/>
  <c r="W24" i="11"/>
  <c r="W32" i="11"/>
  <c r="X69" i="11"/>
  <c r="Y69" i="11" s="1"/>
  <c r="X97" i="11"/>
  <c r="Y97" i="11" s="1"/>
  <c r="AS97" i="11" s="1"/>
  <c r="X113" i="11"/>
  <c r="Y113" i="11" s="1"/>
  <c r="X116" i="11"/>
  <c r="Y116" i="11" s="1"/>
  <c r="AS116" i="11" s="1"/>
  <c r="X20" i="11"/>
  <c r="Y20" i="11" s="1"/>
  <c r="AS20" i="11" s="1"/>
  <c r="W20" i="11"/>
  <c r="X28" i="11"/>
  <c r="Y28" i="11" s="1"/>
  <c r="AS28" i="11" s="1"/>
  <c r="W28" i="11"/>
  <c r="X36" i="11"/>
  <c r="Y36" i="11" s="1"/>
  <c r="AS36" i="11" s="1"/>
  <c r="W36" i="11"/>
  <c r="X77" i="11"/>
  <c r="Y77" i="11" s="1"/>
  <c r="AS77" i="11" s="1"/>
  <c r="X101" i="11"/>
  <c r="Y101" i="11" s="1"/>
  <c r="AS101" i="11" s="1"/>
  <c r="X170" i="11"/>
  <c r="X12" i="11"/>
  <c r="Y12" i="11" s="1"/>
  <c r="AS12" i="11" s="1"/>
  <c r="X44" i="11"/>
  <c r="Y44" i="11" s="1"/>
  <c r="AS44" i="11" s="1"/>
  <c r="W44" i="11"/>
  <c r="X60" i="11"/>
  <c r="Y60" i="11" s="1"/>
  <c r="X83" i="11"/>
  <c r="Y83" i="11" s="1"/>
  <c r="AS83" i="11" s="1"/>
  <c r="X85" i="11"/>
  <c r="Y85" i="11" s="1"/>
  <c r="AS85" i="11" s="1"/>
  <c r="X87" i="11"/>
  <c r="Y87" i="11" s="1"/>
  <c r="AU87" i="11" s="1"/>
  <c r="X118" i="11"/>
  <c r="Y118" i="11" s="1"/>
  <c r="AS118" i="11" s="1"/>
  <c r="X140" i="11"/>
  <c r="X109" i="11"/>
  <c r="Y109" i="11" s="1"/>
  <c r="AS109" i="11" s="1"/>
  <c r="X115" i="11"/>
  <c r="Y115" i="11" s="1"/>
  <c r="AS115" i="11" s="1"/>
  <c r="X95" i="11"/>
  <c r="Y95" i="11" s="1"/>
  <c r="AS95" i="11" s="1"/>
  <c r="X126" i="11"/>
  <c r="X88" i="11"/>
  <c r="Y88" i="11" s="1"/>
  <c r="AS88" i="11" s="1"/>
  <c r="X99" i="11"/>
  <c r="Y99" i="11" s="1"/>
  <c r="AS99" i="11" s="1"/>
  <c r="X102" i="11"/>
  <c r="Y102" i="11" s="1"/>
  <c r="AS102" i="11" s="1"/>
  <c r="X104" i="11"/>
  <c r="Y104" i="11" s="1"/>
  <c r="AS104" i="11" s="1"/>
  <c r="X108" i="11"/>
  <c r="Y108" i="11" s="1"/>
  <c r="AS108" i="11" s="1"/>
  <c r="X111" i="11"/>
  <c r="Y111" i="11" s="1"/>
  <c r="AS111" i="11" s="1"/>
  <c r="X154" i="11"/>
  <c r="X124" i="11"/>
  <c r="X141" i="11"/>
  <c r="X179" i="11"/>
  <c r="X103" i="11"/>
  <c r="Y103" i="11" s="1"/>
  <c r="AS103" i="11" s="1"/>
  <c r="X131" i="11"/>
  <c r="X144" i="11"/>
  <c r="X148" i="11"/>
  <c r="X153" i="11"/>
  <c r="X110" i="11"/>
  <c r="Y110" i="11" s="1"/>
  <c r="X133" i="11"/>
  <c r="X149" i="11"/>
  <c r="X177" i="11"/>
  <c r="X183" i="11"/>
  <c r="X132" i="11"/>
  <c r="X157" i="11"/>
  <c r="X151" i="11"/>
  <c r="X127" i="11"/>
  <c r="X134" i="11"/>
  <c r="X135" i="11"/>
  <c r="X142" i="11"/>
  <c r="X143" i="11"/>
  <c r="X150" i="11"/>
  <c r="X172" i="11"/>
  <c r="X176" i="11"/>
  <c r="X178" i="11"/>
  <c r="X186" i="11"/>
  <c r="X167" i="11"/>
  <c r="X168" i="11"/>
  <c r="X152" i="11"/>
  <c r="X166" i="11"/>
  <c r="X175" i="11"/>
  <c r="X159" i="11"/>
  <c r="X160" i="11"/>
  <c r="X185" i="11"/>
  <c r="AU89" i="11" l="1"/>
  <c r="AP19" i="4"/>
  <c r="AP16" i="4"/>
  <c r="AS69" i="11"/>
  <c r="AS82" i="11"/>
  <c r="AU82" i="11"/>
  <c r="AU90" i="11"/>
  <c r="AS90" i="11"/>
  <c r="AP21" i="4"/>
  <c r="AP20" i="4"/>
  <c r="AV117" i="11"/>
  <c r="AV116" i="11"/>
  <c r="AS113" i="11"/>
  <c r="AS110" i="11"/>
  <c r="AV109" i="11"/>
  <c r="AV108" i="11"/>
  <c r="AV107" i="11"/>
  <c r="AV106" i="11"/>
  <c r="AV104" i="11"/>
  <c r="AV99" i="11"/>
  <c r="AV93" i="11"/>
  <c r="AS92" i="11"/>
  <c r="AV91" i="11"/>
  <c r="AU88" i="11"/>
  <c r="AV88" i="11" s="1"/>
  <c r="AS87" i="11"/>
  <c r="AV87" i="11" s="1"/>
  <c r="AU86" i="11"/>
  <c r="AV86" i="11" s="1"/>
  <c r="AU73" i="11"/>
  <c r="AV73" i="11" s="1"/>
  <c r="AU84" i="11"/>
  <c r="AS60" i="11"/>
  <c r="AU60" i="11"/>
  <c r="AU81" i="11"/>
  <c r="AU78" i="11"/>
  <c r="AV78" i="11" s="1"/>
  <c r="AU85" i="11"/>
  <c r="AU83" i="11"/>
  <c r="AU80" i="11"/>
  <c r="AV80" i="11" s="1"/>
  <c r="AU79" i="11"/>
  <c r="AV79" i="11" s="1"/>
  <c r="AU75" i="31"/>
  <c r="AT75" i="31"/>
  <c r="C77" i="31"/>
  <c r="AT76" i="31"/>
  <c r="C78" i="31"/>
  <c r="AU76" i="31"/>
  <c r="AU77" i="11"/>
  <c r="AU76" i="11"/>
  <c r="AV76" i="11" s="1"/>
  <c r="AU75" i="11"/>
  <c r="AV75" i="11" s="1"/>
  <c r="AU74" i="11"/>
  <c r="AV74" i="11" s="1"/>
  <c r="AU72" i="11"/>
  <c r="AV72" i="11" s="1"/>
  <c r="AU71" i="11"/>
  <c r="AV71" i="11" s="1"/>
  <c r="AU70" i="11"/>
  <c r="AV70" i="11" s="1"/>
  <c r="AU69" i="11"/>
  <c r="AV69" i="11" s="1"/>
  <c r="AU68" i="11"/>
  <c r="AS68" i="11"/>
  <c r="AW11" i="11"/>
  <c r="AU50" i="11"/>
  <c r="AS50" i="11"/>
  <c r="AU53" i="11"/>
  <c r="AS53" i="11"/>
  <c r="AU54" i="11"/>
  <c r="AS54" i="11"/>
  <c r="AU41" i="2"/>
  <c r="Y49" i="11"/>
  <c r="AU57" i="11"/>
  <c r="AV57" i="11" s="1"/>
  <c r="AW7" i="11"/>
  <c r="AW6" i="11"/>
  <c r="AX139" i="11"/>
  <c r="AV139" i="11"/>
  <c r="AX140" i="11"/>
  <c r="AV140" i="11"/>
  <c r="AX187" i="11"/>
  <c r="AV187" i="11"/>
  <c r="AX141" i="11"/>
  <c r="AV141" i="11"/>
  <c r="AX135" i="11"/>
  <c r="AV135" i="11"/>
  <c r="AX172" i="11"/>
  <c r="AV172" i="11"/>
  <c r="AX144" i="11"/>
  <c r="AV144" i="11"/>
  <c r="AX183" i="11"/>
  <c r="AV183" i="11"/>
  <c r="AX131" i="11"/>
  <c r="AV131" i="11"/>
  <c r="AV94" i="11"/>
  <c r="AX176" i="11"/>
  <c r="AV176" i="11"/>
  <c r="AX132" i="11"/>
  <c r="AV132" i="11"/>
  <c r="AX127" i="11"/>
  <c r="AV127" i="11"/>
  <c r="AX164" i="11"/>
  <c r="AV164" i="11"/>
  <c r="AV114" i="11"/>
  <c r="AX133" i="11"/>
  <c r="AV133" i="11"/>
  <c r="AX168" i="11"/>
  <c r="AV168" i="11"/>
  <c r="AX185" i="11"/>
  <c r="AV185" i="11"/>
  <c r="AV97" i="11"/>
  <c r="AX175" i="11"/>
  <c r="AV175" i="11"/>
  <c r="AX124" i="11"/>
  <c r="AV124" i="11"/>
  <c r="AX186" i="11"/>
  <c r="AV186" i="11"/>
  <c r="AV113" i="11"/>
  <c r="AX123" i="11"/>
  <c r="AV123" i="11"/>
  <c r="AV84" i="11"/>
  <c r="AV83" i="11"/>
  <c r="AX128" i="11"/>
  <c r="AV128" i="11"/>
  <c r="AX181" i="11"/>
  <c r="AV181" i="11"/>
  <c r="AX171" i="11"/>
  <c r="AV171" i="11"/>
  <c r="AV120" i="11"/>
  <c r="AX182" i="11"/>
  <c r="AV182" i="11"/>
  <c r="AV81" i="11"/>
  <c r="AV119" i="11"/>
  <c r="AV98" i="11"/>
  <c r="AX121" i="11"/>
  <c r="AV121" i="11"/>
  <c r="AX136" i="11"/>
  <c r="AV136" i="11"/>
  <c r="AX189" i="11"/>
  <c r="AV189" i="11"/>
  <c r="AX177" i="11"/>
  <c r="AV177" i="11"/>
  <c r="AV115" i="11"/>
  <c r="AX160" i="11"/>
  <c r="AV160" i="11"/>
  <c r="AX157" i="11"/>
  <c r="AV157" i="11"/>
  <c r="AV101" i="11"/>
  <c r="AX167" i="11"/>
  <c r="AV167" i="11"/>
  <c r="AX178" i="11"/>
  <c r="AV178" i="11"/>
  <c r="AX159" i="11"/>
  <c r="AV159" i="11"/>
  <c r="AV111" i="11"/>
  <c r="AX156" i="11"/>
  <c r="AV156" i="11"/>
  <c r="AX126" i="11"/>
  <c r="AV126" i="11"/>
  <c r="AV105" i="11"/>
  <c r="AV77" i="11"/>
  <c r="AX179" i="11"/>
  <c r="AV179" i="11"/>
  <c r="AX150" i="11"/>
  <c r="AV150" i="11"/>
  <c r="AX137" i="11"/>
  <c r="AV137" i="11"/>
  <c r="AX169" i="11"/>
  <c r="AV169" i="11"/>
  <c r="AX155" i="11"/>
  <c r="AV155" i="11"/>
  <c r="AX11" i="11"/>
  <c r="AV11" i="11"/>
  <c r="AV118" i="11"/>
  <c r="AX165" i="11"/>
  <c r="AV165" i="11"/>
  <c r="AX129" i="11"/>
  <c r="AV129" i="11"/>
  <c r="AX162" i="11"/>
  <c r="AV162" i="11"/>
  <c r="AX138" i="11"/>
  <c r="AV138" i="11"/>
  <c r="AX146" i="11"/>
  <c r="AV146" i="11"/>
  <c r="AX170" i="11"/>
  <c r="AV170" i="11"/>
  <c r="AX134" i="11"/>
  <c r="AV134" i="11"/>
  <c r="AX151" i="11"/>
  <c r="AV151" i="11"/>
  <c r="AV103" i="11"/>
  <c r="AX188" i="11"/>
  <c r="AV188" i="11"/>
  <c r="AX145" i="11"/>
  <c r="AV145" i="11"/>
  <c r="AX190" i="11"/>
  <c r="AV190" i="11"/>
  <c r="AX173" i="11"/>
  <c r="AV173" i="11"/>
  <c r="AV85" i="11"/>
  <c r="AV112" i="11"/>
  <c r="AX174" i="11"/>
  <c r="AV174" i="11"/>
  <c r="AX153" i="11"/>
  <c r="AV153" i="11"/>
  <c r="AX142" i="11"/>
  <c r="AV142" i="11"/>
  <c r="AX154" i="11"/>
  <c r="AV154" i="11"/>
  <c r="AX152" i="11"/>
  <c r="AV152" i="11"/>
  <c r="AX158" i="11"/>
  <c r="AV158" i="11"/>
  <c r="AX130" i="11"/>
  <c r="AV130" i="11"/>
  <c r="AV100" i="11"/>
  <c r="AX166" i="11"/>
  <c r="AV166" i="11"/>
  <c r="AX147" i="11"/>
  <c r="AV147" i="11"/>
  <c r="AX184" i="11"/>
  <c r="AV184" i="11"/>
  <c r="AX122" i="11"/>
  <c r="AV122" i="11"/>
  <c r="AV89" i="11"/>
  <c r="AX163" i="11"/>
  <c r="AV163" i="11"/>
  <c r="AX148" i="11"/>
  <c r="AV148" i="11"/>
  <c r="AX125" i="11"/>
  <c r="AV125" i="11"/>
  <c r="AV96" i="11"/>
  <c r="AX161" i="11"/>
  <c r="AV161" i="11"/>
  <c r="AX149" i="11"/>
  <c r="AV149" i="11"/>
  <c r="AX143" i="11"/>
  <c r="AV143" i="11"/>
  <c r="AV95" i="11"/>
  <c r="AX180" i="11"/>
  <c r="AV180" i="11"/>
  <c r="AV102" i="11"/>
  <c r="AS21" i="4"/>
  <c r="AM17" i="4"/>
  <c r="AO17" i="4"/>
  <c r="AM22" i="4"/>
  <c r="AO22" i="4"/>
  <c r="AM15" i="4"/>
  <c r="AO15" i="4"/>
  <c r="AM13" i="4"/>
  <c r="AO13" i="4"/>
  <c r="AS16" i="4"/>
  <c r="AS19" i="4"/>
  <c r="AS20" i="4"/>
  <c r="AU32" i="11"/>
  <c r="AU25" i="11"/>
  <c r="AU23" i="11"/>
  <c r="AU31" i="11"/>
  <c r="AU24" i="11"/>
  <c r="AU55" i="11"/>
  <c r="AU47" i="11"/>
  <c r="AU66" i="11"/>
  <c r="AV66" i="11" s="1"/>
  <c r="AU63" i="11"/>
  <c r="AV63" i="11" s="1"/>
  <c r="AU46" i="11"/>
  <c r="AU56" i="11"/>
  <c r="AU10" i="11"/>
  <c r="AU58" i="11"/>
  <c r="AU13" i="11"/>
  <c r="AU41" i="11"/>
  <c r="AU16" i="11"/>
  <c r="AU38" i="11"/>
  <c r="AU14" i="11"/>
  <c r="AU22" i="11"/>
  <c r="AU59" i="11"/>
  <c r="AU37" i="11"/>
  <c r="AU27" i="11"/>
  <c r="AU34" i="11"/>
  <c r="AU15" i="11"/>
  <c r="AU12" i="11"/>
  <c r="AU33" i="11"/>
  <c r="AU51" i="11"/>
  <c r="AU52" i="11"/>
  <c r="AU64" i="11"/>
  <c r="AV64" i="11" s="1"/>
  <c r="AU40" i="11"/>
  <c r="AU26" i="11"/>
  <c r="AU20" i="11"/>
  <c r="AU44" i="11"/>
  <c r="AU36" i="11"/>
  <c r="AU62" i="11"/>
  <c r="AU18" i="11"/>
  <c r="AU48" i="11"/>
  <c r="AU65" i="11"/>
  <c r="AV65" i="11" s="1"/>
  <c r="AU43" i="11"/>
  <c r="AU29" i="11"/>
  <c r="AU39" i="11"/>
  <c r="AU28" i="11"/>
  <c r="AU61" i="11"/>
  <c r="AU21" i="11"/>
  <c r="AU30" i="11"/>
  <c r="AU35" i="11"/>
  <c r="AU42" i="11"/>
  <c r="AU67" i="11"/>
  <c r="AV67" i="11" s="1"/>
  <c r="Y49" i="2"/>
  <c r="AS49" i="2" s="1"/>
  <c r="Y45" i="2"/>
  <c r="AS45" i="2" s="1"/>
  <c r="Y42" i="2"/>
  <c r="AS42" i="2" s="1"/>
  <c r="Y44" i="2"/>
  <c r="AS44" i="2" s="1"/>
  <c r="Y46" i="2"/>
  <c r="AS46" i="2" s="1"/>
  <c r="Y48" i="2"/>
  <c r="AS48" i="2" s="1"/>
  <c r="Y43" i="2"/>
  <c r="AS43" i="2" s="1"/>
  <c r="Y47" i="2"/>
  <c r="AS47" i="2" s="1"/>
  <c r="AM18" i="4"/>
  <c r="AP18" i="4" s="1"/>
  <c r="Y17" i="11"/>
  <c r="Y19" i="11"/>
  <c r="AS19" i="11" s="1"/>
  <c r="AW8" i="11"/>
  <c r="AW9" i="11"/>
  <c r="AP38"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AP106" i="2"/>
  <c r="AP107" i="2"/>
  <c r="AP108" i="2"/>
  <c r="AP109" i="2"/>
  <c r="AP110" i="2"/>
  <c r="AP111" i="2"/>
  <c r="AP112" i="2"/>
  <c r="AP113" i="2"/>
  <c r="AP114" i="2"/>
  <c r="AP115" i="2"/>
  <c r="AP116" i="2"/>
  <c r="AP117" i="2"/>
  <c r="AP118" i="2"/>
  <c r="AP119" i="2"/>
  <c r="AP120" i="2"/>
  <c r="AP121" i="2"/>
  <c r="AP122" i="2"/>
  <c r="AP123" i="2"/>
  <c r="AP124" i="2"/>
  <c r="AP125" i="2"/>
  <c r="AP126" i="2"/>
  <c r="AP127" i="2"/>
  <c r="AP128" i="2"/>
  <c r="AP129" i="2"/>
  <c r="AP130" i="2"/>
  <c r="AP131" i="2"/>
  <c r="AP132" i="2"/>
  <c r="AP133" i="2"/>
  <c r="AP134" i="2"/>
  <c r="AP135" i="2"/>
  <c r="AP136" i="2"/>
  <c r="AP137" i="2"/>
  <c r="AP138" i="2"/>
  <c r="AP139" i="2"/>
  <c r="AP140" i="2"/>
  <c r="AP141" i="2"/>
  <c r="AP142" i="2"/>
  <c r="AP143" i="2"/>
  <c r="AP144" i="2"/>
  <c r="AP145" i="2"/>
  <c r="AP146" i="2"/>
  <c r="AP147" i="2"/>
  <c r="AP148" i="2"/>
  <c r="AP149" i="2"/>
  <c r="AP150" i="2"/>
  <c r="AP151" i="2"/>
  <c r="AP152" i="2"/>
  <c r="AP153" i="2"/>
  <c r="AP154" i="2"/>
  <c r="AP155" i="2"/>
  <c r="AP156" i="2"/>
  <c r="AP157" i="2"/>
  <c r="AP158" i="2"/>
  <c r="AP159" i="2"/>
  <c r="AP160" i="2"/>
  <c r="AP161" i="2"/>
  <c r="AP162" i="2"/>
  <c r="AP163" i="2"/>
  <c r="AP164" i="2"/>
  <c r="AP165" i="2"/>
  <c r="AP166" i="2"/>
  <c r="AP167" i="2"/>
  <c r="AP168" i="2"/>
  <c r="AP169" i="2"/>
  <c r="AP170" i="2"/>
  <c r="AP171" i="2"/>
  <c r="AP172" i="2"/>
  <c r="AP173" i="2"/>
  <c r="AP174" i="2"/>
  <c r="AP175" i="2"/>
  <c r="AP176" i="2"/>
  <c r="AP177" i="2"/>
  <c r="AP178" i="2"/>
  <c r="AP179" i="2"/>
  <c r="AP180" i="2"/>
  <c r="AP181" i="2"/>
  <c r="AP32" i="2"/>
  <c r="Y6" i="2"/>
  <c r="Y7" i="2"/>
  <c r="Y8" i="2"/>
  <c r="Y9" i="2"/>
  <c r="Y10" i="2"/>
  <c r="Y11" i="2"/>
  <c r="Y12" i="2"/>
  <c r="Y13" i="2"/>
  <c r="Y14" i="2"/>
  <c r="Y1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100" i="2"/>
  <c r="J102" i="2"/>
  <c r="J105" i="2"/>
  <c r="J107" i="2"/>
  <c r="J108" i="2"/>
  <c r="J109" i="2"/>
  <c r="J110" i="2"/>
  <c r="AR110" i="2" s="1"/>
  <c r="J111" i="2"/>
  <c r="AR111" i="2" s="1"/>
  <c r="J113" i="2"/>
  <c r="AR113" i="2" s="1"/>
  <c r="J114" i="2"/>
  <c r="AR114" i="2" s="1"/>
  <c r="J115" i="2"/>
  <c r="AR115" i="2" s="1"/>
  <c r="J116" i="2"/>
  <c r="AR116" i="2" s="1"/>
  <c r="J117" i="2"/>
  <c r="AR117" i="2" s="1"/>
  <c r="J118" i="2"/>
  <c r="AR118" i="2" s="1"/>
  <c r="J119" i="2"/>
  <c r="AR119" i="2" s="1"/>
  <c r="J120" i="2"/>
  <c r="AR120" i="2" s="1"/>
  <c r="J121" i="2"/>
  <c r="AR121" i="2" s="1"/>
  <c r="J122" i="2"/>
  <c r="AR122" i="2" s="1"/>
  <c r="J123" i="2"/>
  <c r="AR123" i="2" s="1"/>
  <c r="J124" i="2"/>
  <c r="AR124" i="2" s="1"/>
  <c r="J125" i="2"/>
  <c r="AR125" i="2" s="1"/>
  <c r="J126" i="2"/>
  <c r="AR126" i="2" s="1"/>
  <c r="J127" i="2"/>
  <c r="AR127" i="2" s="1"/>
  <c r="J128" i="2"/>
  <c r="AR128" i="2" s="1"/>
  <c r="J129" i="2"/>
  <c r="AR129" i="2" s="1"/>
  <c r="J130" i="2"/>
  <c r="AR130" i="2" s="1"/>
  <c r="J131" i="2"/>
  <c r="AR131" i="2" s="1"/>
  <c r="J132" i="2"/>
  <c r="AR132" i="2" s="1"/>
  <c r="J133" i="2"/>
  <c r="AR133" i="2" s="1"/>
  <c r="J134" i="2"/>
  <c r="AR134" i="2" s="1"/>
  <c r="J135" i="2"/>
  <c r="AR135" i="2" s="1"/>
  <c r="J136" i="2"/>
  <c r="AR136" i="2" s="1"/>
  <c r="J137" i="2"/>
  <c r="AR137" i="2" s="1"/>
  <c r="J138" i="2"/>
  <c r="AR138" i="2" s="1"/>
  <c r="J139" i="2"/>
  <c r="AR139" i="2" s="1"/>
  <c r="J140" i="2"/>
  <c r="AR140" i="2" s="1"/>
  <c r="J141" i="2"/>
  <c r="AR141" i="2" s="1"/>
  <c r="J142" i="2"/>
  <c r="AR142" i="2" s="1"/>
  <c r="J143" i="2"/>
  <c r="AR143" i="2" s="1"/>
  <c r="J144" i="2"/>
  <c r="AR144" i="2" s="1"/>
  <c r="J145" i="2"/>
  <c r="AR145" i="2" s="1"/>
  <c r="J146" i="2"/>
  <c r="AR146" i="2" s="1"/>
  <c r="J147" i="2"/>
  <c r="AR147" i="2" s="1"/>
  <c r="J148" i="2"/>
  <c r="AR148" i="2" s="1"/>
  <c r="J149" i="2"/>
  <c r="AR149" i="2" s="1"/>
  <c r="J150" i="2"/>
  <c r="AR150" i="2" s="1"/>
  <c r="J151" i="2"/>
  <c r="AR151" i="2" s="1"/>
  <c r="J152" i="2"/>
  <c r="AR152" i="2" s="1"/>
  <c r="J153" i="2"/>
  <c r="AR153" i="2" s="1"/>
  <c r="J154" i="2"/>
  <c r="AR154" i="2" s="1"/>
  <c r="J155" i="2"/>
  <c r="AR155" i="2" s="1"/>
  <c r="J156" i="2"/>
  <c r="AR156" i="2" s="1"/>
  <c r="J157" i="2"/>
  <c r="AR157" i="2" s="1"/>
  <c r="J158" i="2"/>
  <c r="AR158" i="2" s="1"/>
  <c r="J159" i="2"/>
  <c r="AR159" i="2" s="1"/>
  <c r="J160" i="2"/>
  <c r="AR160" i="2" s="1"/>
  <c r="J161" i="2"/>
  <c r="AR161" i="2" s="1"/>
  <c r="J162" i="2"/>
  <c r="AR162" i="2" s="1"/>
  <c r="J163" i="2"/>
  <c r="AR163" i="2" s="1"/>
  <c r="J164" i="2"/>
  <c r="AR164" i="2" s="1"/>
  <c r="J165" i="2"/>
  <c r="AR165" i="2" s="1"/>
  <c r="J166" i="2"/>
  <c r="AR166" i="2" s="1"/>
  <c r="J167" i="2"/>
  <c r="AR167" i="2" s="1"/>
  <c r="J168" i="2"/>
  <c r="AR168" i="2" s="1"/>
  <c r="J169" i="2"/>
  <c r="AR169" i="2" s="1"/>
  <c r="J170" i="2"/>
  <c r="AR170" i="2" s="1"/>
  <c r="J171" i="2"/>
  <c r="AR171" i="2" s="1"/>
  <c r="J172" i="2"/>
  <c r="AR172" i="2" s="1"/>
  <c r="J173" i="2"/>
  <c r="AR173" i="2" s="1"/>
  <c r="J174" i="2"/>
  <c r="AR174" i="2" s="1"/>
  <c r="J175" i="2"/>
  <c r="AR175" i="2" s="1"/>
  <c r="J176" i="2"/>
  <c r="AR176" i="2" s="1"/>
  <c r="J177" i="2"/>
  <c r="AR177" i="2" s="1"/>
  <c r="J178" i="2"/>
  <c r="AR178" i="2" s="1"/>
  <c r="J179" i="2"/>
  <c r="AR179" i="2" s="1"/>
  <c r="J180" i="2"/>
  <c r="AR180" i="2" s="1"/>
  <c r="J181" i="2"/>
  <c r="AR181" i="2" s="1"/>
  <c r="J182" i="2"/>
  <c r="AR182" i="2" s="1"/>
  <c r="J183" i="2"/>
  <c r="AR183" i="2" s="1"/>
  <c r="J184" i="2"/>
  <c r="AR184" i="2" s="1"/>
  <c r="J185" i="2"/>
  <c r="AR185" i="2" s="1"/>
  <c r="J186" i="2"/>
  <c r="AR186" i="2" s="1"/>
  <c r="J187" i="2"/>
  <c r="AR187" i="2" s="1"/>
  <c r="J188" i="2"/>
  <c r="AR188" i="2" s="1"/>
  <c r="J189" i="2"/>
  <c r="AR189" i="2" s="1"/>
  <c r="J190" i="2"/>
  <c r="AR190" i="2" s="1"/>
  <c r="J191" i="2"/>
  <c r="AR191" i="2" s="1"/>
  <c r="J192" i="2"/>
  <c r="AR192" i="2" s="1"/>
  <c r="J193" i="2"/>
  <c r="AR193" i="2" s="1"/>
  <c r="J194" i="2"/>
  <c r="AR194" i="2" s="1"/>
  <c r="J195" i="2"/>
  <c r="AR195" i="2" s="1"/>
  <c r="J196" i="2"/>
  <c r="AR196" i="2" s="1"/>
  <c r="J197" i="2"/>
  <c r="AR197" i="2" s="1"/>
  <c r="J198" i="2"/>
  <c r="AR198" i="2" s="1"/>
  <c r="J199" i="2"/>
  <c r="AR199" i="2" s="1"/>
  <c r="J200" i="2"/>
  <c r="AR200" i="2" s="1"/>
  <c r="J201" i="2"/>
  <c r="AR201" i="2" s="1"/>
  <c r="J202" i="2"/>
  <c r="AR202" i="2" s="1"/>
  <c r="J203" i="2"/>
  <c r="AR203" i="2" s="1"/>
  <c r="J204" i="2"/>
  <c r="AR204" i="2" s="1"/>
  <c r="J205" i="2"/>
  <c r="AR205" i="2" s="1"/>
  <c r="J206" i="2"/>
  <c r="AR206" i="2" s="1"/>
  <c r="J207" i="2"/>
  <c r="AR207" i="2" s="1"/>
  <c r="J208" i="2"/>
  <c r="AR208" i="2" s="1"/>
  <c r="J209" i="2"/>
  <c r="AR209" i="2" s="1"/>
  <c r="J210" i="2"/>
  <c r="AR210" i="2" s="1"/>
  <c r="J211" i="2"/>
  <c r="AR211" i="2" s="1"/>
  <c r="J212" i="2"/>
  <c r="AR212" i="2" s="1"/>
  <c r="J213" i="2"/>
  <c r="AR213" i="2" s="1"/>
  <c r="J214" i="2"/>
  <c r="AR214" i="2" s="1"/>
  <c r="J215" i="2"/>
  <c r="AR215" i="2" s="1"/>
  <c r="J216" i="2"/>
  <c r="AR216" i="2" s="1"/>
  <c r="J217" i="2"/>
  <c r="AR217" i="2" s="1"/>
  <c r="J218" i="2"/>
  <c r="AR218" i="2" s="1"/>
  <c r="J219" i="2"/>
  <c r="AR219" i="2" s="1"/>
  <c r="J220" i="2"/>
  <c r="AR220" i="2" s="1"/>
  <c r="J221" i="2"/>
  <c r="AR221" i="2" s="1"/>
  <c r="J222" i="2"/>
  <c r="AR222" i="2" s="1"/>
  <c r="J223" i="2"/>
  <c r="AR223" i="2" s="1"/>
  <c r="J224" i="2"/>
  <c r="AR224" i="2" s="1"/>
  <c r="J225" i="2"/>
  <c r="AR225" i="2" s="1"/>
  <c r="J226" i="2"/>
  <c r="AR226" i="2" s="1"/>
  <c r="J227" i="2"/>
  <c r="AR227" i="2" s="1"/>
  <c r="J228" i="2"/>
  <c r="AR228" i="2" s="1"/>
  <c r="J229" i="2"/>
  <c r="AR229" i="2" s="1"/>
  <c r="J230" i="2"/>
  <c r="AR230" i="2" s="1"/>
  <c r="J231" i="2"/>
  <c r="AR231" i="2" s="1"/>
  <c r="J232" i="2"/>
  <c r="AR232" i="2" s="1"/>
  <c r="J233" i="2"/>
  <c r="AR233" i="2" s="1"/>
  <c r="J234" i="2"/>
  <c r="AR234" i="2" s="1"/>
  <c r="J39" i="2"/>
  <c r="AV82" i="11" l="1"/>
  <c r="AV90" i="11"/>
  <c r="AV68" i="11"/>
  <c r="AV50" i="11"/>
  <c r="AP22" i="4"/>
  <c r="AP13" i="4"/>
  <c r="AS15" i="4"/>
  <c r="AP15" i="4"/>
  <c r="AS17" i="4"/>
  <c r="AP17" i="4"/>
  <c r="AS155" i="2"/>
  <c r="AS142" i="2"/>
  <c r="AS141" i="2"/>
  <c r="AV92" i="11"/>
  <c r="AV110" i="11"/>
  <c r="AS2" i="4"/>
  <c r="AV60" i="11"/>
  <c r="C80" i="31"/>
  <c r="AU78" i="31"/>
  <c r="AT78" i="31"/>
  <c r="AT77" i="31"/>
  <c r="C79" i="31"/>
  <c r="AU77" i="31"/>
  <c r="AV53" i="11"/>
  <c r="AV54" i="11"/>
  <c r="Y1" i="11" a="1"/>
  <c r="Y1" i="11" s="1"/>
  <c r="AS17" i="11"/>
  <c r="AU49" i="11"/>
  <c r="AS49" i="11"/>
  <c r="J1" i="2" a="1"/>
  <c r="J1" i="2" s="1"/>
  <c r="AV30" i="11"/>
  <c r="AV43" i="11"/>
  <c r="AV33" i="11"/>
  <c r="AV37" i="11"/>
  <c r="AV25" i="11"/>
  <c r="AV41" i="11"/>
  <c r="AV59" i="11"/>
  <c r="AV21" i="11"/>
  <c r="AV13" i="11"/>
  <c r="AV12" i="11"/>
  <c r="AV47" i="11"/>
  <c r="AV32" i="11"/>
  <c r="AV52" i="11"/>
  <c r="AV14" i="11"/>
  <c r="AV39" i="11"/>
  <c r="AV62" i="11"/>
  <c r="AV15" i="11"/>
  <c r="AV28" i="11"/>
  <c r="AW14" i="11"/>
  <c r="AV24" i="11"/>
  <c r="AV42" i="11"/>
  <c r="AV34" i="11"/>
  <c r="AV38" i="11"/>
  <c r="AV56" i="11"/>
  <c r="AV31" i="11"/>
  <c r="AV35" i="11"/>
  <c r="AV29" i="11"/>
  <c r="AV27" i="11"/>
  <c r="AV16" i="11"/>
  <c r="AV46" i="11"/>
  <c r="AV23" i="11"/>
  <c r="AV36" i="11"/>
  <c r="AV51" i="11"/>
  <c r="AV44" i="11"/>
  <c r="AW12" i="11"/>
  <c r="AV20" i="11"/>
  <c r="AV61" i="11"/>
  <c r="AV58" i="11"/>
  <c r="AW13" i="11"/>
  <c r="AV48" i="11"/>
  <c r="AV26" i="11"/>
  <c r="AV22" i="11"/>
  <c r="AV55" i="11"/>
  <c r="AV18" i="11"/>
  <c r="AV40" i="11"/>
  <c r="AW10" i="11"/>
  <c r="AV10" i="11"/>
  <c r="AU45" i="2"/>
  <c r="AU49" i="2"/>
  <c r="AU47" i="2"/>
  <c r="AU43" i="2"/>
  <c r="AU48" i="2"/>
  <c r="AU46" i="2"/>
  <c r="AU44" i="2"/>
  <c r="AU42" i="2"/>
  <c r="AS18" i="4"/>
  <c r="AU17" i="11"/>
  <c r="AU45" i="11"/>
  <c r="AU19" i="11"/>
  <c r="AW15" i="11"/>
  <c r="AW16" i="11"/>
  <c r="AR109" i="2"/>
  <c r="AR108" i="2"/>
  <c r="AV49" i="11" l="1"/>
  <c r="AW120" i="11"/>
  <c r="AW60" i="11"/>
  <c r="C81" i="31"/>
  <c r="AU79" i="31"/>
  <c r="AT79" i="31"/>
  <c r="AT80" i="31"/>
  <c r="AU80" i="31"/>
  <c r="C82" i="31"/>
  <c r="AS1" i="11" a="1"/>
  <c r="AS1" i="11" s="1"/>
  <c r="AV17" i="11"/>
  <c r="AW116" i="11"/>
  <c r="AW30" i="11"/>
  <c r="AW77" i="11"/>
  <c r="AW108" i="11"/>
  <c r="AW50" i="11"/>
  <c r="AW89" i="11"/>
  <c r="AW38" i="11"/>
  <c r="AW81" i="11"/>
  <c r="AW93" i="11"/>
  <c r="AW27" i="11"/>
  <c r="AW79" i="11"/>
  <c r="AW78" i="11"/>
  <c r="AW88" i="11"/>
  <c r="AW71" i="11"/>
  <c r="AW82" i="11"/>
  <c r="AW58" i="11"/>
  <c r="AW68" i="11"/>
  <c r="AW57" i="11"/>
  <c r="AW54" i="11"/>
  <c r="AW99" i="11"/>
  <c r="AW44" i="11"/>
  <c r="AW33" i="11"/>
  <c r="AW37" i="11"/>
  <c r="AW64" i="11"/>
  <c r="AW107" i="11"/>
  <c r="AW66" i="11"/>
  <c r="AW117" i="11"/>
  <c r="AW53" i="11"/>
  <c r="AV45" i="11"/>
  <c r="AW48" i="11"/>
  <c r="AW42" i="11"/>
  <c r="AW97" i="11"/>
  <c r="AW49" i="11"/>
  <c r="AW35" i="11"/>
  <c r="AW47" i="11"/>
  <c r="AW23" i="11"/>
  <c r="AW76" i="11"/>
  <c r="AW65" i="11"/>
  <c r="AW46" i="11"/>
  <c r="AW101" i="11"/>
  <c r="AW114" i="11"/>
  <c r="AW119" i="11"/>
  <c r="AW63" i="11"/>
  <c r="AW21" i="11"/>
  <c r="AW110" i="11"/>
  <c r="AW73" i="11"/>
  <c r="AW72" i="11"/>
  <c r="AW18" i="11"/>
  <c r="AW115" i="11"/>
  <c r="AW83" i="11"/>
  <c r="AW87" i="11"/>
  <c r="AW26" i="11"/>
  <c r="AW28" i="11"/>
  <c r="AW70" i="11"/>
  <c r="AW43" i="11"/>
  <c r="AW55" i="11"/>
  <c r="AW85" i="11"/>
  <c r="AV19" i="11"/>
  <c r="AW84" i="11"/>
  <c r="AW113" i="11"/>
  <c r="AW17" i="11"/>
  <c r="AW51" i="11"/>
  <c r="AW32" i="11"/>
  <c r="AW67" i="11"/>
  <c r="AW34" i="11"/>
  <c r="AW104" i="11"/>
  <c r="AW36" i="11"/>
  <c r="AW96" i="11"/>
  <c r="AW19" i="11"/>
  <c r="AW86" i="11"/>
  <c r="AW94" i="11"/>
  <c r="AW111" i="11"/>
  <c r="AW103" i="11"/>
  <c r="AW118" i="11"/>
  <c r="AW105" i="11"/>
  <c r="AW40" i="11"/>
  <c r="AW56" i="11"/>
  <c r="AW22" i="11"/>
  <c r="AW25" i="11"/>
  <c r="AW41" i="11"/>
  <c r="AW112" i="11"/>
  <c r="AW29" i="11"/>
  <c r="AW90" i="11"/>
  <c r="AW20" i="11"/>
  <c r="AW100" i="11"/>
  <c r="AW95" i="11"/>
  <c r="AW45" i="11"/>
  <c r="AW39" i="11"/>
  <c r="AW75" i="11"/>
  <c r="AW62" i="11"/>
  <c r="AW24" i="11"/>
  <c r="AW102" i="11"/>
  <c r="AW109" i="11"/>
  <c r="AW74" i="11"/>
  <c r="AW59" i="11"/>
  <c r="AW91" i="11"/>
  <c r="AW80" i="11"/>
  <c r="AW69" i="11"/>
  <c r="AW98" i="11"/>
  <c r="AW92" i="11"/>
  <c r="AW61" i="11"/>
  <c r="AW106" i="11"/>
  <c r="AW31" i="11"/>
  <c r="AW52" i="11"/>
  <c r="C72" i="7"/>
  <c r="C71" i="7"/>
  <c r="EW67" i="7"/>
  <c r="EV67" i="7"/>
  <c r="EU67" i="7"/>
  <c r="ET67" i="7"/>
  <c r="ES67" i="7"/>
  <c r="ER67" i="7"/>
  <c r="EQ67" i="7"/>
  <c r="EP67" i="7"/>
  <c r="EO67" i="7"/>
  <c r="EN67" i="7"/>
  <c r="EM67" i="7"/>
  <c r="EL67" i="7"/>
  <c r="EK67" i="7"/>
  <c r="EJ67" i="7"/>
  <c r="EI67" i="7"/>
  <c r="EH67" i="7"/>
  <c r="EG67" i="7"/>
  <c r="EF67" i="7"/>
  <c r="EE67" i="7"/>
  <c r="ED67" i="7"/>
  <c r="EC67" i="7"/>
  <c r="EB67" i="7"/>
  <c r="EA67" i="7"/>
  <c r="DZ67" i="7"/>
  <c r="DY67" i="7"/>
  <c r="DX67" i="7"/>
  <c r="DW67" i="7"/>
  <c r="DV67" i="7"/>
  <c r="DU67" i="7"/>
  <c r="DT67" i="7"/>
  <c r="DS67" i="7"/>
  <c r="DR67" i="7"/>
  <c r="DQ67" i="7"/>
  <c r="DP67" i="7"/>
  <c r="DO67" i="7"/>
  <c r="DN67" i="7"/>
  <c r="DM67" i="7"/>
  <c r="DL67" i="7"/>
  <c r="DK67" i="7"/>
  <c r="DJ67" i="7"/>
  <c r="DI67" i="7"/>
  <c r="DH67" i="7"/>
  <c r="DG67" i="7"/>
  <c r="DF67" i="7"/>
  <c r="DE67" i="7"/>
  <c r="DD67" i="7"/>
  <c r="DC67" i="7"/>
  <c r="DB67" i="7"/>
  <c r="DA67" i="7"/>
  <c r="CZ67" i="7"/>
  <c r="CY67" i="7"/>
  <c r="CX67" i="7"/>
  <c r="CW67" i="7"/>
  <c r="CV67" i="7"/>
  <c r="CU67" i="7"/>
  <c r="CT67" i="7"/>
  <c r="CS67" i="7"/>
  <c r="CQ67" i="7"/>
  <c r="CO67" i="7"/>
  <c r="CN67" i="7"/>
  <c r="CM67" i="7"/>
  <c r="CL67" i="7"/>
  <c r="CK67" i="7"/>
  <c r="CJ67" i="7"/>
  <c r="CI67" i="7"/>
  <c r="CH67" i="7"/>
  <c r="CG67" i="7"/>
  <c r="CF67" i="7"/>
  <c r="CE67" i="7"/>
  <c r="CD67" i="7"/>
  <c r="CC67" i="7"/>
  <c r="CB67" i="7"/>
  <c r="CA67" i="7"/>
  <c r="BZ67" i="7"/>
  <c r="BY67" i="7"/>
  <c r="BX67" i="7"/>
  <c r="BW67" i="7"/>
  <c r="BV67" i="7"/>
  <c r="BU67" i="7"/>
  <c r="BT67" i="7"/>
  <c r="BS67" i="7"/>
  <c r="BR67" i="7"/>
  <c r="BQ67" i="7"/>
  <c r="BP67" i="7"/>
  <c r="BO67" i="7"/>
  <c r="BN67" i="7"/>
  <c r="BM67" i="7"/>
  <c r="BL67" i="7"/>
  <c r="BK67" i="7"/>
  <c r="BJ67" i="7"/>
  <c r="BI67" i="7"/>
  <c r="BH67" i="7"/>
  <c r="BG67" i="7"/>
  <c r="BF67" i="7"/>
  <c r="BE67" i="7"/>
  <c r="BD67" i="7"/>
  <c r="BC67" i="7"/>
  <c r="BB67" i="7"/>
  <c r="BA67" i="7"/>
  <c r="AZ67" i="7"/>
  <c r="AY67" i="7"/>
  <c r="AX67" i="7"/>
  <c r="AW67" i="7"/>
  <c r="AV67" i="7"/>
  <c r="EW66" i="7"/>
  <c r="EV66" i="7"/>
  <c r="EU66" i="7"/>
  <c r="ET66" i="7"/>
  <c r="ES66" i="7"/>
  <c r="ER66" i="7"/>
  <c r="EQ66" i="7"/>
  <c r="EP66" i="7"/>
  <c r="EO66" i="7"/>
  <c r="EN66" i="7"/>
  <c r="EM66" i="7"/>
  <c r="EL66" i="7"/>
  <c r="EK66" i="7"/>
  <c r="EJ66" i="7"/>
  <c r="EI66" i="7"/>
  <c r="EH66" i="7"/>
  <c r="EG66" i="7"/>
  <c r="EF66" i="7"/>
  <c r="EE66" i="7"/>
  <c r="ED66" i="7"/>
  <c r="EC66" i="7"/>
  <c r="EB66" i="7"/>
  <c r="EA66" i="7"/>
  <c r="DZ66" i="7"/>
  <c r="DY66" i="7"/>
  <c r="DX66" i="7"/>
  <c r="DW66" i="7"/>
  <c r="DV66" i="7"/>
  <c r="DU66" i="7"/>
  <c r="DT66" i="7"/>
  <c r="DS66" i="7"/>
  <c r="DR66" i="7"/>
  <c r="DQ66" i="7"/>
  <c r="DP66" i="7"/>
  <c r="DO66" i="7"/>
  <c r="DN66" i="7"/>
  <c r="DM66" i="7"/>
  <c r="DL66" i="7"/>
  <c r="DK66" i="7"/>
  <c r="DJ66" i="7"/>
  <c r="DI66" i="7"/>
  <c r="DH66" i="7"/>
  <c r="DG66" i="7"/>
  <c r="DF66" i="7"/>
  <c r="DE66" i="7"/>
  <c r="DD66" i="7"/>
  <c r="DC66" i="7"/>
  <c r="DB66" i="7"/>
  <c r="DA66" i="7"/>
  <c r="CZ66" i="7"/>
  <c r="CY66" i="7"/>
  <c r="CX66" i="7"/>
  <c r="CW66" i="7"/>
  <c r="CV66" i="7"/>
  <c r="CU66" i="7"/>
  <c r="CT66" i="7"/>
  <c r="CS66" i="7"/>
  <c r="CQ66" i="7"/>
  <c r="CO66" i="7"/>
  <c r="CN66" i="7"/>
  <c r="CM66" i="7"/>
  <c r="CL66" i="7"/>
  <c r="CK66" i="7"/>
  <c r="CJ66" i="7"/>
  <c r="CI66" i="7"/>
  <c r="CH66" i="7"/>
  <c r="CG66" i="7"/>
  <c r="CF66" i="7"/>
  <c r="CE66" i="7"/>
  <c r="CD66" i="7"/>
  <c r="CC66" i="7"/>
  <c r="CB66" i="7"/>
  <c r="CA66" i="7"/>
  <c r="BZ66" i="7"/>
  <c r="BY66" i="7"/>
  <c r="BX66" i="7"/>
  <c r="BW66" i="7"/>
  <c r="BV66" i="7"/>
  <c r="BU66" i="7"/>
  <c r="BT66" i="7"/>
  <c r="BS66" i="7"/>
  <c r="BR66" i="7"/>
  <c r="BQ66" i="7"/>
  <c r="BP66" i="7"/>
  <c r="BO66" i="7"/>
  <c r="BN66" i="7"/>
  <c r="BM66" i="7"/>
  <c r="BL66" i="7"/>
  <c r="BK66" i="7"/>
  <c r="BJ66" i="7"/>
  <c r="BI66" i="7"/>
  <c r="BH66" i="7"/>
  <c r="BG66" i="7"/>
  <c r="BF66" i="7"/>
  <c r="BE66" i="7"/>
  <c r="BD66" i="7"/>
  <c r="BC66" i="7"/>
  <c r="BB66" i="7"/>
  <c r="BA66" i="7"/>
  <c r="AZ66" i="7"/>
  <c r="AY66" i="7"/>
  <c r="AX66" i="7"/>
  <c r="AW66" i="7"/>
  <c r="AV66" i="7"/>
  <c r="EW63" i="7"/>
  <c r="EV63" i="7"/>
  <c r="EU63" i="7"/>
  <c r="ET63" i="7"/>
  <c r="ES63" i="7"/>
  <c r="ER63" i="7"/>
  <c r="EQ63" i="7"/>
  <c r="EP63" i="7"/>
  <c r="EO63" i="7"/>
  <c r="EN63" i="7"/>
  <c r="EM63" i="7"/>
  <c r="EL63" i="7"/>
  <c r="EK63" i="7"/>
  <c r="EJ63" i="7"/>
  <c r="EI63" i="7"/>
  <c r="EH63" i="7"/>
  <c r="EG63" i="7"/>
  <c r="EF63" i="7"/>
  <c r="EE63" i="7"/>
  <c r="ED63" i="7"/>
  <c r="EC63" i="7"/>
  <c r="EB63" i="7"/>
  <c r="EA63" i="7"/>
  <c r="DZ63" i="7"/>
  <c r="DY63" i="7"/>
  <c r="DX63" i="7"/>
  <c r="DW63" i="7"/>
  <c r="DV63" i="7"/>
  <c r="DU63" i="7"/>
  <c r="DT63" i="7"/>
  <c r="DS63" i="7"/>
  <c r="DR63" i="7"/>
  <c r="DQ63" i="7"/>
  <c r="DP63" i="7"/>
  <c r="DO63" i="7"/>
  <c r="DN63" i="7"/>
  <c r="DM63" i="7"/>
  <c r="DL63" i="7"/>
  <c r="DK63" i="7"/>
  <c r="DJ63" i="7"/>
  <c r="DI63" i="7"/>
  <c r="DH63" i="7"/>
  <c r="DG63" i="7"/>
  <c r="DF63" i="7"/>
  <c r="DE63" i="7"/>
  <c r="DD63" i="7"/>
  <c r="DC63" i="7"/>
  <c r="DB63" i="7"/>
  <c r="DA63" i="7"/>
  <c r="CZ63" i="7"/>
  <c r="CY63" i="7"/>
  <c r="CX63" i="7"/>
  <c r="CW63" i="7"/>
  <c r="CV63" i="7"/>
  <c r="CU63" i="7"/>
  <c r="CT63" i="7"/>
  <c r="CS63" i="7"/>
  <c r="CR63" i="7"/>
  <c r="CQ63" i="7"/>
  <c r="CP63" i="7"/>
  <c r="CO63" i="7"/>
  <c r="CN63" i="7"/>
  <c r="CM63" i="7"/>
  <c r="CL63" i="7"/>
  <c r="CK63" i="7"/>
  <c r="CJ63" i="7"/>
  <c r="CI63" i="7"/>
  <c r="CH63" i="7"/>
  <c r="CG63" i="7"/>
  <c r="CF63" i="7"/>
  <c r="CE63" i="7"/>
  <c r="CD63" i="7"/>
  <c r="CC63" i="7"/>
  <c r="CB63" i="7"/>
  <c r="CA63" i="7"/>
  <c r="BZ63" i="7"/>
  <c r="BY63" i="7"/>
  <c r="BX63" i="7"/>
  <c r="BW63" i="7"/>
  <c r="BV63" i="7"/>
  <c r="BU63" i="7"/>
  <c r="BT63" i="7"/>
  <c r="BS63" i="7"/>
  <c r="BR63" i="7"/>
  <c r="BQ63" i="7"/>
  <c r="BP63" i="7"/>
  <c r="BO63" i="7"/>
  <c r="BN63" i="7"/>
  <c r="BM63" i="7"/>
  <c r="BL63" i="7"/>
  <c r="BK63" i="7"/>
  <c r="BJ63" i="7"/>
  <c r="BI63" i="7"/>
  <c r="BH63" i="7"/>
  <c r="BG63" i="7"/>
  <c r="BF63" i="7"/>
  <c r="BE63" i="7"/>
  <c r="BD63" i="7"/>
  <c r="BC63" i="7"/>
  <c r="BB63" i="7"/>
  <c r="BA63" i="7"/>
  <c r="AZ63" i="7"/>
  <c r="AY63" i="7"/>
  <c r="AX63" i="7"/>
  <c r="AW63" i="7"/>
  <c r="AV63" i="7"/>
  <c r="EW62" i="7"/>
  <c r="EV62" i="7"/>
  <c r="EU62" i="7"/>
  <c r="ET62" i="7"/>
  <c r="ES62" i="7"/>
  <c r="ER62" i="7"/>
  <c r="EQ62" i="7"/>
  <c r="EP62" i="7"/>
  <c r="EO62" i="7"/>
  <c r="EN62" i="7"/>
  <c r="EM62" i="7"/>
  <c r="EL62" i="7"/>
  <c r="EK62" i="7"/>
  <c r="EJ62" i="7"/>
  <c r="EI62" i="7"/>
  <c r="EH62" i="7"/>
  <c r="EG62" i="7"/>
  <c r="EF62" i="7"/>
  <c r="EE62" i="7"/>
  <c r="ED62" i="7"/>
  <c r="EC62" i="7"/>
  <c r="EB62" i="7"/>
  <c r="EA62" i="7"/>
  <c r="DZ62" i="7"/>
  <c r="DY62" i="7"/>
  <c r="DX62" i="7"/>
  <c r="DW62" i="7"/>
  <c r="DV62" i="7"/>
  <c r="DU62" i="7"/>
  <c r="DT62" i="7"/>
  <c r="DS62" i="7"/>
  <c r="DR62" i="7"/>
  <c r="DQ62" i="7"/>
  <c r="DP62" i="7"/>
  <c r="DO62" i="7"/>
  <c r="DN62" i="7"/>
  <c r="DM62" i="7"/>
  <c r="DL62" i="7"/>
  <c r="DK62" i="7"/>
  <c r="DJ62" i="7"/>
  <c r="DI62" i="7"/>
  <c r="DH62" i="7"/>
  <c r="DG62" i="7"/>
  <c r="DF62" i="7"/>
  <c r="DE62" i="7"/>
  <c r="DD62" i="7"/>
  <c r="DC62" i="7"/>
  <c r="DB62" i="7"/>
  <c r="DA62" i="7"/>
  <c r="CZ62" i="7"/>
  <c r="CY62" i="7"/>
  <c r="CX62" i="7"/>
  <c r="CW62" i="7"/>
  <c r="CV62" i="7"/>
  <c r="CU62" i="7"/>
  <c r="CT62" i="7"/>
  <c r="CS62" i="7"/>
  <c r="CR62" i="7"/>
  <c r="CQ62" i="7"/>
  <c r="CP62" i="7"/>
  <c r="CO62" i="7"/>
  <c r="CN62" i="7"/>
  <c r="CM62" i="7"/>
  <c r="CL62" i="7"/>
  <c r="CK62" i="7"/>
  <c r="CJ62" i="7"/>
  <c r="CI62" i="7"/>
  <c r="CH62" i="7"/>
  <c r="CG62" i="7"/>
  <c r="CF62" i="7"/>
  <c r="CE62" i="7"/>
  <c r="CD62" i="7"/>
  <c r="CC62" i="7"/>
  <c r="CB62" i="7"/>
  <c r="CA62" i="7"/>
  <c r="BZ62" i="7"/>
  <c r="BY62" i="7"/>
  <c r="BX62" i="7"/>
  <c r="BW62" i="7"/>
  <c r="BV62" i="7"/>
  <c r="BU62" i="7"/>
  <c r="BT62" i="7"/>
  <c r="BS62" i="7"/>
  <c r="BR62" i="7"/>
  <c r="BQ62" i="7"/>
  <c r="BP62" i="7"/>
  <c r="BO62" i="7"/>
  <c r="BN62" i="7"/>
  <c r="BM62" i="7"/>
  <c r="BL62" i="7"/>
  <c r="BK62" i="7"/>
  <c r="BJ62" i="7"/>
  <c r="BI62" i="7"/>
  <c r="BH62" i="7"/>
  <c r="BG62" i="7"/>
  <c r="BF62" i="7"/>
  <c r="BE62" i="7"/>
  <c r="BD62" i="7"/>
  <c r="BC62" i="7"/>
  <c r="BB62" i="7"/>
  <c r="BA62" i="7"/>
  <c r="AZ62" i="7"/>
  <c r="AY62" i="7"/>
  <c r="AX62" i="7"/>
  <c r="AW62" i="7"/>
  <c r="AV62" i="7"/>
  <c r="C60" i="7"/>
  <c r="A60" i="7" s="1"/>
  <c r="C44" i="7"/>
  <c r="A44" i="7" s="1"/>
  <c r="C36" i="7"/>
  <c r="A36" i="7" s="1"/>
  <c r="EU32" i="7"/>
  <c r="ET32" i="7"/>
  <c r="ES32" i="7"/>
  <c r="ER32" i="7"/>
  <c r="EQ32" i="7"/>
  <c r="EP32" i="7"/>
  <c r="EO32" i="7"/>
  <c r="EN32" i="7"/>
  <c r="EM32" i="7"/>
  <c r="EL32" i="7"/>
  <c r="EK32" i="7"/>
  <c r="EJ32" i="7"/>
  <c r="EI32" i="7"/>
  <c r="EH32" i="7"/>
  <c r="EG32" i="7"/>
  <c r="EF32" i="7"/>
  <c r="EE32" i="7"/>
  <c r="ED32" i="7"/>
  <c r="EC32" i="7"/>
  <c r="EB32" i="7"/>
  <c r="EA32" i="7"/>
  <c r="DZ32" i="7"/>
  <c r="DY32" i="7"/>
  <c r="DX32" i="7"/>
  <c r="DW32" i="7"/>
  <c r="DV32" i="7"/>
  <c r="DU32" i="7"/>
  <c r="DT32" i="7"/>
  <c r="DS32" i="7"/>
  <c r="DR32" i="7"/>
  <c r="DQ32" i="7"/>
  <c r="DP32" i="7"/>
  <c r="DO32" i="7"/>
  <c r="DN32" i="7"/>
  <c r="DM32" i="7"/>
  <c r="DL32" i="7"/>
  <c r="DK32" i="7"/>
  <c r="DJ32" i="7"/>
  <c r="DI32" i="7"/>
  <c r="DH32" i="7"/>
  <c r="DG32" i="7"/>
  <c r="DF32" i="7"/>
  <c r="DE32" i="7"/>
  <c r="DD32" i="7"/>
  <c r="DC32" i="7"/>
  <c r="DB32" i="7"/>
  <c r="DA32" i="7"/>
  <c r="CZ32" i="7"/>
  <c r="CY32" i="7"/>
  <c r="CX32" i="7"/>
  <c r="CW32" i="7"/>
  <c r="CV32" i="7"/>
  <c r="CU32" i="7"/>
  <c r="CT32" i="7"/>
  <c r="CS32" i="7"/>
  <c r="CR32" i="7"/>
  <c r="CQ32" i="7"/>
  <c r="CP32" i="7"/>
  <c r="CO32" i="7"/>
  <c r="CN32" i="7"/>
  <c r="CM32" i="7"/>
  <c r="CL32" i="7"/>
  <c r="CK32" i="7"/>
  <c r="CJ32" i="7"/>
  <c r="CI32" i="7"/>
  <c r="CH32" i="7"/>
  <c r="CG32" i="7"/>
  <c r="CF32" i="7"/>
  <c r="CE32" i="7"/>
  <c r="CD32" i="7"/>
  <c r="CC32" i="7"/>
  <c r="CB32" i="7"/>
  <c r="CA32" i="7"/>
  <c r="BZ32" i="7"/>
  <c r="BY32" i="7"/>
  <c r="BX32" i="7"/>
  <c r="BW32" i="7"/>
  <c r="BV32" i="7"/>
  <c r="BU32" i="7"/>
  <c r="BT32" i="7"/>
  <c r="BS32" i="7"/>
  <c r="BR32" i="7"/>
  <c r="BQ32" i="7"/>
  <c r="BP32" i="7"/>
  <c r="BO32" i="7"/>
  <c r="BN32" i="7"/>
  <c r="BM32" i="7"/>
  <c r="BL32" i="7"/>
  <c r="BK32" i="7"/>
  <c r="BJ32" i="7"/>
  <c r="BI32" i="7"/>
  <c r="BI33" i="7" s="1"/>
  <c r="C30" i="7"/>
  <c r="B30" i="7"/>
  <c r="C28" i="7"/>
  <c r="A28" i="7" s="1"/>
  <c r="ES24" i="7"/>
  <c r="ER24" i="7"/>
  <c r="EQ24" i="7"/>
  <c r="EP24" i="7"/>
  <c r="EO24" i="7"/>
  <c r="EN24" i="7"/>
  <c r="EM24" i="7"/>
  <c r="EL24" i="7"/>
  <c r="EK24" i="7"/>
  <c r="EJ24" i="7"/>
  <c r="EI24" i="7"/>
  <c r="EH24" i="7"/>
  <c r="EG24" i="7"/>
  <c r="EF24" i="7"/>
  <c r="EE24" i="7"/>
  <c r="ED24" i="7"/>
  <c r="EC24" i="7"/>
  <c r="EB24" i="7"/>
  <c r="EA24" i="7"/>
  <c r="DZ24" i="7"/>
  <c r="DY24" i="7"/>
  <c r="DX24" i="7"/>
  <c r="DW24" i="7"/>
  <c r="DV24" i="7"/>
  <c r="DU24" i="7"/>
  <c r="DT24" i="7"/>
  <c r="DS24" i="7"/>
  <c r="DR24" i="7"/>
  <c r="DQ24" i="7"/>
  <c r="DP24" i="7"/>
  <c r="DO24" i="7"/>
  <c r="DN24" i="7"/>
  <c r="DM24" i="7"/>
  <c r="DL24" i="7"/>
  <c r="DK24" i="7"/>
  <c r="DJ24" i="7"/>
  <c r="DI24" i="7"/>
  <c r="DH24" i="7"/>
  <c r="DG24" i="7"/>
  <c r="DF24" i="7"/>
  <c r="DE24" i="7"/>
  <c r="DD24" i="7"/>
  <c r="DC24" i="7"/>
  <c r="DB24" i="7"/>
  <c r="DA24" i="7"/>
  <c r="CZ24" i="7"/>
  <c r="CY24" i="7"/>
  <c r="CX24" i="7"/>
  <c r="CW24" i="7"/>
  <c r="CV24" i="7"/>
  <c r="CU24" i="7"/>
  <c r="CT24" i="7"/>
  <c r="CS24" i="7"/>
  <c r="CQ24" i="7"/>
  <c r="CP24" i="7"/>
  <c r="CO24" i="7"/>
  <c r="CN24" i="7"/>
  <c r="CM24" i="7"/>
  <c r="CL24" i="7"/>
  <c r="CK24" i="7"/>
  <c r="CJ24" i="7"/>
  <c r="CI24" i="7"/>
  <c r="CH24" i="7"/>
  <c r="CG24" i="7"/>
  <c r="CF24" i="7"/>
  <c r="CE24" i="7"/>
  <c r="CD24" i="7"/>
  <c r="CC24" i="7"/>
  <c r="CB24" i="7"/>
  <c r="CA24" i="7"/>
  <c r="BZ24" i="7"/>
  <c r="BY24" i="7"/>
  <c r="BX24" i="7"/>
  <c r="BW24" i="7"/>
  <c r="BV24" i="7"/>
  <c r="BU24" i="7"/>
  <c r="BT24" i="7"/>
  <c r="BS24" i="7"/>
  <c r="BR24" i="7"/>
  <c r="BQ24" i="7"/>
  <c r="BP24" i="7"/>
  <c r="BO24" i="7"/>
  <c r="BN24" i="7"/>
  <c r="BM24" i="7"/>
  <c r="BL24" i="7"/>
  <c r="BK24" i="7"/>
  <c r="BJ24" i="7"/>
  <c r="BI24" i="7"/>
  <c r="BH24" i="7"/>
  <c r="BG24" i="7"/>
  <c r="BF24" i="7"/>
  <c r="BE24" i="7"/>
  <c r="BD24" i="7"/>
  <c r="BC24" i="7"/>
  <c r="BC25" i="7" s="1"/>
  <c r="C22" i="7"/>
  <c r="B22" i="7"/>
  <c r="C20" i="7"/>
  <c r="A20" i="7" s="1"/>
  <c r="EW16" i="7"/>
  <c r="EV16" i="7"/>
  <c r="EU16" i="7"/>
  <c r="ET16" i="7"/>
  <c r="ES16" i="7"/>
  <c r="ER16" i="7"/>
  <c r="EQ16" i="7"/>
  <c r="EP16" i="7"/>
  <c r="EO16" i="7"/>
  <c r="EN16" i="7"/>
  <c r="EM16" i="7"/>
  <c r="EL16" i="7"/>
  <c r="EK16" i="7"/>
  <c r="EJ16" i="7"/>
  <c r="EI16" i="7"/>
  <c r="EH16" i="7"/>
  <c r="EG16" i="7"/>
  <c r="EF16" i="7"/>
  <c r="EE16" i="7"/>
  <c r="ED16" i="7"/>
  <c r="EC16" i="7"/>
  <c r="EB16" i="7"/>
  <c r="EA16" i="7"/>
  <c r="DZ16" i="7"/>
  <c r="DY16" i="7"/>
  <c r="DX16" i="7"/>
  <c r="DW16" i="7"/>
  <c r="DV16" i="7"/>
  <c r="DU16" i="7"/>
  <c r="DT16" i="7"/>
  <c r="DS16" i="7"/>
  <c r="DR16" i="7"/>
  <c r="DQ16" i="7"/>
  <c r="DP16" i="7"/>
  <c r="DO16" i="7"/>
  <c r="DN16" i="7"/>
  <c r="DM16" i="7"/>
  <c r="DL16" i="7"/>
  <c r="DK16" i="7"/>
  <c r="DJ16" i="7"/>
  <c r="DI16" i="7"/>
  <c r="DH16" i="7"/>
  <c r="DG16" i="7"/>
  <c r="DF16" i="7"/>
  <c r="DE16" i="7"/>
  <c r="DD16" i="7"/>
  <c r="DC16" i="7"/>
  <c r="DB16" i="7"/>
  <c r="DA16" i="7"/>
  <c r="CZ16" i="7"/>
  <c r="CY16" i="7"/>
  <c r="CX16" i="7"/>
  <c r="CW16" i="7"/>
  <c r="CL16" i="7"/>
  <c r="CK16" i="7"/>
  <c r="CJ16" i="7"/>
  <c r="CI16" i="7"/>
  <c r="CH16" i="7"/>
  <c r="CG16" i="7"/>
  <c r="CF16" i="7"/>
  <c r="CE16" i="7"/>
  <c r="CD16" i="7"/>
  <c r="CC16" i="7"/>
  <c r="CB16" i="7"/>
  <c r="CA16" i="7"/>
  <c r="BZ16" i="7"/>
  <c r="BY16" i="7"/>
  <c r="BX16" i="7"/>
  <c r="BW16" i="7"/>
  <c r="BV16" i="7"/>
  <c r="BU16" i="7"/>
  <c r="BT16" i="7"/>
  <c r="BS16" i="7"/>
  <c r="BR16" i="7"/>
  <c r="BQ16" i="7"/>
  <c r="C14" i="7"/>
  <c r="A14" i="7" s="1"/>
  <c r="C12" i="7"/>
  <c r="A12" i="7" s="1"/>
  <c r="EP8" i="7"/>
  <c r="EO8" i="7"/>
  <c r="EN8" i="7"/>
  <c r="EM8" i="7"/>
  <c r="EL8" i="7"/>
  <c r="EK8" i="7"/>
  <c r="EJ8" i="7"/>
  <c r="EI8" i="7"/>
  <c r="EH8" i="7"/>
  <c r="EG8" i="7"/>
  <c r="EF8" i="7"/>
  <c r="EE8" i="7"/>
  <c r="ED8" i="7"/>
  <c r="EC8" i="7"/>
  <c r="EB8" i="7"/>
  <c r="EA8" i="7"/>
  <c r="DZ8" i="7"/>
  <c r="DY8" i="7"/>
  <c r="DX8" i="7"/>
  <c r="DW8" i="7"/>
  <c r="DV8" i="7"/>
  <c r="DU8" i="7"/>
  <c r="DT8" i="7"/>
  <c r="DS8" i="7"/>
  <c r="DR8" i="7"/>
  <c r="DQ8" i="7"/>
  <c r="DP8" i="7"/>
  <c r="DO8" i="7"/>
  <c r="DN8" i="7"/>
  <c r="DM8" i="7"/>
  <c r="DL8" i="7"/>
  <c r="DK8" i="7"/>
  <c r="DJ8" i="7"/>
  <c r="DI8" i="7"/>
  <c r="DH8" i="7"/>
  <c r="DG8" i="7"/>
  <c r="DF8" i="7"/>
  <c r="DE8" i="7"/>
  <c r="DD8" i="7"/>
  <c r="DC8" i="7"/>
  <c r="DB8" i="7"/>
  <c r="DA8" i="7"/>
  <c r="CZ8" i="7"/>
  <c r="CY8" i="7"/>
  <c r="CX8" i="7"/>
  <c r="CW8" i="7"/>
  <c r="CO8" i="7"/>
  <c r="CN8" i="7"/>
  <c r="CM8" i="7"/>
  <c r="CL8" i="7"/>
  <c r="CK8" i="7"/>
  <c r="CJ8" i="7"/>
  <c r="CI8" i="7"/>
  <c r="CH8" i="7"/>
  <c r="CG8" i="7"/>
  <c r="CF8" i="7"/>
  <c r="CE8" i="7"/>
  <c r="CD8" i="7"/>
  <c r="CC8" i="7"/>
  <c r="CB8" i="7"/>
  <c r="CA8" i="7"/>
  <c r="BZ8" i="7"/>
  <c r="BY8" i="7"/>
  <c r="BX8" i="7"/>
  <c r="BW8" i="7"/>
  <c r="BV8" i="7"/>
  <c r="BU8" i="7"/>
  <c r="BT8" i="7"/>
  <c r="BS8" i="7"/>
  <c r="BR8" i="7"/>
  <c r="BQ8" i="7"/>
  <c r="BP8" i="7"/>
  <c r="BO8" i="7"/>
  <c r="BN8" i="7"/>
  <c r="BM8" i="7"/>
  <c r="BL8" i="7"/>
  <c r="BK8" i="7"/>
  <c r="BJ8" i="7"/>
  <c r="BI8" i="7"/>
  <c r="BH8" i="7"/>
  <c r="BG8" i="7"/>
  <c r="BF8" i="7"/>
  <c r="BE8" i="7"/>
  <c r="BD8" i="7"/>
  <c r="BC8" i="7"/>
  <c r="BB8" i="7"/>
  <c r="BA8" i="7"/>
  <c r="AZ8" i="7"/>
  <c r="AY8" i="7"/>
  <c r="AX8" i="7"/>
  <c r="AW8" i="7"/>
  <c r="AV8" i="7"/>
  <c r="AV9" i="7" s="1"/>
  <c r="C6" i="7"/>
  <c r="A6" i="7" s="1"/>
  <c r="FV1" i="7"/>
  <c r="FU1" i="7"/>
  <c r="FT1" i="7"/>
  <c r="FS1" i="7"/>
  <c r="FR1" i="7"/>
  <c r="FQ1" i="7"/>
  <c r="FP1" i="7"/>
  <c r="FO1" i="7"/>
  <c r="FN1" i="7"/>
  <c r="FM1" i="7"/>
  <c r="FL1" i="7"/>
  <c r="FK1" i="7"/>
  <c r="FJ1" i="7"/>
  <c r="FI1" i="7"/>
  <c r="FH1" i="7"/>
  <c r="FG1" i="7"/>
  <c r="FF1" i="7"/>
  <c r="FE1" i="7"/>
  <c r="FD1" i="7"/>
  <c r="FC1" i="7"/>
  <c r="FB1" i="7"/>
  <c r="FA1" i="7"/>
  <c r="EZ1" i="7"/>
  <c r="EY1" i="7"/>
  <c r="EX1" i="7"/>
  <c r="EW1" i="7"/>
  <c r="EV1" i="7"/>
  <c r="EU1" i="7"/>
  <c r="ET1" i="7"/>
  <c r="ES1" i="7"/>
  <c r="ER1" i="7"/>
  <c r="EQ1" i="7"/>
  <c r="EP1" i="7"/>
  <c r="EO1" i="7"/>
  <c r="EN1" i="7"/>
  <c r="EM1" i="7"/>
  <c r="EL1" i="7"/>
  <c r="EK1" i="7"/>
  <c r="EJ1" i="7"/>
  <c r="EI1" i="7"/>
  <c r="EH1" i="7"/>
  <c r="EG1" i="7"/>
  <c r="EF1" i="7"/>
  <c r="EE1" i="7"/>
  <c r="ED1" i="7"/>
  <c r="EC1" i="7"/>
  <c r="EB1" i="7"/>
  <c r="EA1" i="7"/>
  <c r="DZ1" i="7"/>
  <c r="DY1" i="7"/>
  <c r="DX1" i="7"/>
  <c r="DW1" i="7"/>
  <c r="DV1" i="7"/>
  <c r="DU1" i="7"/>
  <c r="DT1" i="7"/>
  <c r="DS1" i="7"/>
  <c r="DR1" i="7"/>
  <c r="DQ1" i="7"/>
  <c r="DP1" i="7"/>
  <c r="DO1" i="7"/>
  <c r="DN1" i="7"/>
  <c r="DM1" i="7"/>
  <c r="DL1" i="7"/>
  <c r="DK1" i="7"/>
  <c r="DJ1" i="7"/>
  <c r="DI1" i="7"/>
  <c r="DH1" i="7"/>
  <c r="DG1" i="7"/>
  <c r="DF1" i="7"/>
  <c r="DE1" i="7"/>
  <c r="DD1" i="7"/>
  <c r="DC1" i="7"/>
  <c r="DB1" i="7"/>
  <c r="DA1" i="7"/>
  <c r="CZ1" i="7"/>
  <c r="CY1" i="7"/>
  <c r="CX1" i="7"/>
  <c r="CW1" i="7"/>
  <c r="CV1" i="7"/>
  <c r="CU1" i="7"/>
  <c r="CT1" i="7"/>
  <c r="CS1" i="7"/>
  <c r="CR1" i="7"/>
  <c r="CQ1" i="7"/>
  <c r="CP1" i="7"/>
  <c r="CO1" i="7"/>
  <c r="CN1" i="7"/>
  <c r="CM1" i="7"/>
  <c r="CL1" i="7"/>
  <c r="CK1" i="7"/>
  <c r="CJ1" i="7"/>
  <c r="CI1" i="7"/>
  <c r="CH1" i="7"/>
  <c r="CG1" i="7"/>
  <c r="CF1" i="7"/>
  <c r="CE1" i="7"/>
  <c r="CD1" i="7"/>
  <c r="CC1" i="7"/>
  <c r="CB1" i="7"/>
  <c r="CA1" i="7"/>
  <c r="BZ1" i="7"/>
  <c r="BY1" i="7"/>
  <c r="BX1" i="7"/>
  <c r="BW1" i="7"/>
  <c r="BV1" i="7"/>
  <c r="BU1" i="7"/>
  <c r="BT1" i="7"/>
  <c r="BS1" i="7"/>
  <c r="BR1" i="7"/>
  <c r="BQ1" i="7"/>
  <c r="BP1" i="7"/>
  <c r="BO1" i="7"/>
  <c r="BN1" i="7"/>
  <c r="BM1" i="7"/>
  <c r="BL1" i="7"/>
  <c r="BK1" i="7"/>
  <c r="BJ1" i="7"/>
  <c r="BI1" i="7"/>
  <c r="BH1" i="7"/>
  <c r="BG1" i="7"/>
  <c r="BF1" i="7"/>
  <c r="BE1" i="7"/>
  <c r="BD1" i="7"/>
  <c r="BC1" i="7"/>
  <c r="BB1" i="7"/>
  <c r="BA1" i="7"/>
  <c r="AZ1" i="7"/>
  <c r="AY1" i="7"/>
  <c r="AX1" i="7"/>
  <c r="AW1" i="7"/>
  <c r="AV1" i="7"/>
  <c r="AU1" i="7"/>
  <c r="AT1" i="7"/>
  <c r="AS1" i="7"/>
  <c r="AR1" i="7"/>
  <c r="AQ1" i="7"/>
  <c r="AP1" i="7"/>
  <c r="AO1" i="7"/>
  <c r="AN1" i="7"/>
  <c r="AM1" i="7"/>
  <c r="AL1" i="7"/>
  <c r="AK1" i="7"/>
  <c r="AJ1" i="7"/>
  <c r="AI1" i="7"/>
  <c r="AH1" i="7"/>
  <c r="AG1" i="7"/>
  <c r="AF1" i="7"/>
  <c r="AE1" i="7"/>
  <c r="AD1" i="7"/>
  <c r="AC1" i="7"/>
  <c r="AB1" i="7"/>
  <c r="AA1" i="7"/>
  <c r="Z1" i="7"/>
  <c r="Y1" i="7"/>
  <c r="X1" i="7"/>
  <c r="W1" i="7"/>
  <c r="V1" i="7"/>
  <c r="U1" i="7"/>
  <c r="T1" i="7"/>
  <c r="S1" i="7"/>
  <c r="R1" i="7"/>
  <c r="Q1" i="7"/>
  <c r="P1" i="7"/>
  <c r="O1" i="7"/>
  <c r="N1" i="7"/>
  <c r="M1" i="7"/>
  <c r="L1" i="7"/>
  <c r="K1" i="7"/>
  <c r="J1" i="7"/>
  <c r="I1" i="7"/>
  <c r="H1" i="7"/>
  <c r="AU82" i="31" l="1"/>
  <c r="AT82" i="31"/>
  <c r="C84" i="31"/>
  <c r="C83" i="31"/>
  <c r="AU81" i="31"/>
  <c r="AT81" i="31"/>
  <c r="AV4" i="11"/>
  <c r="DC64" i="7"/>
  <c r="DQ65" i="7"/>
  <c r="AY68" i="7"/>
  <c r="BM65" i="7"/>
  <c r="A22" i="7"/>
  <c r="BD25" i="7"/>
  <c r="BE25" i="7" s="1"/>
  <c r="BF25" i="7" s="1"/>
  <c r="BG25" i="7" s="1"/>
  <c r="BH25" i="7" s="1"/>
  <c r="BI25" i="7" s="1"/>
  <c r="BJ25" i="7" s="1"/>
  <c r="BK25" i="7" s="1"/>
  <c r="BL25" i="7" s="1"/>
  <c r="BM25" i="7" s="1"/>
  <c r="BN25" i="7" s="1"/>
  <c r="BO25" i="7" s="1"/>
  <c r="BP25" i="7" s="1"/>
  <c r="BQ25" i="7" s="1"/>
  <c r="BR25" i="7" s="1"/>
  <c r="BS25" i="7" s="1"/>
  <c r="BT25" i="7" s="1"/>
  <c r="BU25" i="7" s="1"/>
  <c r="BV25" i="7" s="1"/>
  <c r="BW25" i="7" s="1"/>
  <c r="BX25" i="7" s="1"/>
  <c r="BY25" i="7" s="1"/>
  <c r="BZ25" i="7" s="1"/>
  <c r="CA25" i="7" s="1"/>
  <c r="CB25" i="7" s="1"/>
  <c r="CC25" i="7" s="1"/>
  <c r="CD25" i="7" s="1"/>
  <c r="CE25" i="7" s="1"/>
  <c r="CF25" i="7" s="1"/>
  <c r="CG25" i="7" s="1"/>
  <c r="CH25" i="7" s="1"/>
  <c r="CI25" i="7" s="1"/>
  <c r="CJ25" i="7" s="1"/>
  <c r="CK25" i="7" s="1"/>
  <c r="CL25" i="7" s="1"/>
  <c r="CM25" i="7" s="1"/>
  <c r="CN25" i="7" s="1"/>
  <c r="CO25" i="7" s="1"/>
  <c r="CP25" i="7" s="1"/>
  <c r="CQ25" i="7" s="1"/>
  <c r="CR25" i="7" s="1"/>
  <c r="CS25" i="7" s="1"/>
  <c r="CT25" i="7" s="1"/>
  <c r="CU25" i="7" s="1"/>
  <c r="CV25" i="7" s="1"/>
  <c r="CW25" i="7" s="1"/>
  <c r="CX25" i="7" s="1"/>
  <c r="CY25" i="7" s="1"/>
  <c r="CZ25" i="7" s="1"/>
  <c r="DA25" i="7" s="1"/>
  <c r="DB25" i="7" s="1"/>
  <c r="DC25" i="7" s="1"/>
  <c r="DD25" i="7" s="1"/>
  <c r="DE25" i="7" s="1"/>
  <c r="DF25" i="7" s="1"/>
  <c r="DG25" i="7" s="1"/>
  <c r="DH25" i="7" s="1"/>
  <c r="DI25" i="7" s="1"/>
  <c r="DJ25" i="7" s="1"/>
  <c r="DK25" i="7" s="1"/>
  <c r="DL25" i="7" s="1"/>
  <c r="DM25" i="7" s="1"/>
  <c r="DN25" i="7" s="1"/>
  <c r="DO25" i="7" s="1"/>
  <c r="DP25" i="7" s="1"/>
  <c r="DQ25" i="7" s="1"/>
  <c r="DR25" i="7" s="1"/>
  <c r="DS25" i="7" s="1"/>
  <c r="DT25" i="7" s="1"/>
  <c r="DU25" i="7" s="1"/>
  <c r="DV25" i="7" s="1"/>
  <c r="DW25" i="7" s="1"/>
  <c r="DX25" i="7" s="1"/>
  <c r="DY25" i="7" s="1"/>
  <c r="DZ25" i="7" s="1"/>
  <c r="EA25" i="7" s="1"/>
  <c r="EB25" i="7" s="1"/>
  <c r="EC25" i="7" s="1"/>
  <c r="ED25" i="7" s="1"/>
  <c r="EE25" i="7" s="1"/>
  <c r="EF25" i="7" s="1"/>
  <c r="EG25" i="7" s="1"/>
  <c r="EH25" i="7" s="1"/>
  <c r="EI25" i="7" s="1"/>
  <c r="EJ25" i="7" s="1"/>
  <c r="EK25" i="7" s="1"/>
  <c r="EL25" i="7" s="1"/>
  <c r="EM25" i="7" s="1"/>
  <c r="EN25" i="7" s="1"/>
  <c r="EO25" i="7" s="1"/>
  <c r="EP25" i="7" s="1"/>
  <c r="EQ25" i="7" s="1"/>
  <c r="ER25" i="7" s="1"/>
  <c r="ES25" i="7" s="1"/>
  <c r="AY65" i="7"/>
  <c r="AW9" i="7"/>
  <c r="AX9" i="7" s="1"/>
  <c r="AY9" i="7" s="1"/>
  <c r="AZ9" i="7" s="1"/>
  <c r="BA9" i="7" s="1"/>
  <c r="BB9" i="7" s="1"/>
  <c r="BC9" i="7" s="1"/>
  <c r="BD9" i="7" s="1"/>
  <c r="BE9" i="7" s="1"/>
  <c r="BF9" i="7" s="1"/>
  <c r="BG9" i="7" s="1"/>
  <c r="BH9" i="7" s="1"/>
  <c r="BI9" i="7" s="1"/>
  <c r="BJ9" i="7" s="1"/>
  <c r="BK9" i="7" s="1"/>
  <c r="BL9" i="7" s="1"/>
  <c r="BM9" i="7" s="1"/>
  <c r="BN9" i="7" s="1"/>
  <c r="BO9" i="7" s="1"/>
  <c r="BP9" i="7" s="1"/>
  <c r="BQ9" i="7" s="1"/>
  <c r="BR9" i="7" s="1"/>
  <c r="BS9" i="7" s="1"/>
  <c r="BT9" i="7" s="1"/>
  <c r="BU9" i="7" s="1"/>
  <c r="BV9" i="7" s="1"/>
  <c r="BW9" i="7" s="1"/>
  <c r="BX9" i="7" s="1"/>
  <c r="BY9" i="7" s="1"/>
  <c r="BZ9" i="7" s="1"/>
  <c r="CA9" i="7" s="1"/>
  <c r="CB9" i="7" s="1"/>
  <c r="CC9" i="7" s="1"/>
  <c r="CD9" i="7" s="1"/>
  <c r="CE9" i="7" s="1"/>
  <c r="CF9" i="7" s="1"/>
  <c r="CG9" i="7" s="1"/>
  <c r="CH9" i="7" s="1"/>
  <c r="CI9" i="7" s="1"/>
  <c r="CJ9" i="7" s="1"/>
  <c r="CK9" i="7" s="1"/>
  <c r="CL9" i="7" s="1"/>
  <c r="CM9" i="7" s="1"/>
  <c r="CN9" i="7" s="1"/>
  <c r="AY69" i="7"/>
  <c r="AY64" i="7"/>
  <c r="DJ64" i="7"/>
  <c r="BT65" i="7"/>
  <c r="DX65" i="7"/>
  <c r="CO64" i="7"/>
  <c r="CA64" i="7"/>
  <c r="EE64" i="7"/>
  <c r="CO65" i="7"/>
  <c r="CV65" i="7"/>
  <c r="BJ33" i="7"/>
  <c r="BK33" i="7" s="1"/>
  <c r="BL33" i="7" s="1"/>
  <c r="BM33" i="7" s="1"/>
  <c r="BN33" i="7" s="1"/>
  <c r="BO33" i="7" s="1"/>
  <c r="BP33" i="7" s="1"/>
  <c r="BQ33" i="7" s="1"/>
  <c r="BR33" i="7" s="1"/>
  <c r="BS33" i="7" s="1"/>
  <c r="BT33" i="7" s="1"/>
  <c r="BU33" i="7" s="1"/>
  <c r="BV33" i="7" s="1"/>
  <c r="BW33" i="7" s="1"/>
  <c r="BX33" i="7" s="1"/>
  <c r="BY33" i="7" s="1"/>
  <c r="BZ33" i="7" s="1"/>
  <c r="CA33" i="7" s="1"/>
  <c r="CB33" i="7" s="1"/>
  <c r="CC33" i="7" s="1"/>
  <c r="CD33" i="7" s="1"/>
  <c r="CE33" i="7" s="1"/>
  <c r="CF33" i="7" s="1"/>
  <c r="CG33" i="7" s="1"/>
  <c r="CH33" i="7" s="1"/>
  <c r="CI33" i="7" s="1"/>
  <c r="CJ33" i="7" s="1"/>
  <c r="CK33" i="7" s="1"/>
  <c r="CL33" i="7" s="1"/>
  <c r="CM33" i="7" s="1"/>
  <c r="CN33" i="7" s="1"/>
  <c r="CO33" i="7" s="1"/>
  <c r="CP33" i="7" s="1"/>
  <c r="CQ33" i="7" s="1"/>
  <c r="CR33" i="7" s="1"/>
  <c r="CS33" i="7" s="1"/>
  <c r="CT33" i="7" s="1"/>
  <c r="CU33" i="7" s="1"/>
  <c r="CV33" i="7" s="1"/>
  <c r="CW33" i="7" s="1"/>
  <c r="CX33" i="7" s="1"/>
  <c r="CY33" i="7" s="1"/>
  <c r="CZ33" i="7" s="1"/>
  <c r="DA33" i="7" s="1"/>
  <c r="DB33" i="7" s="1"/>
  <c r="DC33" i="7" s="1"/>
  <c r="DD33" i="7" s="1"/>
  <c r="DE33" i="7" s="1"/>
  <c r="DF33" i="7" s="1"/>
  <c r="DG33" i="7" s="1"/>
  <c r="DH33" i="7" s="1"/>
  <c r="DI33" i="7" s="1"/>
  <c r="DJ33" i="7" s="1"/>
  <c r="DK33" i="7" s="1"/>
  <c r="DL33" i="7" s="1"/>
  <c r="DM33" i="7" s="1"/>
  <c r="DN33" i="7" s="1"/>
  <c r="DO33" i="7" s="1"/>
  <c r="DP33" i="7" s="1"/>
  <c r="DQ33" i="7" s="1"/>
  <c r="DR33" i="7" s="1"/>
  <c r="DS33" i="7" s="1"/>
  <c r="DT33" i="7" s="1"/>
  <c r="DU33" i="7" s="1"/>
  <c r="DV33" i="7" s="1"/>
  <c r="DW33" i="7" s="1"/>
  <c r="DX33" i="7" s="1"/>
  <c r="DY33" i="7" s="1"/>
  <c r="DZ33" i="7" s="1"/>
  <c r="EA33" i="7" s="1"/>
  <c r="EB33" i="7" s="1"/>
  <c r="EC33" i="7" s="1"/>
  <c r="ED33" i="7" s="1"/>
  <c r="EE33" i="7" s="1"/>
  <c r="EF33" i="7" s="1"/>
  <c r="EG33" i="7" s="1"/>
  <c r="EH33" i="7" s="1"/>
  <c r="EI33" i="7" s="1"/>
  <c r="EJ33" i="7" s="1"/>
  <c r="EK33" i="7" s="1"/>
  <c r="EL33" i="7" s="1"/>
  <c r="EM33" i="7" s="1"/>
  <c r="EN33" i="7" s="1"/>
  <c r="EO33" i="7" s="1"/>
  <c r="EP33" i="7" s="1"/>
  <c r="EQ33" i="7" s="1"/>
  <c r="ER33" i="7" s="1"/>
  <c r="ES33" i="7" s="1"/>
  <c r="ET33" i="7" s="1"/>
  <c r="EU33" i="7" s="1"/>
  <c r="BT64" i="7"/>
  <c r="CH64" i="7"/>
  <c r="CV64" i="7"/>
  <c r="DX64" i="7"/>
  <c r="CH65" i="7"/>
  <c r="DC65" i="7"/>
  <c r="DJ65" i="7"/>
  <c r="BM64" i="7"/>
  <c r="DQ64" i="7"/>
  <c r="CA65" i="7"/>
  <c r="EE65" i="7"/>
  <c r="BF64" i="7"/>
  <c r="A30" i="7"/>
  <c r="BF68" i="7"/>
  <c r="BF65" i="7"/>
  <c r="BF69" i="7"/>
  <c r="C86" i="31" l="1"/>
  <c r="AU84" i="31"/>
  <c r="AT84" i="31"/>
  <c r="AT83" i="31"/>
  <c r="C85" i="31"/>
  <c r="AU83" i="31"/>
  <c r="CO9" i="7"/>
  <c r="CP9" i="7" s="1"/>
  <c r="BQ17" i="7"/>
  <c r="BR17" i="7" s="1"/>
  <c r="BS17" i="7" s="1"/>
  <c r="BT17" i="7" s="1"/>
  <c r="BU17" i="7" s="1"/>
  <c r="BV17" i="7" s="1"/>
  <c r="BW17" i="7" s="1"/>
  <c r="BX17" i="7" s="1"/>
  <c r="BY17" i="7" s="1"/>
  <c r="BZ17" i="7" s="1"/>
  <c r="CA17" i="7" s="1"/>
  <c r="CB17" i="7" s="1"/>
  <c r="CC17" i="7" s="1"/>
  <c r="CD17" i="7" s="1"/>
  <c r="CE17" i="7" s="1"/>
  <c r="CF17" i="7" s="1"/>
  <c r="CG17" i="7" s="1"/>
  <c r="CH17" i="7" s="1"/>
  <c r="CI17" i="7" s="1"/>
  <c r="CJ17" i="7" s="1"/>
  <c r="CK17" i="7" s="1"/>
  <c r="CL17" i="7" s="1"/>
  <c r="CM17" i="7" s="1"/>
  <c r="CN17" i="7" s="1"/>
  <c r="CO17" i="7" s="1"/>
  <c r="P37" i="2"/>
  <c r="P38" i="2"/>
  <c r="P39" i="2"/>
  <c r="P40"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M38" i="2"/>
  <c r="M39" i="2"/>
  <c r="M40"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96" i="2"/>
  <c r="M97" i="2"/>
  <c r="M98" i="2"/>
  <c r="M99" i="2"/>
  <c r="M101" i="2"/>
  <c r="M102" i="2"/>
  <c r="M103" i="2"/>
  <c r="M104" i="2"/>
  <c r="M105" i="2"/>
  <c r="M106" i="2"/>
  <c r="M107" i="2"/>
  <c r="M108" i="2"/>
  <c r="M109" i="2"/>
  <c r="M110" i="2"/>
  <c r="M111" i="2"/>
  <c r="M112" i="2"/>
  <c r="V6" i="2"/>
  <c r="V7" i="2"/>
  <c r="V8" i="2"/>
  <c r="V9" i="2"/>
  <c r="V10" i="2"/>
  <c r="V11" i="2"/>
  <c r="V12" i="2"/>
  <c r="V13" i="2"/>
  <c r="V14" i="2"/>
  <c r="V15" i="2"/>
  <c r="V16" i="2"/>
  <c r="V17" i="2"/>
  <c r="V18" i="2"/>
  <c r="V19" i="2"/>
  <c r="V20" i="2"/>
  <c r="V21" i="2"/>
  <c r="V24" i="2"/>
  <c r="V25" i="2"/>
  <c r="V26" i="2"/>
  <c r="V27" i="2"/>
  <c r="V28" i="2"/>
  <c r="V29" i="2"/>
  <c r="V30" i="2"/>
  <c r="V31" i="2"/>
  <c r="V32"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 i="2"/>
  <c r="V22" i="2"/>
  <c r="P6" i="2"/>
  <c r="P7" i="2"/>
  <c r="P8" i="2"/>
  <c r="P9" i="2"/>
  <c r="P10" i="2"/>
  <c r="P11" i="2"/>
  <c r="P12" i="2"/>
  <c r="P13" i="2"/>
  <c r="P14" i="2"/>
  <c r="P15" i="2"/>
  <c r="P16" i="2"/>
  <c r="P17" i="2"/>
  <c r="P18" i="2"/>
  <c r="S6" i="2"/>
  <c r="S7" i="2"/>
  <c r="S8" i="2"/>
  <c r="S9" i="2"/>
  <c r="S10" i="2"/>
  <c r="S11" i="2"/>
  <c r="S12" i="2"/>
  <c r="S13" i="2"/>
  <c r="S14" i="2"/>
  <c r="S15" i="2"/>
  <c r="S16" i="2"/>
  <c r="S17" i="2"/>
  <c r="S18" i="2"/>
  <c r="S19" i="2"/>
  <c r="S20" i="2"/>
  <c r="S21" i="2"/>
  <c r="S22" i="2"/>
  <c r="S23" i="2"/>
  <c r="S24" i="2"/>
  <c r="S25" i="2"/>
  <c r="S26" i="2"/>
  <c r="S27" i="2"/>
  <c r="S29" i="2"/>
  <c r="S30" i="2"/>
  <c r="S31" i="2"/>
  <c r="S32" i="2"/>
  <c r="S33" i="2"/>
  <c r="S34" i="2"/>
  <c r="S35" i="2"/>
  <c r="S36" i="2"/>
  <c r="S37" i="2"/>
  <c r="S38" i="2"/>
  <c r="S3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8" i="2"/>
  <c r="P19" i="2"/>
  <c r="P20" i="2"/>
  <c r="P21" i="2"/>
  <c r="P22" i="2"/>
  <c r="P23" i="2"/>
  <c r="P24" i="2"/>
  <c r="P25" i="2"/>
  <c r="P26" i="2"/>
  <c r="P27" i="2"/>
  <c r="P28" i="2"/>
  <c r="P29" i="2"/>
  <c r="P30" i="2"/>
  <c r="P31" i="2"/>
  <c r="P32" i="2"/>
  <c r="P33" i="2"/>
  <c r="P34" i="2"/>
  <c r="P35" i="2"/>
  <c r="P36" i="2"/>
  <c r="AY108" i="4"/>
  <c r="AY109" i="4"/>
  <c r="AY110" i="4"/>
  <c r="AY111" i="4"/>
  <c r="AY112" i="4"/>
  <c r="AY113" i="4"/>
  <c r="AY114" i="4"/>
  <c r="AY115" i="4"/>
  <c r="AY116" i="4"/>
  <c r="AY117" i="4"/>
  <c r="AY118" i="4"/>
  <c r="AY119" i="4"/>
  <c r="AY120" i="4"/>
  <c r="AY121" i="4"/>
  <c r="AY122" i="4"/>
  <c r="AY123" i="4"/>
  <c r="AY124" i="4"/>
  <c r="AY125" i="4"/>
  <c r="AY126" i="4"/>
  <c r="AY127" i="4"/>
  <c r="AY128" i="4"/>
  <c r="AY129" i="4"/>
  <c r="AY130" i="4"/>
  <c r="AY131" i="4"/>
  <c r="AY132" i="4"/>
  <c r="AY133" i="4"/>
  <c r="AY134" i="4"/>
  <c r="AY135" i="4"/>
  <c r="AY136" i="4"/>
  <c r="AY137" i="4"/>
  <c r="AY107" i="4"/>
  <c r="AX9" i="4"/>
  <c r="AY9" i="4"/>
  <c r="BA9" i="4"/>
  <c r="BC9" i="4"/>
  <c r="AX10" i="4"/>
  <c r="AY10" i="4"/>
  <c r="BA10" i="4"/>
  <c r="BC10" i="4"/>
  <c r="AX11" i="4"/>
  <c r="AY11" i="4"/>
  <c r="BA11" i="4"/>
  <c r="BC11" i="4"/>
  <c r="AX12" i="4"/>
  <c r="AY12" i="4"/>
  <c r="BA12" i="4"/>
  <c r="BC12" i="4"/>
  <c r="AX13" i="4"/>
  <c r="AY13" i="4"/>
  <c r="BA13" i="4"/>
  <c r="BC13" i="4"/>
  <c r="AX14" i="4"/>
  <c r="AY14" i="4"/>
  <c r="BA14" i="4"/>
  <c r="BC14" i="4"/>
  <c r="AX15" i="4"/>
  <c r="AY15" i="4"/>
  <c r="BA15" i="4"/>
  <c r="BC15" i="4"/>
  <c r="AX16" i="4"/>
  <c r="AY16" i="4"/>
  <c r="BA16" i="4"/>
  <c r="BC16" i="4"/>
  <c r="AX17" i="4"/>
  <c r="AY17" i="4"/>
  <c r="BA17" i="4"/>
  <c r="BC17" i="4"/>
  <c r="AX18" i="4"/>
  <c r="AY18" i="4"/>
  <c r="BA18" i="4"/>
  <c r="BC18" i="4"/>
  <c r="AX19" i="4"/>
  <c r="AY19" i="4"/>
  <c r="BA19" i="4"/>
  <c r="BC19" i="4"/>
  <c r="AX20" i="4"/>
  <c r="AY20" i="4"/>
  <c r="BA20" i="4"/>
  <c r="BC20" i="4"/>
  <c r="AX21" i="4"/>
  <c r="AY21" i="4"/>
  <c r="BA21" i="4"/>
  <c r="BC21" i="4"/>
  <c r="AX22" i="4"/>
  <c r="AY22" i="4"/>
  <c r="BA22" i="4"/>
  <c r="BC22" i="4"/>
  <c r="AX23" i="4"/>
  <c r="AY23" i="4"/>
  <c r="BA23" i="4"/>
  <c r="BC23" i="4"/>
  <c r="AX24" i="4"/>
  <c r="AY24" i="4"/>
  <c r="BA24" i="4"/>
  <c r="BC24" i="4"/>
  <c r="AX25" i="4"/>
  <c r="AY25" i="4"/>
  <c r="BA25" i="4"/>
  <c r="BC25" i="4"/>
  <c r="AX26" i="4"/>
  <c r="AY26" i="4"/>
  <c r="BA26" i="4"/>
  <c r="BC26" i="4"/>
  <c r="AX27" i="4"/>
  <c r="AY27" i="4"/>
  <c r="BA27" i="4"/>
  <c r="BC27" i="4"/>
  <c r="AX28" i="4"/>
  <c r="AY28" i="4"/>
  <c r="BA28" i="4"/>
  <c r="BC28" i="4"/>
  <c r="AX29" i="4"/>
  <c r="AY29" i="4"/>
  <c r="BA29" i="4"/>
  <c r="BC29" i="4"/>
  <c r="AX30" i="4"/>
  <c r="AY30" i="4"/>
  <c r="BA30" i="4"/>
  <c r="BC30" i="4"/>
  <c r="AX31" i="4"/>
  <c r="AY31" i="4"/>
  <c r="BA31" i="4"/>
  <c r="BC31" i="4"/>
  <c r="AX32" i="4"/>
  <c r="AY32" i="4"/>
  <c r="BA32" i="4"/>
  <c r="BC32" i="4"/>
  <c r="AX33" i="4"/>
  <c r="AY33" i="4"/>
  <c r="BA33" i="4"/>
  <c r="BC33" i="4"/>
  <c r="AX34" i="4"/>
  <c r="AY34" i="4"/>
  <c r="BA34" i="4"/>
  <c r="BC34" i="4"/>
  <c r="AX35" i="4"/>
  <c r="AY35" i="4"/>
  <c r="BA35" i="4"/>
  <c r="BC35" i="4"/>
  <c r="AX36" i="4"/>
  <c r="AY36" i="4"/>
  <c r="BA36" i="4"/>
  <c r="BC36" i="4"/>
  <c r="AX37" i="4"/>
  <c r="AY37" i="4"/>
  <c r="BA37" i="4"/>
  <c r="BC37" i="4"/>
  <c r="AX38" i="4"/>
  <c r="AY38" i="4"/>
  <c r="BA38" i="4"/>
  <c r="BC38" i="4"/>
  <c r="AX39" i="4"/>
  <c r="AY39" i="4"/>
  <c r="BA39" i="4"/>
  <c r="BC39" i="4"/>
  <c r="AX40" i="4"/>
  <c r="AY40" i="4"/>
  <c r="BA40" i="4"/>
  <c r="BC40" i="4"/>
  <c r="AX41" i="4"/>
  <c r="AY41" i="4"/>
  <c r="BA41" i="4"/>
  <c r="BC41" i="4"/>
  <c r="AX42" i="4"/>
  <c r="AY42" i="4"/>
  <c r="BA42" i="4"/>
  <c r="BC42" i="4"/>
  <c r="AX43" i="4"/>
  <c r="AY43" i="4"/>
  <c r="BA43" i="4"/>
  <c r="BC43" i="4"/>
  <c r="AX44" i="4"/>
  <c r="AY44" i="4"/>
  <c r="BA44" i="4"/>
  <c r="BC44" i="4"/>
  <c r="AX45" i="4"/>
  <c r="AY45" i="4"/>
  <c r="BA45" i="4"/>
  <c r="BC45" i="4"/>
  <c r="AX46" i="4"/>
  <c r="AY46" i="4"/>
  <c r="BA46" i="4"/>
  <c r="BC46" i="4"/>
  <c r="AX47" i="4"/>
  <c r="AY47" i="4"/>
  <c r="BA47" i="4"/>
  <c r="BC47" i="4"/>
  <c r="AX48" i="4"/>
  <c r="AY48" i="4"/>
  <c r="BA48" i="4"/>
  <c r="BC48" i="4"/>
  <c r="AX49" i="4"/>
  <c r="AY49" i="4"/>
  <c r="BA49" i="4"/>
  <c r="BC49" i="4"/>
  <c r="AX50" i="4"/>
  <c r="AY50" i="4"/>
  <c r="BA50" i="4"/>
  <c r="BC50" i="4"/>
  <c r="AX51" i="4"/>
  <c r="AY51" i="4"/>
  <c r="BA51" i="4"/>
  <c r="BC51" i="4"/>
  <c r="AX52" i="4"/>
  <c r="AY52" i="4"/>
  <c r="BA52" i="4"/>
  <c r="BC52" i="4"/>
  <c r="AX53" i="4"/>
  <c r="AY53" i="4"/>
  <c r="BA53" i="4"/>
  <c r="BC53" i="4"/>
  <c r="AX54" i="4"/>
  <c r="AY54" i="4"/>
  <c r="BA54" i="4"/>
  <c r="BC54" i="4"/>
  <c r="AX55" i="4"/>
  <c r="AY55" i="4"/>
  <c r="BA55" i="4"/>
  <c r="BC55" i="4"/>
  <c r="AX56" i="4"/>
  <c r="AY56" i="4"/>
  <c r="BA56" i="4"/>
  <c r="BC56" i="4"/>
  <c r="AX57" i="4"/>
  <c r="AY57" i="4"/>
  <c r="BA57" i="4"/>
  <c r="BC57" i="4"/>
  <c r="AX58" i="4"/>
  <c r="AY58" i="4"/>
  <c r="BA58" i="4"/>
  <c r="BC58" i="4"/>
  <c r="AX59" i="4"/>
  <c r="AY59" i="4"/>
  <c r="BA59" i="4"/>
  <c r="BC59" i="4"/>
  <c r="AX60" i="4"/>
  <c r="AY60" i="4"/>
  <c r="BA60" i="4"/>
  <c r="BC60" i="4"/>
  <c r="AX61" i="4"/>
  <c r="AY61" i="4"/>
  <c r="BA61" i="4"/>
  <c r="BC61" i="4"/>
  <c r="AX62" i="4"/>
  <c r="AY62" i="4"/>
  <c r="BA62" i="4"/>
  <c r="BC62" i="4"/>
  <c r="AX63" i="4"/>
  <c r="AY63" i="4"/>
  <c r="BA63" i="4"/>
  <c r="BC63" i="4"/>
  <c r="AX64" i="4"/>
  <c r="AY64" i="4"/>
  <c r="BA64" i="4"/>
  <c r="BC64" i="4"/>
  <c r="AX65" i="4"/>
  <c r="AY65" i="4"/>
  <c r="BA65" i="4"/>
  <c r="BC65" i="4"/>
  <c r="AX66" i="4"/>
  <c r="AY66" i="4"/>
  <c r="BA66" i="4"/>
  <c r="BC66" i="4"/>
  <c r="AX67" i="4"/>
  <c r="AY67" i="4"/>
  <c r="BA67" i="4"/>
  <c r="BC67" i="4"/>
  <c r="AX68" i="4"/>
  <c r="AY68" i="4"/>
  <c r="BA68" i="4"/>
  <c r="BC68" i="4"/>
  <c r="AX69" i="4"/>
  <c r="AY69" i="4"/>
  <c r="BA69" i="4"/>
  <c r="BC69" i="4"/>
  <c r="AX70" i="4"/>
  <c r="AY70" i="4"/>
  <c r="BA70" i="4"/>
  <c r="BC70" i="4"/>
  <c r="AX71" i="4"/>
  <c r="AY71" i="4"/>
  <c r="BA71" i="4"/>
  <c r="BC71" i="4"/>
  <c r="AX72" i="4"/>
  <c r="AY72" i="4"/>
  <c r="BA72" i="4"/>
  <c r="BC72" i="4"/>
  <c r="AX73" i="4"/>
  <c r="AY73" i="4"/>
  <c r="BA73" i="4"/>
  <c r="BC73" i="4"/>
  <c r="AX74" i="4"/>
  <c r="AY74" i="4"/>
  <c r="BA74" i="4"/>
  <c r="BC74" i="4"/>
  <c r="AX75" i="4"/>
  <c r="AY75" i="4"/>
  <c r="BA75" i="4"/>
  <c r="BC75" i="4"/>
  <c r="AX76" i="4"/>
  <c r="AY76" i="4"/>
  <c r="BA76" i="4"/>
  <c r="BC76" i="4"/>
  <c r="AX77" i="4"/>
  <c r="AY77" i="4"/>
  <c r="BA77" i="4"/>
  <c r="BC77" i="4"/>
  <c r="AX78" i="4"/>
  <c r="AY78" i="4"/>
  <c r="BA78" i="4"/>
  <c r="BC78" i="4"/>
  <c r="AX79" i="4"/>
  <c r="AY79" i="4"/>
  <c r="BA79" i="4"/>
  <c r="BC79" i="4"/>
  <c r="AX80" i="4"/>
  <c r="AY80" i="4"/>
  <c r="BA80" i="4"/>
  <c r="BC80" i="4"/>
  <c r="AX81" i="4"/>
  <c r="AY81" i="4"/>
  <c r="BA81" i="4"/>
  <c r="BC81" i="4"/>
  <c r="AX82" i="4"/>
  <c r="AY82" i="4"/>
  <c r="BA82" i="4"/>
  <c r="BC82" i="4"/>
  <c r="AX83" i="4"/>
  <c r="AY83" i="4"/>
  <c r="BA83" i="4"/>
  <c r="BC83" i="4"/>
  <c r="AX84" i="4"/>
  <c r="AY84" i="4"/>
  <c r="BA84" i="4"/>
  <c r="BC84" i="4"/>
  <c r="AX85" i="4"/>
  <c r="AY85" i="4"/>
  <c r="BA85" i="4"/>
  <c r="BC85" i="4"/>
  <c r="AX86" i="4"/>
  <c r="AY86" i="4"/>
  <c r="BA86" i="4"/>
  <c r="BC86" i="4"/>
  <c r="AX87" i="4"/>
  <c r="AY87" i="4"/>
  <c r="BA87" i="4"/>
  <c r="BC87" i="4"/>
  <c r="AX88" i="4"/>
  <c r="AY88" i="4"/>
  <c r="BA88" i="4"/>
  <c r="BC88" i="4"/>
  <c r="AX89" i="4"/>
  <c r="AY89" i="4"/>
  <c r="BA89" i="4"/>
  <c r="BC89" i="4"/>
  <c r="AX90" i="4"/>
  <c r="AY90" i="4"/>
  <c r="BA90" i="4"/>
  <c r="BC90" i="4"/>
  <c r="AX91" i="4"/>
  <c r="AY91" i="4"/>
  <c r="BA91" i="4"/>
  <c r="BC91" i="4"/>
  <c r="AX92" i="4"/>
  <c r="AY92" i="4"/>
  <c r="BA92" i="4"/>
  <c r="BC92" i="4"/>
  <c r="AX93" i="4"/>
  <c r="AY93" i="4"/>
  <c r="BA93" i="4"/>
  <c r="BC93" i="4"/>
  <c r="AX94" i="4"/>
  <c r="AY94" i="4"/>
  <c r="BA94" i="4"/>
  <c r="BC94" i="4"/>
  <c r="AX95" i="4"/>
  <c r="AY95" i="4"/>
  <c r="BA95" i="4"/>
  <c r="BC95" i="4"/>
  <c r="AX96" i="4"/>
  <c r="AY96" i="4"/>
  <c r="BA96" i="4"/>
  <c r="BC96" i="4"/>
  <c r="AX97" i="4"/>
  <c r="AY97" i="4"/>
  <c r="BA97" i="4"/>
  <c r="BC97" i="4"/>
  <c r="AX98" i="4"/>
  <c r="AY98" i="4"/>
  <c r="BA98" i="4"/>
  <c r="BC98" i="4"/>
  <c r="AX99" i="4"/>
  <c r="AY99" i="4"/>
  <c r="BA99" i="4"/>
  <c r="BC99" i="4"/>
  <c r="AX100" i="4"/>
  <c r="AY100" i="4"/>
  <c r="BA100" i="4"/>
  <c r="BC100" i="4"/>
  <c r="AX101" i="4"/>
  <c r="AY101" i="4"/>
  <c r="BA101" i="4"/>
  <c r="BC101" i="4"/>
  <c r="AX102" i="4"/>
  <c r="AY102" i="4"/>
  <c r="BA102" i="4"/>
  <c r="BC102" i="4"/>
  <c r="AX103" i="4"/>
  <c r="AY103" i="4"/>
  <c r="BA103" i="4"/>
  <c r="BC103" i="4"/>
  <c r="AX104" i="4"/>
  <c r="AY104" i="4"/>
  <c r="BA104" i="4"/>
  <c r="BC104" i="4"/>
  <c r="AX105" i="4"/>
  <c r="AY105" i="4"/>
  <c r="BA105" i="4"/>
  <c r="BC105" i="4"/>
  <c r="AX106" i="4"/>
  <c r="AY106" i="4"/>
  <c r="BA106" i="4"/>
  <c r="BC106" i="4"/>
  <c r="AX107" i="4"/>
  <c r="BA107" i="4"/>
  <c r="BC107" i="4"/>
  <c r="AX108" i="4"/>
  <c r="BA108" i="4"/>
  <c r="BC108" i="4"/>
  <c r="AR108" i="4" s="1"/>
  <c r="AX109" i="4"/>
  <c r="BA109" i="4"/>
  <c r="BC109" i="4"/>
  <c r="AX110" i="4"/>
  <c r="BA110" i="4"/>
  <c r="BC110" i="4"/>
  <c r="AX111" i="4"/>
  <c r="BB111" i="4" s="1"/>
  <c r="BA111" i="4"/>
  <c r="BC111" i="4"/>
  <c r="AX112" i="4"/>
  <c r="BA112" i="4"/>
  <c r="BC112" i="4"/>
  <c r="AX113" i="4"/>
  <c r="BA113" i="4"/>
  <c r="BC113" i="4"/>
  <c r="AX114" i="4"/>
  <c r="BA114" i="4"/>
  <c r="BC114" i="4"/>
  <c r="AX115" i="4"/>
  <c r="BA115" i="4"/>
  <c r="BC115" i="4"/>
  <c r="AX116" i="4"/>
  <c r="BA116" i="4"/>
  <c r="BC116" i="4"/>
  <c r="AX117" i="4"/>
  <c r="BA117" i="4"/>
  <c r="BC117" i="4"/>
  <c r="AX118" i="4"/>
  <c r="BA118" i="4"/>
  <c r="BC118" i="4"/>
  <c r="AX119" i="4"/>
  <c r="BA119" i="4"/>
  <c r="BC119" i="4"/>
  <c r="AX120" i="4"/>
  <c r="BA120" i="4"/>
  <c r="BC120" i="4"/>
  <c r="AX121" i="4"/>
  <c r="BA121" i="4"/>
  <c r="BC121" i="4"/>
  <c r="AX122" i="4"/>
  <c r="BA122" i="4"/>
  <c r="BC122" i="4"/>
  <c r="AX123" i="4"/>
  <c r="BA123" i="4"/>
  <c r="BC123" i="4"/>
  <c r="AX124" i="4"/>
  <c r="BA124" i="4"/>
  <c r="BC124" i="4"/>
  <c r="AR124" i="4" s="1"/>
  <c r="AX125" i="4"/>
  <c r="BA125" i="4"/>
  <c r="BC125" i="4"/>
  <c r="AX126" i="4"/>
  <c r="BA126" i="4"/>
  <c r="BC126" i="4"/>
  <c r="AX127" i="4"/>
  <c r="BA127" i="4"/>
  <c r="BC127" i="4"/>
  <c r="AX128" i="4"/>
  <c r="BA128" i="4"/>
  <c r="BC128" i="4"/>
  <c r="AX129" i="4"/>
  <c r="BA129" i="4"/>
  <c r="BC129" i="4"/>
  <c r="AX130" i="4"/>
  <c r="BA130" i="4"/>
  <c r="BC130" i="4"/>
  <c r="AX131" i="4"/>
  <c r="BA131" i="4"/>
  <c r="BC131" i="4"/>
  <c r="AX132" i="4"/>
  <c r="BA132" i="4"/>
  <c r="BC132" i="4"/>
  <c r="AX133" i="4"/>
  <c r="BA133" i="4"/>
  <c r="BC133" i="4"/>
  <c r="AX134" i="4"/>
  <c r="BA134" i="4"/>
  <c r="BC134" i="4"/>
  <c r="AX135" i="4"/>
  <c r="BB135" i="4" s="1"/>
  <c r="AU135" i="4" s="1"/>
  <c r="BA135" i="4"/>
  <c r="BC135" i="4"/>
  <c r="AX136" i="4"/>
  <c r="BA136" i="4"/>
  <c r="BC136" i="4"/>
  <c r="AX137" i="4"/>
  <c r="BA137" i="4"/>
  <c r="BC137" i="4"/>
  <c r="AU111" i="4"/>
  <c r="AU138" i="4"/>
  <c r="AU139" i="4"/>
  <c r="AU140" i="4"/>
  <c r="AU141" i="4"/>
  <c r="AU142" i="4"/>
  <c r="AU143" i="4"/>
  <c r="AU144" i="4"/>
  <c r="AU145" i="4"/>
  <c r="AU146" i="4"/>
  <c r="AU147" i="4"/>
  <c r="AU148" i="4"/>
  <c r="AU149" i="4"/>
  <c r="AU150" i="4"/>
  <c r="AU151" i="4"/>
  <c r="AU152" i="4"/>
  <c r="AU153" i="4"/>
  <c r="AU154" i="4"/>
  <c r="AU155" i="4"/>
  <c r="AU156" i="4"/>
  <c r="AU157" i="4"/>
  <c r="AU158" i="4"/>
  <c r="AU159" i="4"/>
  <c r="AU160" i="4"/>
  <c r="AU161" i="4"/>
  <c r="AU162" i="4"/>
  <c r="AU163" i="4"/>
  <c r="AU164" i="4"/>
  <c r="AU165" i="4"/>
  <c r="AU166" i="4"/>
  <c r="AU167" i="4"/>
  <c r="AU168" i="4"/>
  <c r="AU169" i="4"/>
  <c r="AU170" i="4"/>
  <c r="AU171" i="4"/>
  <c r="AU172" i="4"/>
  <c r="AU173" i="4"/>
  <c r="AU174" i="4"/>
  <c r="AU175" i="4"/>
  <c r="AU176" i="4"/>
  <c r="AU177" i="4"/>
  <c r="AU178" i="4"/>
  <c r="AU179" i="4"/>
  <c r="AU180" i="4"/>
  <c r="AU181" i="4"/>
  <c r="AU182" i="4"/>
  <c r="AU183" i="4"/>
  <c r="AU184" i="4"/>
  <c r="AU185" i="4"/>
  <c r="AU186" i="4"/>
  <c r="AU187" i="4"/>
  <c r="AU188" i="4"/>
  <c r="AU189" i="4"/>
  <c r="AU190" i="4"/>
  <c r="AU191" i="4"/>
  <c r="AU192" i="4"/>
  <c r="AU193" i="4"/>
  <c r="AU194" i="4"/>
  <c r="AU195" i="4"/>
  <c r="AU196" i="4"/>
  <c r="AU197" i="4"/>
  <c r="AU198" i="4"/>
  <c r="AU199" i="4"/>
  <c r="AU200" i="4"/>
  <c r="AU201" i="4"/>
  <c r="AU202" i="4"/>
  <c r="AU203" i="4"/>
  <c r="AU204" i="4"/>
  <c r="AU205" i="4"/>
  <c r="AU206" i="4"/>
  <c r="AU207" i="4"/>
  <c r="AU208" i="4"/>
  <c r="AU209" i="4"/>
  <c r="AU210" i="4"/>
  <c r="AU211" i="4"/>
  <c r="AU212" i="4"/>
  <c r="AU213" i="4"/>
  <c r="AU214" i="4"/>
  <c r="AU215" i="4"/>
  <c r="AU216" i="4"/>
  <c r="AU217" i="4"/>
  <c r="AU218" i="4"/>
  <c r="AU219" i="4"/>
  <c r="AU220" i="4"/>
  <c r="AU221" i="4"/>
  <c r="AU222" i="4"/>
  <c r="AU223" i="4"/>
  <c r="AU224" i="4"/>
  <c r="AU225" i="4"/>
  <c r="AU226" i="4"/>
  <c r="AU227" i="4"/>
  <c r="AU228" i="4"/>
  <c r="AU229" i="4"/>
  <c r="AU230" i="4"/>
  <c r="AU231" i="4"/>
  <c r="AU232" i="4"/>
  <c r="AU233" i="4"/>
  <c r="AU234" i="4"/>
  <c r="AU235" i="4"/>
  <c r="AU236" i="4"/>
  <c r="AU237" i="4"/>
  <c r="AU238" i="4"/>
  <c r="AU239" i="4"/>
  <c r="AU240" i="4"/>
  <c r="AU241" i="4"/>
  <c r="AU242" i="4"/>
  <c r="AU243" i="4"/>
  <c r="AU244" i="4"/>
  <c r="AU245" i="4"/>
  <c r="AU246" i="4"/>
  <c r="AU247" i="4"/>
  <c r="AU248" i="4"/>
  <c r="AU249" i="4"/>
  <c r="AU250" i="4"/>
  <c r="AU251" i="4"/>
  <c r="AU252" i="4"/>
  <c r="AU253" i="4"/>
  <c r="AU254" i="4"/>
  <c r="AU255" i="4"/>
  <c r="AU256" i="4"/>
  <c r="AU257" i="4"/>
  <c r="AU258" i="4"/>
  <c r="AU259" i="4"/>
  <c r="AU260" i="4"/>
  <c r="AU261" i="4"/>
  <c r="AU262" i="4"/>
  <c r="S12" i="4"/>
  <c r="U12" i="4" s="1"/>
  <c r="R12" i="4"/>
  <c r="K12" i="4"/>
  <c r="AP37" i="2"/>
  <c r="AP36" i="2"/>
  <c r="BC8" i="4"/>
  <c r="BA8" i="4"/>
  <c r="AY8" i="4"/>
  <c r="AX8" i="4"/>
  <c r="AP35" i="2"/>
  <c r="AP34" i="2"/>
  <c r="S11" i="4"/>
  <c r="U11" i="4" s="1"/>
  <c r="R11" i="4"/>
  <c r="K11" i="4"/>
  <c r="M9" i="4"/>
  <c r="S10" i="4"/>
  <c r="U10" i="4" s="1"/>
  <c r="K10" i="4"/>
  <c r="AL9" i="4"/>
  <c r="AL1" i="4" s="1" a="1"/>
  <c r="AL1" i="4" s="1"/>
  <c r="K9" i="4"/>
  <c r="K8" i="4"/>
  <c r="AP33" i="2"/>
  <c r="AP31" i="2"/>
  <c r="AP30" i="2"/>
  <c r="AP29" i="2"/>
  <c r="AP28" i="2"/>
  <c r="AP27" i="2"/>
  <c r="AP26" i="2"/>
  <c r="AP25" i="2"/>
  <c r="AP24" i="2"/>
  <c r="BE24" i="2"/>
  <c r="BE25" i="2"/>
  <c r="BE26" i="2"/>
  <c r="BE27" i="2"/>
  <c r="BE28" i="2"/>
  <c r="BE29" i="2"/>
  <c r="BE30" i="2"/>
  <c r="BE31" i="2"/>
  <c r="BE32" i="2"/>
  <c r="BE33" i="2"/>
  <c r="BE34" i="2"/>
  <c r="BE35" i="2"/>
  <c r="BE36" i="2"/>
  <c r="BE37" i="2"/>
  <c r="BE38" i="2"/>
  <c r="BE39" i="2"/>
  <c r="BE40" i="2"/>
  <c r="BE41" i="2"/>
  <c r="BE42" i="2"/>
  <c r="BE43" i="2"/>
  <c r="BE44" i="2"/>
  <c r="BE45" i="2"/>
  <c r="BE46" i="2"/>
  <c r="BE47" i="2"/>
  <c r="BE48" i="2"/>
  <c r="BE49" i="2"/>
  <c r="BE50" i="2"/>
  <c r="BE51" i="2"/>
  <c r="BE52" i="2"/>
  <c r="BE53" i="2"/>
  <c r="BE54" i="2"/>
  <c r="BE55" i="2"/>
  <c r="BE56" i="2"/>
  <c r="BE57" i="2"/>
  <c r="BE58" i="2"/>
  <c r="BE59" i="2"/>
  <c r="BE60" i="2"/>
  <c r="BE61" i="2"/>
  <c r="BE62" i="2"/>
  <c r="BE63" i="2"/>
  <c r="BE64" i="2"/>
  <c r="BE65" i="2"/>
  <c r="BE66" i="2"/>
  <c r="BE67" i="2"/>
  <c r="BE68" i="2"/>
  <c r="BE69" i="2"/>
  <c r="BE70" i="2"/>
  <c r="BE71" i="2"/>
  <c r="BE72" i="2"/>
  <c r="BE73" i="2"/>
  <c r="BE74" i="2"/>
  <c r="BE75" i="2"/>
  <c r="BE76" i="2"/>
  <c r="BE77" i="2"/>
  <c r="BE78" i="2"/>
  <c r="BE79" i="2"/>
  <c r="BE80" i="2"/>
  <c r="BE81" i="2"/>
  <c r="BE82" i="2"/>
  <c r="BE83" i="2"/>
  <c r="BE84" i="2"/>
  <c r="BE85" i="2"/>
  <c r="BE86" i="2"/>
  <c r="BE87" i="2"/>
  <c r="BE88" i="2"/>
  <c r="BE89" i="2"/>
  <c r="BE90" i="2"/>
  <c r="BE91" i="2"/>
  <c r="BE92" i="2"/>
  <c r="BE93" i="2"/>
  <c r="BE94" i="2"/>
  <c r="BE95" i="2"/>
  <c r="BE96" i="2"/>
  <c r="BE97" i="2"/>
  <c r="BE98" i="2"/>
  <c r="BE99" i="2"/>
  <c r="BE100" i="2"/>
  <c r="BE101" i="2"/>
  <c r="BE102" i="2"/>
  <c r="BE103" i="2"/>
  <c r="BE104" i="2"/>
  <c r="BE105" i="2"/>
  <c r="BE106" i="2"/>
  <c r="BE107" i="2"/>
  <c r="BE108" i="2"/>
  <c r="BE109" i="2"/>
  <c r="BE110" i="2"/>
  <c r="BE111" i="2"/>
  <c r="BE112" i="2"/>
  <c r="BE113" i="2"/>
  <c r="BE114" i="2"/>
  <c r="BE115" i="2"/>
  <c r="BE116" i="2"/>
  <c r="BE117" i="2"/>
  <c r="BE118" i="2"/>
  <c r="BE119" i="2"/>
  <c r="BE120" i="2"/>
  <c r="BE121" i="2"/>
  <c r="BE122" i="2"/>
  <c r="BE123" i="2"/>
  <c r="BE124" i="2"/>
  <c r="BE125" i="2"/>
  <c r="BE126" i="2"/>
  <c r="BE127" i="2"/>
  <c r="BE128" i="2"/>
  <c r="BE129" i="2"/>
  <c r="BE130" i="2"/>
  <c r="BE131" i="2"/>
  <c r="BE132" i="2"/>
  <c r="BE133" i="2"/>
  <c r="BE134" i="2"/>
  <c r="BE135" i="2"/>
  <c r="BE136" i="2"/>
  <c r="BE137" i="2"/>
  <c r="BE138" i="2"/>
  <c r="BE139" i="2"/>
  <c r="BE140" i="2"/>
  <c r="BE141" i="2"/>
  <c r="BE142" i="2"/>
  <c r="BE143" i="2"/>
  <c r="BE144" i="2"/>
  <c r="BE145" i="2"/>
  <c r="BE146" i="2"/>
  <c r="BE147" i="2"/>
  <c r="BE148" i="2"/>
  <c r="BE149" i="2"/>
  <c r="BE150" i="2"/>
  <c r="BE151" i="2"/>
  <c r="BE152" i="2"/>
  <c r="BE153" i="2"/>
  <c r="BE154" i="2"/>
  <c r="BE155" i="2"/>
  <c r="BE156" i="2"/>
  <c r="BE157" i="2"/>
  <c r="BE158" i="2"/>
  <c r="BE159" i="2"/>
  <c r="BE160" i="2"/>
  <c r="BE161" i="2"/>
  <c r="BE162" i="2"/>
  <c r="BE163" i="2"/>
  <c r="BE164" i="2"/>
  <c r="BE165" i="2"/>
  <c r="BE166" i="2"/>
  <c r="BE167" i="2"/>
  <c r="BE168" i="2"/>
  <c r="BE169" i="2"/>
  <c r="BE170" i="2"/>
  <c r="BE171" i="2"/>
  <c r="BE172" i="2"/>
  <c r="BE173" i="2"/>
  <c r="BE174" i="2"/>
  <c r="BE175" i="2"/>
  <c r="BE176" i="2"/>
  <c r="BE177" i="2"/>
  <c r="BE178" i="2"/>
  <c r="BE179" i="2"/>
  <c r="BE180" i="2"/>
  <c r="BE181" i="2"/>
  <c r="BE182" i="2"/>
  <c r="BE183" i="2"/>
  <c r="BE184" i="2"/>
  <c r="BE185" i="2"/>
  <c r="BE186" i="2"/>
  <c r="BE187" i="2"/>
  <c r="BE188" i="2"/>
  <c r="BE189" i="2"/>
  <c r="BE190" i="2"/>
  <c r="BE191" i="2"/>
  <c r="BE192" i="2"/>
  <c r="BE193" i="2"/>
  <c r="BE194" i="2"/>
  <c r="BE195" i="2"/>
  <c r="BE196" i="2"/>
  <c r="BE197" i="2"/>
  <c r="BE198" i="2"/>
  <c r="BE199" i="2"/>
  <c r="BE200" i="2"/>
  <c r="BE201" i="2"/>
  <c r="BE202" i="2"/>
  <c r="BE203" i="2"/>
  <c r="BE204" i="2"/>
  <c r="BE205" i="2"/>
  <c r="BE206" i="2"/>
  <c r="BE207" i="2"/>
  <c r="BE208" i="2"/>
  <c r="BE209" i="2"/>
  <c r="BE210" i="2"/>
  <c r="BE211" i="2"/>
  <c r="BE212" i="2"/>
  <c r="BE213" i="2"/>
  <c r="BE214" i="2"/>
  <c r="BE215" i="2"/>
  <c r="BE216" i="2"/>
  <c r="BE217" i="2"/>
  <c r="BE218" i="2"/>
  <c r="BE219" i="2"/>
  <c r="BE220" i="2"/>
  <c r="BE221" i="2"/>
  <c r="BE222" i="2"/>
  <c r="BE223" i="2"/>
  <c r="BE224" i="2"/>
  <c r="BE225" i="2"/>
  <c r="BE226" i="2"/>
  <c r="BE227" i="2"/>
  <c r="BE228" i="2"/>
  <c r="BE229" i="2"/>
  <c r="BE230" i="2"/>
  <c r="BE231" i="2"/>
  <c r="BE232" i="2"/>
  <c r="BE233" i="2"/>
  <c r="BE234" i="2"/>
  <c r="BE7" i="2"/>
  <c r="BE8" i="2"/>
  <c r="BE9" i="2"/>
  <c r="BE10" i="2"/>
  <c r="BE11" i="2"/>
  <c r="BE12" i="2"/>
  <c r="BE13" i="2"/>
  <c r="BE14" i="2"/>
  <c r="BE15" i="2"/>
  <c r="BE16" i="2"/>
  <c r="BE17" i="2"/>
  <c r="BE18" i="2"/>
  <c r="BE19" i="2"/>
  <c r="BE20" i="2"/>
  <c r="BE21" i="2"/>
  <c r="BE22" i="2"/>
  <c r="BE23" i="2"/>
  <c r="BE6" i="2"/>
  <c r="AP6" i="2"/>
  <c r="AP7" i="2"/>
  <c r="AP8" i="2"/>
  <c r="AP9" i="2"/>
  <c r="AP10" i="2"/>
  <c r="AS10" i="2" s="1"/>
  <c r="AP11" i="2"/>
  <c r="AS11" i="2" s="1"/>
  <c r="AP12" i="2"/>
  <c r="AS12" i="2" s="1"/>
  <c r="AP13" i="2"/>
  <c r="AS13" i="2" s="1"/>
  <c r="AP14" i="2"/>
  <c r="AS14" i="2" s="1"/>
  <c r="AP15" i="2"/>
  <c r="AS15" i="2" s="1"/>
  <c r="AP16" i="2"/>
  <c r="AP17" i="2"/>
  <c r="AP18" i="2"/>
  <c r="AP19" i="2"/>
  <c r="AP20" i="2"/>
  <c r="AP21" i="2"/>
  <c r="AP22" i="2"/>
  <c r="AP23" i="2"/>
  <c r="M20" i="2"/>
  <c r="M21" i="2"/>
  <c r="M22" i="2"/>
  <c r="M23" i="2"/>
  <c r="M24" i="2"/>
  <c r="M25" i="2"/>
  <c r="M26" i="2"/>
  <c r="M27" i="2"/>
  <c r="M28" i="2"/>
  <c r="M29" i="2"/>
  <c r="M30" i="2"/>
  <c r="M31" i="2"/>
  <c r="M34" i="2"/>
  <c r="M35" i="2"/>
  <c r="M36" i="2"/>
  <c r="M37" i="2"/>
  <c r="M7" i="2"/>
  <c r="M8" i="2"/>
  <c r="M9" i="2"/>
  <c r="M10" i="2"/>
  <c r="M11" i="2"/>
  <c r="M12" i="2"/>
  <c r="M13" i="2"/>
  <c r="M14" i="2"/>
  <c r="M15" i="2"/>
  <c r="M16" i="2"/>
  <c r="M17" i="2"/>
  <c r="M18" i="2"/>
  <c r="M19" i="2"/>
  <c r="M6" i="2"/>
  <c r="AR18" i="2"/>
  <c r="AR16" i="2"/>
  <c r="AR17" i="2"/>
  <c r="AR136" i="4" l="1"/>
  <c r="AR114" i="4"/>
  <c r="AR135" i="4"/>
  <c r="AR119" i="4"/>
  <c r="AR129" i="4"/>
  <c r="AR113" i="4"/>
  <c r="AR118" i="4"/>
  <c r="AR123" i="4"/>
  <c r="AR107" i="4"/>
  <c r="AR134" i="4"/>
  <c r="AR229" i="4"/>
  <c r="AR240" i="4"/>
  <c r="AR221" i="4"/>
  <c r="AR217" i="4"/>
  <c r="AR226" i="4"/>
  <c r="AR224" i="4"/>
  <c r="AR236" i="4"/>
  <c r="AR232" i="4"/>
  <c r="AR213" i="4"/>
  <c r="AR235" i="4"/>
  <c r="AR239" i="4"/>
  <c r="AR220" i="4"/>
  <c r="AR216" i="4"/>
  <c r="AR244" i="4"/>
  <c r="AR231" i="4"/>
  <c r="AR237" i="4"/>
  <c r="AR223" i="4"/>
  <c r="AR228" i="4"/>
  <c r="AR238" i="4"/>
  <c r="AR219" i="4"/>
  <c r="AR215" i="4"/>
  <c r="AR212" i="4"/>
  <c r="AR242" i="4"/>
  <c r="AR222" i="4"/>
  <c r="AR234" i="4"/>
  <c r="AR225" i="4"/>
  <c r="AR243" i="4"/>
  <c r="AR214" i="4"/>
  <c r="AR241" i="4"/>
  <c r="AR218" i="4"/>
  <c r="AR230" i="4"/>
  <c r="AR227" i="4"/>
  <c r="AR233" i="4"/>
  <c r="AR128" i="4"/>
  <c r="AR112" i="4"/>
  <c r="AR133" i="4"/>
  <c r="AR117" i="4"/>
  <c r="AR122" i="4"/>
  <c r="AR127" i="4"/>
  <c r="AR111" i="4"/>
  <c r="AR132" i="4"/>
  <c r="AR116" i="4"/>
  <c r="AR137" i="4"/>
  <c r="AR121" i="4"/>
  <c r="AR110" i="4"/>
  <c r="AR126" i="4"/>
  <c r="AR131" i="4"/>
  <c r="AR115" i="4"/>
  <c r="AR120" i="4"/>
  <c r="AR125" i="4"/>
  <c r="AR109" i="4"/>
  <c r="AR130" i="4"/>
  <c r="AR161" i="4"/>
  <c r="AR165" i="4"/>
  <c r="AR171" i="4"/>
  <c r="AR139" i="4"/>
  <c r="AR142" i="4"/>
  <c r="AR144" i="4"/>
  <c r="AR146" i="4"/>
  <c r="AR149" i="4"/>
  <c r="AR150" i="4"/>
  <c r="AR153" i="4"/>
  <c r="AR155" i="4"/>
  <c r="AR157" i="4"/>
  <c r="AR160" i="4"/>
  <c r="AR168" i="4"/>
  <c r="AR172" i="4"/>
  <c r="AR173" i="4"/>
  <c r="AR174" i="4"/>
  <c r="AR175" i="4"/>
  <c r="AR176" i="4"/>
  <c r="AR177" i="4"/>
  <c r="AR178" i="4"/>
  <c r="AR179" i="4"/>
  <c r="AR180" i="4"/>
  <c r="AR181" i="4"/>
  <c r="AR182" i="4"/>
  <c r="AR183" i="4"/>
  <c r="AR184" i="4"/>
  <c r="AR185" i="4"/>
  <c r="AR186" i="4"/>
  <c r="AR187" i="4"/>
  <c r="AR188" i="4"/>
  <c r="AR190" i="4"/>
  <c r="AR191" i="4"/>
  <c r="AR192" i="4"/>
  <c r="AR193" i="4"/>
  <c r="AR195" i="4"/>
  <c r="AR197" i="4"/>
  <c r="AR200" i="4"/>
  <c r="AR201" i="4"/>
  <c r="AR203" i="4"/>
  <c r="AR207" i="4"/>
  <c r="AR210" i="4"/>
  <c r="AR189" i="4"/>
  <c r="AR194" i="4"/>
  <c r="AR196" i="4"/>
  <c r="AR199" i="4"/>
  <c r="AR202" i="4"/>
  <c r="AR138" i="4"/>
  <c r="AR206" i="4"/>
  <c r="AR208" i="4"/>
  <c r="AR198" i="4"/>
  <c r="AR205" i="4"/>
  <c r="AR209" i="4"/>
  <c r="AR211" i="4"/>
  <c r="AR163" i="4"/>
  <c r="AR169" i="4"/>
  <c r="AR140" i="4"/>
  <c r="AR141" i="4"/>
  <c r="AR166" i="4"/>
  <c r="AR143" i="4"/>
  <c r="AR204" i="4"/>
  <c r="AR145" i="4"/>
  <c r="AR167" i="4"/>
  <c r="AR147" i="4"/>
  <c r="AR148" i="4"/>
  <c r="AR162" i="4"/>
  <c r="AR151" i="4"/>
  <c r="AR152" i="4"/>
  <c r="AR154" i="4"/>
  <c r="AR156" i="4"/>
  <c r="AR170" i="4"/>
  <c r="AR158" i="4"/>
  <c r="AR159" i="4"/>
  <c r="AR164" i="4"/>
  <c r="W119" i="2"/>
  <c r="W131" i="2"/>
  <c r="W132" i="2"/>
  <c r="W143" i="2"/>
  <c r="W144" i="2"/>
  <c r="W155" i="2"/>
  <c r="W156" i="2"/>
  <c r="W167" i="2"/>
  <c r="W168" i="2"/>
  <c r="W169" i="2"/>
  <c r="W157" i="2"/>
  <c r="W145" i="2"/>
  <c r="W133" i="2"/>
  <c r="W121" i="2"/>
  <c r="X226" i="2"/>
  <c r="Y226" i="2" s="1"/>
  <c r="W226" i="2"/>
  <c r="W190" i="2"/>
  <c r="X190" i="2"/>
  <c r="Y190" i="2" s="1"/>
  <c r="X225" i="2"/>
  <c r="Y225" i="2" s="1"/>
  <c r="W225" i="2"/>
  <c r="X213" i="2"/>
  <c r="Y213" i="2" s="1"/>
  <c r="AD213" i="2" s="1"/>
  <c r="AS213" i="2" s="1"/>
  <c r="W213" i="2"/>
  <c r="X201" i="2"/>
  <c r="Y201" i="2" s="1"/>
  <c r="AD201" i="2" s="1"/>
  <c r="AS201" i="2" s="1"/>
  <c r="W201" i="2"/>
  <c r="X189" i="2"/>
  <c r="Y189" i="2" s="1"/>
  <c r="AD189" i="2" s="1"/>
  <c r="AS189" i="2" s="1"/>
  <c r="AU189" i="2" s="1"/>
  <c r="W189" i="2"/>
  <c r="X141" i="2"/>
  <c r="W228" i="2"/>
  <c r="X228" i="2"/>
  <c r="Y228" i="2" s="1"/>
  <c r="X204" i="2"/>
  <c r="Y204" i="2" s="1"/>
  <c r="W204" i="2"/>
  <c r="X215" i="2"/>
  <c r="Y215" i="2" s="1"/>
  <c r="AD215" i="2" s="1"/>
  <c r="AS215" i="2" s="1"/>
  <c r="W215" i="2"/>
  <c r="W191" i="2"/>
  <c r="X191" i="2"/>
  <c r="Y191" i="2" s="1"/>
  <c r="AD191" i="2" s="1"/>
  <c r="AS191" i="2" s="1"/>
  <c r="AU191" i="2" s="1"/>
  <c r="W212" i="2"/>
  <c r="X212" i="2"/>
  <c r="Y212" i="2" s="1"/>
  <c r="X200" i="2"/>
  <c r="Y200" i="2" s="1"/>
  <c r="W200" i="2"/>
  <c r="W188" i="2"/>
  <c r="X188" i="2"/>
  <c r="Y188" i="2" s="1"/>
  <c r="X223" i="2"/>
  <c r="Y223" i="2" s="1"/>
  <c r="W223" i="2"/>
  <c r="W211" i="2"/>
  <c r="X211" i="2"/>
  <c r="Y211" i="2" s="1"/>
  <c r="AD211" i="2" s="1"/>
  <c r="AS211" i="2" s="1"/>
  <c r="W199" i="2"/>
  <c r="X199" i="2"/>
  <c r="Y199" i="2" s="1"/>
  <c r="AD199" i="2" s="1"/>
  <c r="AS199" i="2" s="1"/>
  <c r="W187" i="2"/>
  <c r="X187" i="2"/>
  <c r="Y187" i="2" s="1"/>
  <c r="AD187" i="2" s="1"/>
  <c r="AS187" i="2" s="1"/>
  <c r="AU187" i="2" s="1"/>
  <c r="X214" i="2"/>
  <c r="Y214" i="2" s="1"/>
  <c r="W214" i="2"/>
  <c r="X234" i="2"/>
  <c r="Y234" i="2" s="1"/>
  <c r="W234" i="2"/>
  <c r="W222" i="2"/>
  <c r="X222" i="2"/>
  <c r="Y222" i="2" s="1"/>
  <c r="W210" i="2"/>
  <c r="X210" i="2"/>
  <c r="Y210" i="2" s="1"/>
  <c r="W198" i="2"/>
  <c r="X198" i="2"/>
  <c r="Y198" i="2" s="1"/>
  <c r="X186" i="2"/>
  <c r="Y186" i="2" s="1"/>
  <c r="W186" i="2"/>
  <c r="W202" i="2"/>
  <c r="X202" i="2"/>
  <c r="Y202" i="2" s="1"/>
  <c r="M1" i="2"/>
  <c r="X233" i="2"/>
  <c r="Y233" i="2" s="1"/>
  <c r="W233" i="2"/>
  <c r="W221" i="2"/>
  <c r="X221" i="2"/>
  <c r="Y221" i="2" s="1"/>
  <c r="AD221" i="2" s="1"/>
  <c r="AS221" i="2" s="1"/>
  <c r="W209" i="2"/>
  <c r="X209" i="2"/>
  <c r="Y209" i="2" s="1"/>
  <c r="AD209" i="2" s="1"/>
  <c r="AS209" i="2" s="1"/>
  <c r="W197" i="2"/>
  <c r="X197" i="2"/>
  <c r="Y197" i="2" s="1"/>
  <c r="W185" i="2"/>
  <c r="X185" i="2"/>
  <c r="Y185" i="2" s="1"/>
  <c r="AD185" i="2" s="1"/>
  <c r="AS185" i="2" s="1"/>
  <c r="AU185" i="2" s="1"/>
  <c r="X232" i="2"/>
  <c r="Y232" i="2" s="1"/>
  <c r="W232" i="2"/>
  <c r="W220" i="2"/>
  <c r="X220" i="2"/>
  <c r="Y220" i="2" s="1"/>
  <c r="X208" i="2"/>
  <c r="Y208" i="2" s="1"/>
  <c r="W208" i="2"/>
  <c r="W196" i="2"/>
  <c r="X196" i="2"/>
  <c r="Y196" i="2" s="1"/>
  <c r="W184" i="2"/>
  <c r="X184" i="2"/>
  <c r="Y184" i="2" s="1"/>
  <c r="X219" i="2"/>
  <c r="Y219" i="2" s="1"/>
  <c r="AD219" i="2" s="1"/>
  <c r="AS219" i="2" s="1"/>
  <c r="W219" i="2"/>
  <c r="X207" i="2"/>
  <c r="Y207" i="2" s="1"/>
  <c r="AD207" i="2" s="1"/>
  <c r="AS207" i="2" s="1"/>
  <c r="W207" i="2"/>
  <c r="X195" i="2"/>
  <c r="Y195" i="2" s="1"/>
  <c r="W195" i="2"/>
  <c r="W183" i="2"/>
  <c r="X183" i="2"/>
  <c r="Y183" i="2" s="1"/>
  <c r="X229" i="2"/>
  <c r="Y229" i="2" s="1"/>
  <c r="W229" i="2"/>
  <c r="X217" i="2"/>
  <c r="Y217" i="2" s="1"/>
  <c r="W217" i="2"/>
  <c r="X205" i="2"/>
  <c r="Y205" i="2" s="1"/>
  <c r="W205" i="2"/>
  <c r="W193" i="2"/>
  <c r="X193" i="2"/>
  <c r="Y193" i="2" s="1"/>
  <c r="AD193" i="2" s="1"/>
  <c r="AS193" i="2" s="1"/>
  <c r="AU193" i="2" s="1"/>
  <c r="W216" i="2"/>
  <c r="X216" i="2"/>
  <c r="Y216" i="2" s="1"/>
  <c r="W227" i="2"/>
  <c r="X227" i="2"/>
  <c r="Y227" i="2" s="1"/>
  <c r="X203" i="2"/>
  <c r="Y203" i="2" s="1"/>
  <c r="AD203" i="2" s="1"/>
  <c r="AS203" i="2" s="1"/>
  <c r="W203" i="2"/>
  <c r="P1" i="2"/>
  <c r="X230" i="2"/>
  <c r="Y230" i="2" s="1"/>
  <c r="W230" i="2"/>
  <c r="X218" i="2"/>
  <c r="Y218" i="2" s="1"/>
  <c r="W218" i="2"/>
  <c r="X206" i="2"/>
  <c r="Y206" i="2" s="1"/>
  <c r="W206" i="2"/>
  <c r="W194" i="2"/>
  <c r="X194" i="2"/>
  <c r="Y194" i="2" s="1"/>
  <c r="X182" i="2"/>
  <c r="Y182" i="2" s="1"/>
  <c r="W182" i="2"/>
  <c r="W231" i="2"/>
  <c r="X231" i="2"/>
  <c r="Y231" i="2" s="1"/>
  <c r="X224" i="2"/>
  <c r="Y224" i="2" s="1"/>
  <c r="W224" i="2"/>
  <c r="AR86" i="4"/>
  <c r="AR85" i="4"/>
  <c r="W192" i="2"/>
  <c r="X192" i="2"/>
  <c r="Y192" i="2" s="1"/>
  <c r="W180" i="2"/>
  <c r="X180" i="2"/>
  <c r="Y180" i="2" s="1"/>
  <c r="W181" i="2"/>
  <c r="X181" i="2"/>
  <c r="Y181" i="2" s="1"/>
  <c r="X179" i="2"/>
  <c r="Y179" i="2" s="1"/>
  <c r="W179" i="2"/>
  <c r="W178" i="2"/>
  <c r="X178" i="2"/>
  <c r="Y178" i="2" s="1"/>
  <c r="X177" i="2"/>
  <c r="Y177" i="2" s="1"/>
  <c r="W177" i="2"/>
  <c r="X175" i="2"/>
  <c r="Y175" i="2" s="1"/>
  <c r="AD175" i="2" s="1"/>
  <c r="W175" i="2"/>
  <c r="W176" i="2"/>
  <c r="X176" i="2"/>
  <c r="Y176" i="2" s="1"/>
  <c r="AR69" i="4"/>
  <c r="AR66" i="4"/>
  <c r="AR84" i="4"/>
  <c r="AR83" i="4"/>
  <c r="AR82" i="4"/>
  <c r="X158" i="2"/>
  <c r="Y158" i="2" s="1"/>
  <c r="AR79" i="4"/>
  <c r="AR76" i="4"/>
  <c r="AR73" i="4"/>
  <c r="AR75" i="4"/>
  <c r="AR63" i="4"/>
  <c r="AR60" i="4"/>
  <c r="AR72" i="4"/>
  <c r="AR62" i="4"/>
  <c r="AR59" i="4"/>
  <c r="AR65" i="4"/>
  <c r="AR70" i="4"/>
  <c r="AR67" i="4"/>
  <c r="AR64" i="4"/>
  <c r="AR61" i="4"/>
  <c r="AR78" i="4"/>
  <c r="AR81" i="4"/>
  <c r="AR80" i="4"/>
  <c r="AR71" i="4"/>
  <c r="AR68" i="4"/>
  <c r="AR77" i="4"/>
  <c r="AR74" i="4"/>
  <c r="BB132" i="4"/>
  <c r="AU132" i="4" s="1"/>
  <c r="BB120" i="4"/>
  <c r="AU120" i="4" s="1"/>
  <c r="BB108" i="4"/>
  <c r="AU108" i="4" s="1"/>
  <c r="AR58" i="4"/>
  <c r="W166" i="2"/>
  <c r="W154" i="2"/>
  <c r="W142" i="2"/>
  <c r="W130" i="2"/>
  <c r="W118" i="2"/>
  <c r="W165" i="2"/>
  <c r="W153" i="2"/>
  <c r="W141" i="2"/>
  <c r="W129" i="2"/>
  <c r="W117" i="2"/>
  <c r="AR57" i="4"/>
  <c r="AR56" i="4"/>
  <c r="AR55" i="4"/>
  <c r="AR54" i="4"/>
  <c r="AU86" i="31"/>
  <c r="AT86" i="31"/>
  <c r="C88" i="31"/>
  <c r="C87" i="31"/>
  <c r="AU85" i="31"/>
  <c r="AT85" i="31"/>
  <c r="W120" i="2"/>
  <c r="BB121" i="4"/>
  <c r="AU121" i="4" s="1"/>
  <c r="BB114" i="4"/>
  <c r="AU114" i="4" s="1"/>
  <c r="AR53" i="4"/>
  <c r="AR52" i="4"/>
  <c r="AM10" i="4"/>
  <c r="AR51" i="4"/>
  <c r="AR50" i="4"/>
  <c r="BB127" i="4"/>
  <c r="AU127" i="4" s="1"/>
  <c r="W163" i="2"/>
  <c r="W151" i="2"/>
  <c r="W139" i="2"/>
  <c r="W127" i="2"/>
  <c r="W115" i="2"/>
  <c r="W174" i="2"/>
  <c r="W173" i="2"/>
  <c r="W161" i="2"/>
  <c r="W149" i="2"/>
  <c r="W137" i="2"/>
  <c r="W125" i="2"/>
  <c r="W113" i="2"/>
  <c r="W150" i="2"/>
  <c r="W172" i="2"/>
  <c r="W160" i="2"/>
  <c r="W148" i="2"/>
  <c r="W136" i="2"/>
  <c r="W124" i="2"/>
  <c r="AR1" i="2" a="1"/>
  <c r="AR1" i="2" s="1"/>
  <c r="W171" i="2"/>
  <c r="W159" i="2"/>
  <c r="W147" i="2"/>
  <c r="W135" i="2"/>
  <c r="W123" i="2"/>
  <c r="W164" i="2"/>
  <c r="W152" i="2"/>
  <c r="W140" i="2"/>
  <c r="W128" i="2"/>
  <c r="W116" i="2"/>
  <c r="W162" i="2"/>
  <c r="W138" i="2"/>
  <c r="W126" i="2"/>
  <c r="W114" i="2"/>
  <c r="W170" i="2"/>
  <c r="W158" i="2"/>
  <c r="W146" i="2"/>
  <c r="W134" i="2"/>
  <c r="W122" i="2"/>
  <c r="K1" i="4" a="1"/>
  <c r="K1" i="4" s="1"/>
  <c r="AS7" i="2"/>
  <c r="AU14" i="2"/>
  <c r="AU13" i="2"/>
  <c r="AP1" i="2" a="1"/>
  <c r="AP1" i="2" s="1"/>
  <c r="AS6" i="2"/>
  <c r="AU15" i="2"/>
  <c r="AU12" i="2"/>
  <c r="AU11" i="2"/>
  <c r="AU10" i="2"/>
  <c r="AS9" i="2"/>
  <c r="AU9" i="2" s="1"/>
  <c r="AS8" i="2"/>
  <c r="AU8" i="2" s="1"/>
  <c r="AO11" i="4"/>
  <c r="AO12" i="4"/>
  <c r="AO10" i="4"/>
  <c r="BB122" i="4"/>
  <c r="AU122" i="4" s="1"/>
  <c r="AR49" i="4"/>
  <c r="AM11" i="4"/>
  <c r="AM12" i="4"/>
  <c r="AR48" i="4"/>
  <c r="AR44" i="4"/>
  <c r="BB129" i="4"/>
  <c r="AU129" i="4" s="1"/>
  <c r="BB130" i="4"/>
  <c r="AU130" i="4" s="1"/>
  <c r="BB136" i="4"/>
  <c r="AU136" i="4" s="1"/>
  <c r="BB128" i="4"/>
  <c r="AU128" i="4" s="1"/>
  <c r="BB124" i="4"/>
  <c r="AU124" i="4" s="1"/>
  <c r="BB116" i="4"/>
  <c r="AU116" i="4" s="1"/>
  <c r="BB112" i="4"/>
  <c r="AU112" i="4" s="1"/>
  <c r="AR46" i="4"/>
  <c r="AR45" i="4"/>
  <c r="AR47" i="4"/>
  <c r="CQ9" i="7"/>
  <c r="CR9" i="7" s="1"/>
  <c r="CS9" i="7" s="1"/>
  <c r="CT9" i="7" s="1"/>
  <c r="CU9" i="7" s="1"/>
  <c r="CV9" i="7" s="1"/>
  <c r="CW9" i="7" s="1"/>
  <c r="CX9" i="7" s="1"/>
  <c r="CY9" i="7" s="1"/>
  <c r="CZ9" i="7" s="1"/>
  <c r="DA9" i="7" s="1"/>
  <c r="DB9" i="7" s="1"/>
  <c r="DC9" i="7" s="1"/>
  <c r="DD9" i="7" s="1"/>
  <c r="DE9" i="7" s="1"/>
  <c r="DF9" i="7" s="1"/>
  <c r="DG9" i="7" s="1"/>
  <c r="DH9" i="7" s="1"/>
  <c r="DI9" i="7" s="1"/>
  <c r="DJ9" i="7" s="1"/>
  <c r="DK9" i="7" s="1"/>
  <c r="DL9" i="7" s="1"/>
  <c r="DM9" i="7" s="1"/>
  <c r="DN9" i="7" s="1"/>
  <c r="DO9" i="7" s="1"/>
  <c r="DP9" i="7" s="1"/>
  <c r="DQ9" i="7" s="1"/>
  <c r="DR9" i="7" s="1"/>
  <c r="DS9" i="7" s="1"/>
  <c r="DT9" i="7" s="1"/>
  <c r="DU9" i="7" s="1"/>
  <c r="DV9" i="7" s="1"/>
  <c r="DW9" i="7" s="1"/>
  <c r="DX9" i="7" s="1"/>
  <c r="DY9" i="7" s="1"/>
  <c r="DZ9" i="7" s="1"/>
  <c r="EA9" i="7" s="1"/>
  <c r="EB9" i="7" s="1"/>
  <c r="EC9" i="7" s="1"/>
  <c r="ED9" i="7" s="1"/>
  <c r="EE9" i="7" s="1"/>
  <c r="EF9" i="7" s="1"/>
  <c r="EG9" i="7" s="1"/>
  <c r="EH9" i="7" s="1"/>
  <c r="EI9" i="7" s="1"/>
  <c r="EJ9" i="7" s="1"/>
  <c r="EK9" i="7" s="1"/>
  <c r="EL9" i="7" s="1"/>
  <c r="EM9" i="7" s="1"/>
  <c r="EN9" i="7" s="1"/>
  <c r="EO9" i="7" s="1"/>
  <c r="EP9" i="7" s="1"/>
  <c r="EQ9" i="7" s="1"/>
  <c r="ER9" i="7" s="1"/>
  <c r="ES9" i="7" s="1"/>
  <c r="ET9" i="7" s="1"/>
  <c r="EU9" i="7" s="1"/>
  <c r="EV9" i="7" s="1"/>
  <c r="EW9" i="7" s="1"/>
  <c r="EX9" i="7" s="1"/>
  <c r="EY9" i="7" s="1"/>
  <c r="EZ9" i="7" s="1"/>
  <c r="FA9" i="7" s="1"/>
  <c r="CP17" i="7"/>
  <c r="CQ17" i="7" s="1"/>
  <c r="CR17" i="7" s="1"/>
  <c r="CS17" i="7" s="1"/>
  <c r="CT17" i="7" s="1"/>
  <c r="CU17" i="7" s="1"/>
  <c r="CV17" i="7" s="1"/>
  <c r="CW17" i="7" s="1"/>
  <c r="CX17" i="7" s="1"/>
  <c r="CY17" i="7" s="1"/>
  <c r="CZ17" i="7" s="1"/>
  <c r="DA17" i="7" s="1"/>
  <c r="DB17" i="7" s="1"/>
  <c r="DC17" i="7" s="1"/>
  <c r="DD17" i="7" s="1"/>
  <c r="DE17" i="7" s="1"/>
  <c r="DF17" i="7" s="1"/>
  <c r="DG17" i="7" s="1"/>
  <c r="DH17" i="7" s="1"/>
  <c r="DI17" i="7" s="1"/>
  <c r="DJ17" i="7" s="1"/>
  <c r="DK17" i="7" s="1"/>
  <c r="DL17" i="7" s="1"/>
  <c r="DM17" i="7" s="1"/>
  <c r="DN17" i="7" s="1"/>
  <c r="DO17" i="7" s="1"/>
  <c r="DP17" i="7" s="1"/>
  <c r="DQ17" i="7" s="1"/>
  <c r="DR17" i="7" s="1"/>
  <c r="DS17" i="7" s="1"/>
  <c r="DT17" i="7" s="1"/>
  <c r="DU17" i="7" s="1"/>
  <c r="DV17" i="7" s="1"/>
  <c r="DW17" i="7" s="1"/>
  <c r="DX17" i="7" s="1"/>
  <c r="DY17" i="7" s="1"/>
  <c r="DZ17" i="7" s="1"/>
  <c r="EA17" i="7" s="1"/>
  <c r="EB17" i="7" s="1"/>
  <c r="EC17" i="7" s="1"/>
  <c r="ED17" i="7" s="1"/>
  <c r="EE17" i="7" s="1"/>
  <c r="EF17" i="7" s="1"/>
  <c r="EG17" i="7" s="1"/>
  <c r="EH17" i="7" s="1"/>
  <c r="EI17" i="7" s="1"/>
  <c r="EJ17" i="7" s="1"/>
  <c r="EK17" i="7" s="1"/>
  <c r="EL17" i="7" s="1"/>
  <c r="EM17" i="7" s="1"/>
  <c r="EN17" i="7" s="1"/>
  <c r="EO17" i="7" s="1"/>
  <c r="EP17" i="7" s="1"/>
  <c r="EQ17" i="7" s="1"/>
  <c r="ER17" i="7" s="1"/>
  <c r="ES17" i="7" s="1"/>
  <c r="ET17" i="7" s="1"/>
  <c r="EU17" i="7" s="1"/>
  <c r="EV17" i="7" s="1"/>
  <c r="EW17" i="7" s="1"/>
  <c r="W82" i="2"/>
  <c r="BB137" i="4"/>
  <c r="AU137" i="4" s="1"/>
  <c r="BB70" i="4"/>
  <c r="AU70" i="4" s="1"/>
  <c r="AR42" i="4"/>
  <c r="BB94" i="4"/>
  <c r="BB16" i="4"/>
  <c r="AU16" i="4" s="1"/>
  <c r="BB100" i="4"/>
  <c r="BB88" i="4"/>
  <c r="BB58" i="4"/>
  <c r="AU58" i="4" s="1"/>
  <c r="BB46" i="4"/>
  <c r="AU46" i="4" s="1"/>
  <c r="BB28" i="4"/>
  <c r="AU28" i="4" s="1"/>
  <c r="BB11" i="4"/>
  <c r="AU11" i="4" s="1"/>
  <c r="BB119" i="4"/>
  <c r="AU119" i="4" s="1"/>
  <c r="BB107" i="4"/>
  <c r="AU107" i="4" s="1"/>
  <c r="BB104" i="4"/>
  <c r="BB98" i="4"/>
  <c r="BB92" i="4"/>
  <c r="BB86" i="4"/>
  <c r="AU86" i="4" s="1"/>
  <c r="BB80" i="4"/>
  <c r="AU80" i="4" s="1"/>
  <c r="BB74" i="4"/>
  <c r="AU74" i="4" s="1"/>
  <c r="BB68" i="4"/>
  <c r="AU68" i="4" s="1"/>
  <c r="BB62" i="4"/>
  <c r="AU62" i="4" s="1"/>
  <c r="BB56" i="4"/>
  <c r="AU56" i="4" s="1"/>
  <c r="BB50" i="4"/>
  <c r="AU50" i="4" s="1"/>
  <c r="BB44" i="4"/>
  <c r="AU44" i="4" s="1"/>
  <c r="BB38" i="4"/>
  <c r="AU38" i="4" s="1"/>
  <c r="BB32" i="4"/>
  <c r="AU32" i="4" s="1"/>
  <c r="BB26" i="4"/>
  <c r="AU26" i="4" s="1"/>
  <c r="BB20" i="4"/>
  <c r="AU20" i="4" s="1"/>
  <c r="BB82" i="4"/>
  <c r="AU82" i="4" s="1"/>
  <c r="BB40" i="4"/>
  <c r="AU40" i="4" s="1"/>
  <c r="BB22" i="4"/>
  <c r="AU22" i="4" s="1"/>
  <c r="AR43" i="4"/>
  <c r="BB106" i="4"/>
  <c r="BB76" i="4"/>
  <c r="AU76" i="4" s="1"/>
  <c r="BB64" i="4"/>
  <c r="AU64" i="4" s="1"/>
  <c r="BB52" i="4"/>
  <c r="AU52" i="4" s="1"/>
  <c r="BB34" i="4"/>
  <c r="AU34" i="4" s="1"/>
  <c r="BB113" i="4"/>
  <c r="AU113" i="4" s="1"/>
  <c r="BB102" i="4"/>
  <c r="BB96" i="4"/>
  <c r="BB90" i="4"/>
  <c r="BB84" i="4"/>
  <c r="AU84" i="4" s="1"/>
  <c r="BB78" i="4"/>
  <c r="AU78" i="4" s="1"/>
  <c r="BB72" i="4"/>
  <c r="AU72" i="4" s="1"/>
  <c r="BB66" i="4"/>
  <c r="AU66" i="4" s="1"/>
  <c r="BB60" i="4"/>
  <c r="AU60" i="4" s="1"/>
  <c r="BB54" i="4"/>
  <c r="AU54" i="4" s="1"/>
  <c r="BB48" i="4"/>
  <c r="AU48" i="4" s="1"/>
  <c r="BB42" i="4"/>
  <c r="AU42" i="4" s="1"/>
  <c r="BB36" i="4"/>
  <c r="AU36" i="4" s="1"/>
  <c r="BB30" i="4"/>
  <c r="AU30" i="4" s="1"/>
  <c r="BB24" i="4"/>
  <c r="AU24" i="4" s="1"/>
  <c r="BB18" i="4"/>
  <c r="AU18" i="4" s="1"/>
  <c r="BB131" i="4"/>
  <c r="AU131" i="4" s="1"/>
  <c r="BB123" i="4"/>
  <c r="AU123" i="4" s="1"/>
  <c r="BB115" i="4"/>
  <c r="AU115" i="4" s="1"/>
  <c r="BB105" i="4"/>
  <c r="BB103" i="4"/>
  <c r="BB101" i="4"/>
  <c r="BB99" i="4"/>
  <c r="BB97" i="4"/>
  <c r="BB95" i="4"/>
  <c r="BB93" i="4"/>
  <c r="BB91" i="4"/>
  <c r="BB89" i="4"/>
  <c r="BB87" i="4"/>
  <c r="BB85" i="4"/>
  <c r="AU85" i="4" s="1"/>
  <c r="BB83" i="4"/>
  <c r="AU83" i="4" s="1"/>
  <c r="BB81" i="4"/>
  <c r="AU81" i="4" s="1"/>
  <c r="BB79" i="4"/>
  <c r="AU79" i="4" s="1"/>
  <c r="BB77" i="4"/>
  <c r="AU77" i="4" s="1"/>
  <c r="BB75" i="4"/>
  <c r="AU75" i="4" s="1"/>
  <c r="BB73" i="4"/>
  <c r="AU73" i="4" s="1"/>
  <c r="BB71" i="4"/>
  <c r="AU71" i="4" s="1"/>
  <c r="BB69" i="4"/>
  <c r="AU69" i="4" s="1"/>
  <c r="BB67" i="4"/>
  <c r="AU67" i="4" s="1"/>
  <c r="BB65" i="4"/>
  <c r="AU65" i="4" s="1"/>
  <c r="BB63" i="4"/>
  <c r="AU63" i="4" s="1"/>
  <c r="BB61" i="4"/>
  <c r="AU61" i="4" s="1"/>
  <c r="BB59" i="4"/>
  <c r="AU59" i="4" s="1"/>
  <c r="BB57" i="4"/>
  <c r="AU57" i="4" s="1"/>
  <c r="BB55" i="4"/>
  <c r="AU55" i="4" s="1"/>
  <c r="BB53" i="4"/>
  <c r="AU53" i="4" s="1"/>
  <c r="BB51" i="4"/>
  <c r="AU51" i="4" s="1"/>
  <c r="BB49" i="4"/>
  <c r="AU49" i="4" s="1"/>
  <c r="BB47" i="4"/>
  <c r="AU47" i="4" s="1"/>
  <c r="BB45" i="4"/>
  <c r="AU45" i="4" s="1"/>
  <c r="BB43" i="4"/>
  <c r="AU43" i="4" s="1"/>
  <c r="BB41" i="4"/>
  <c r="AU41" i="4" s="1"/>
  <c r="BB39" i="4"/>
  <c r="AU39" i="4" s="1"/>
  <c r="BB37" i="4"/>
  <c r="AU37" i="4" s="1"/>
  <c r="BB35" i="4"/>
  <c r="AU35" i="4" s="1"/>
  <c r="BB33" i="4"/>
  <c r="AU33" i="4" s="1"/>
  <c r="BB31" i="4"/>
  <c r="AU31" i="4" s="1"/>
  <c r="BB29" i="4"/>
  <c r="AU29" i="4" s="1"/>
  <c r="BB27" i="4"/>
  <c r="AU27" i="4" s="1"/>
  <c r="BB25" i="4"/>
  <c r="AU25" i="4" s="1"/>
  <c r="BB23" i="4"/>
  <c r="AU23" i="4" s="1"/>
  <c r="BB21" i="4"/>
  <c r="AU21" i="4" s="1"/>
  <c r="BB19" i="4"/>
  <c r="AU19" i="4" s="1"/>
  <c r="BB17" i="4"/>
  <c r="AU17" i="4" s="1"/>
  <c r="BB15" i="4"/>
  <c r="AU15" i="4" s="1"/>
  <c r="BB14" i="4"/>
  <c r="AU14" i="4" s="1"/>
  <c r="BB9" i="4"/>
  <c r="AU9" i="4" s="1"/>
  <c r="BB134" i="4"/>
  <c r="AU134" i="4" s="1"/>
  <c r="BB126" i="4"/>
  <c r="AU126" i="4" s="1"/>
  <c r="BB118" i="4"/>
  <c r="AU118" i="4" s="1"/>
  <c r="BB110" i="4"/>
  <c r="AU110" i="4" s="1"/>
  <c r="BB12" i="4"/>
  <c r="AU12" i="4" s="1"/>
  <c r="BB10" i="4"/>
  <c r="AU10" i="4" s="1"/>
  <c r="BB133" i="4"/>
  <c r="AU133" i="4" s="1"/>
  <c r="BB125" i="4"/>
  <c r="AU125" i="4" s="1"/>
  <c r="BB117" i="4"/>
  <c r="AU117" i="4" s="1"/>
  <c r="BB109" i="4"/>
  <c r="AU109" i="4" s="1"/>
  <c r="BB13" i="4"/>
  <c r="AU13" i="4" s="1"/>
  <c r="AR38" i="4"/>
  <c r="BB8" i="4"/>
  <c r="AU8" i="4" s="1"/>
  <c r="AR39" i="4"/>
  <c r="AR41" i="4"/>
  <c r="AR23" i="4"/>
  <c r="AR31" i="4"/>
  <c r="AR40" i="4"/>
  <c r="AR37" i="4"/>
  <c r="AR36" i="4"/>
  <c r="W83" i="2"/>
  <c r="X77" i="2"/>
  <c r="X88" i="2"/>
  <c r="X78" i="2"/>
  <c r="Y78" i="2" s="1"/>
  <c r="AS78" i="2" s="1"/>
  <c r="X40" i="2"/>
  <c r="Y40" i="2" s="1"/>
  <c r="AS40" i="2" s="1"/>
  <c r="W40" i="2"/>
  <c r="W39" i="2"/>
  <c r="AR25" i="4"/>
  <c r="AR15" i="4"/>
  <c r="AR17" i="4"/>
  <c r="AR21" i="4"/>
  <c r="AR24" i="4"/>
  <c r="AR35" i="4"/>
  <c r="AR28" i="4"/>
  <c r="AR27" i="4"/>
  <c r="AR30" i="4"/>
  <c r="AR19" i="4"/>
  <c r="AR34" i="4"/>
  <c r="AR32" i="4"/>
  <c r="AR29" i="4"/>
  <c r="AR33" i="4"/>
  <c r="AR22" i="4"/>
  <c r="AR26" i="4"/>
  <c r="AR20" i="4"/>
  <c r="AR18" i="4"/>
  <c r="AR16" i="4"/>
  <c r="X36" i="2"/>
  <c r="Y36" i="2" s="1"/>
  <c r="AS36" i="2" s="1"/>
  <c r="W36" i="2"/>
  <c r="X9" i="2"/>
  <c r="W9" i="2"/>
  <c r="X22" i="2"/>
  <c r="Y22" i="2" s="1"/>
  <c r="AS22" i="2" s="1"/>
  <c r="W22" i="2"/>
  <c r="X29" i="2"/>
  <c r="Y29" i="2" s="1"/>
  <c r="AS29" i="2" s="1"/>
  <c r="W29" i="2"/>
  <c r="X15" i="2"/>
  <c r="W15" i="2"/>
  <c r="X7" i="2"/>
  <c r="W7" i="2"/>
  <c r="X28" i="2"/>
  <c r="Y28" i="2" s="1"/>
  <c r="AS28" i="2" s="1"/>
  <c r="W28" i="2"/>
  <c r="X20" i="2"/>
  <c r="Y20" i="2" s="1"/>
  <c r="AS20" i="2" s="1"/>
  <c r="W20" i="2"/>
  <c r="X14" i="2"/>
  <c r="W14" i="2"/>
  <c r="X37" i="2"/>
  <c r="Y37" i="2" s="1"/>
  <c r="AS37" i="2" s="1"/>
  <c r="W37" i="2"/>
  <c r="X27" i="2"/>
  <c r="Y27" i="2" s="1"/>
  <c r="AS27" i="2" s="1"/>
  <c r="W27" i="2"/>
  <c r="X170" i="2"/>
  <c r="Y170" i="2" s="1"/>
  <c r="X162" i="2"/>
  <c r="Y162" i="2" s="1"/>
  <c r="X154" i="2"/>
  <c r="Y154" i="2" s="1"/>
  <c r="X146" i="2"/>
  <c r="Y146" i="2" s="1"/>
  <c r="X138" i="2"/>
  <c r="Y138" i="2" s="1"/>
  <c r="X130" i="2"/>
  <c r="Y130" i="2" s="1"/>
  <c r="X122" i="2"/>
  <c r="Y122" i="2" s="1"/>
  <c r="X114" i="2"/>
  <c r="Y114" i="2" s="1"/>
  <c r="X106" i="2"/>
  <c r="W106" i="2"/>
  <c r="X98" i="2"/>
  <c r="W98" i="2"/>
  <c r="X90" i="2"/>
  <c r="W90" i="2"/>
  <c r="X82" i="2"/>
  <c r="X74" i="2"/>
  <c r="W74" i="2"/>
  <c r="X66" i="2"/>
  <c r="W66" i="2"/>
  <c r="X58" i="2"/>
  <c r="Y58" i="2" s="1"/>
  <c r="AS58" i="2" s="1"/>
  <c r="W58" i="2"/>
  <c r="X50" i="2"/>
  <c r="W50" i="2"/>
  <c r="X169" i="2"/>
  <c r="Y169" i="2" s="1"/>
  <c r="X153" i="2"/>
  <c r="Y153" i="2" s="1"/>
  <c r="X129" i="2"/>
  <c r="Y129" i="2" s="1"/>
  <c r="X105" i="2"/>
  <c r="W105" i="2"/>
  <c r="X81" i="2"/>
  <c r="W81" i="2"/>
  <c r="X65" i="2"/>
  <c r="W65" i="2"/>
  <c r="X33" i="2"/>
  <c r="Y33" i="2" s="1"/>
  <c r="AS33" i="2" s="1"/>
  <c r="W33" i="2"/>
  <c r="X168" i="2"/>
  <c r="Y168" i="2" s="1"/>
  <c r="X160" i="2"/>
  <c r="Y160" i="2" s="1"/>
  <c r="X152" i="2"/>
  <c r="Y152" i="2" s="1"/>
  <c r="X144" i="2"/>
  <c r="Y144" i="2" s="1"/>
  <c r="X136" i="2"/>
  <c r="Y136" i="2" s="1"/>
  <c r="X128" i="2"/>
  <c r="Y128" i="2" s="1"/>
  <c r="X120" i="2"/>
  <c r="Y120" i="2" s="1"/>
  <c r="X112" i="2"/>
  <c r="Y112" i="2" s="1"/>
  <c r="W112" i="2"/>
  <c r="X104" i="2"/>
  <c r="W104" i="2"/>
  <c r="X96" i="2"/>
  <c r="W96" i="2"/>
  <c r="X80" i="2"/>
  <c r="W80" i="2"/>
  <c r="X72" i="2"/>
  <c r="W72" i="2"/>
  <c r="X64" i="2"/>
  <c r="W64" i="2"/>
  <c r="X56" i="2"/>
  <c r="W56" i="2"/>
  <c r="X39" i="2"/>
  <c r="Y39" i="2" s="1"/>
  <c r="AS39" i="2" s="1"/>
  <c r="X13" i="2"/>
  <c r="W13" i="2"/>
  <c r="X26" i="2"/>
  <c r="Y26" i="2" s="1"/>
  <c r="AS26" i="2" s="1"/>
  <c r="W26" i="2"/>
  <c r="X161" i="2"/>
  <c r="Y161" i="2" s="1"/>
  <c r="X137" i="2"/>
  <c r="Y137" i="2" s="1"/>
  <c r="X121" i="2"/>
  <c r="Y121" i="2" s="1"/>
  <c r="X113" i="2"/>
  <c r="Y113" i="2" s="1"/>
  <c r="X89" i="2"/>
  <c r="W89" i="2"/>
  <c r="X73" i="2"/>
  <c r="W73" i="2"/>
  <c r="X57" i="2"/>
  <c r="Y57" i="2" s="1"/>
  <c r="AS57" i="2" s="1"/>
  <c r="W57" i="2"/>
  <c r="X12" i="2"/>
  <c r="W12" i="2"/>
  <c r="X35" i="2"/>
  <c r="Y35" i="2" s="1"/>
  <c r="AS35" i="2" s="1"/>
  <c r="W35" i="2"/>
  <c r="X34" i="2"/>
  <c r="Y34" i="2" s="1"/>
  <c r="AS34" i="2" s="1"/>
  <c r="W34" i="2"/>
  <c r="X32" i="2"/>
  <c r="Y32" i="2" s="1"/>
  <c r="AS32" i="2" s="1"/>
  <c r="W32" i="2"/>
  <c r="X167" i="2"/>
  <c r="Y167" i="2" s="1"/>
  <c r="X159" i="2"/>
  <c r="Y159" i="2" s="1"/>
  <c r="X151" i="2"/>
  <c r="Y151" i="2" s="1"/>
  <c r="X143" i="2"/>
  <c r="Y143" i="2" s="1"/>
  <c r="AS143" i="2" s="1"/>
  <c r="AU143" i="2" s="1"/>
  <c r="X135" i="2"/>
  <c r="Y135" i="2" s="1"/>
  <c r="X127" i="2"/>
  <c r="Y127" i="2" s="1"/>
  <c r="X119" i="2"/>
  <c r="Y119" i="2" s="1"/>
  <c r="X111" i="2"/>
  <c r="Y111" i="2" s="1"/>
  <c r="AS111" i="2" s="1"/>
  <c r="W111" i="2"/>
  <c r="X103" i="2"/>
  <c r="W103" i="2"/>
  <c r="X95" i="2"/>
  <c r="W95" i="2"/>
  <c r="X87" i="2"/>
  <c r="W87" i="2"/>
  <c r="X79" i="2"/>
  <c r="W79" i="2"/>
  <c r="X71" i="2"/>
  <c r="W71" i="2"/>
  <c r="X63" i="2"/>
  <c r="W63" i="2"/>
  <c r="X55" i="2"/>
  <c r="W55" i="2"/>
  <c r="W38" i="2"/>
  <c r="X38" i="2"/>
  <c r="Y38" i="2" s="1"/>
  <c r="AS38" i="2" s="1"/>
  <c r="X145" i="2"/>
  <c r="Y145" i="2" s="1"/>
  <c r="X97" i="2"/>
  <c r="W97" i="2"/>
  <c r="W6" i="2"/>
  <c r="X6" i="2"/>
  <c r="X25" i="2"/>
  <c r="Y25" i="2" s="1"/>
  <c r="AS25" i="2" s="1"/>
  <c r="W25" i="2"/>
  <c r="X19" i="2"/>
  <c r="Y19" i="2" s="1"/>
  <c r="AS19" i="2" s="1"/>
  <c r="W19" i="2"/>
  <c r="X11" i="2"/>
  <c r="W11" i="2"/>
  <c r="X24" i="2"/>
  <c r="Y24" i="2" s="1"/>
  <c r="AS24" i="2" s="1"/>
  <c r="W24" i="2"/>
  <c r="X18" i="2"/>
  <c r="Y18" i="2" s="1"/>
  <c r="AS18" i="2" s="1"/>
  <c r="W18" i="2"/>
  <c r="X10" i="2"/>
  <c r="W10" i="2"/>
  <c r="X31" i="2"/>
  <c r="Y31" i="2" s="1"/>
  <c r="AS31" i="2" s="1"/>
  <c r="W31" i="2"/>
  <c r="X23" i="2"/>
  <c r="Y23" i="2" s="1"/>
  <c r="AS23" i="2" s="1"/>
  <c r="W23" i="2"/>
  <c r="X174" i="2"/>
  <c r="Y174" i="2" s="1"/>
  <c r="X166" i="2"/>
  <c r="Y166" i="2" s="1"/>
  <c r="X150" i="2"/>
  <c r="Y150" i="2" s="1"/>
  <c r="X142" i="2"/>
  <c r="AU142" i="2" s="1"/>
  <c r="X134" i="2"/>
  <c r="Y134" i="2" s="1"/>
  <c r="X126" i="2"/>
  <c r="Y126" i="2" s="1"/>
  <c r="X118" i="2"/>
  <c r="Y118" i="2" s="1"/>
  <c r="X110" i="2"/>
  <c r="Y110" i="2" s="1"/>
  <c r="AS110" i="2" s="1"/>
  <c r="W110" i="2"/>
  <c r="X102" i="2"/>
  <c r="W102" i="2"/>
  <c r="X94" i="2"/>
  <c r="W94" i="2"/>
  <c r="X86" i="2"/>
  <c r="W86" i="2"/>
  <c r="X70" i="2"/>
  <c r="W70" i="2"/>
  <c r="X62" i="2"/>
  <c r="W62" i="2"/>
  <c r="X54" i="2"/>
  <c r="W54" i="2"/>
  <c r="X173" i="2"/>
  <c r="Y173" i="2" s="1"/>
  <c r="X165" i="2"/>
  <c r="Y165" i="2" s="1"/>
  <c r="AS165" i="2" s="1"/>
  <c r="X157" i="2"/>
  <c r="Y157" i="2" s="1"/>
  <c r="X149" i="2"/>
  <c r="Y149" i="2" s="1"/>
  <c r="AU141" i="2"/>
  <c r="X133" i="2"/>
  <c r="Y133" i="2" s="1"/>
  <c r="X125" i="2"/>
  <c r="Y125" i="2" s="1"/>
  <c r="X117" i="2"/>
  <c r="Y117" i="2" s="1"/>
  <c r="X109" i="2"/>
  <c r="Y109" i="2" s="1"/>
  <c r="AS109" i="2" s="1"/>
  <c r="W109" i="2"/>
  <c r="X101" i="2"/>
  <c r="W101" i="2"/>
  <c r="X93" i="2"/>
  <c r="W93" i="2"/>
  <c r="X85" i="2"/>
  <c r="W85" i="2"/>
  <c r="W77" i="2"/>
  <c r="X69" i="2"/>
  <c r="W69" i="2"/>
  <c r="X61" i="2"/>
  <c r="W61" i="2"/>
  <c r="X53" i="2"/>
  <c r="W53" i="2"/>
  <c r="X172" i="2"/>
  <c r="Y172" i="2" s="1"/>
  <c r="X164" i="2"/>
  <c r="Y164" i="2" s="1"/>
  <c r="AS164" i="2" s="1"/>
  <c r="X156" i="2"/>
  <c r="Y156" i="2" s="1"/>
  <c r="X148" i="2"/>
  <c r="Y148" i="2" s="1"/>
  <c r="X140" i="2"/>
  <c r="Y140" i="2" s="1"/>
  <c r="X132" i="2"/>
  <c r="Y132" i="2" s="1"/>
  <c r="X124" i="2"/>
  <c r="Y124" i="2" s="1"/>
  <c r="X116" i="2"/>
  <c r="Y116" i="2" s="1"/>
  <c r="X108" i="2"/>
  <c r="Y108" i="2" s="1"/>
  <c r="AS108" i="2" s="1"/>
  <c r="W108" i="2"/>
  <c r="X100" i="2"/>
  <c r="Y100" i="2" s="1"/>
  <c r="AS100" i="2" s="1"/>
  <c r="W100" i="2"/>
  <c r="X92" i="2"/>
  <c r="W92" i="2"/>
  <c r="X84" i="2"/>
  <c r="W84" i="2"/>
  <c r="X76" i="2"/>
  <c r="W76" i="2"/>
  <c r="X68" i="2"/>
  <c r="W68" i="2"/>
  <c r="X60" i="2"/>
  <c r="W60" i="2"/>
  <c r="X52" i="2"/>
  <c r="W52" i="2"/>
  <c r="X17" i="2"/>
  <c r="Y17" i="2" s="1"/>
  <c r="AS17" i="2" s="1"/>
  <c r="W17" i="2"/>
  <c r="X30" i="2"/>
  <c r="Y30" i="2" s="1"/>
  <c r="AS30" i="2" s="1"/>
  <c r="W30" i="2"/>
  <c r="X16" i="2"/>
  <c r="Y16" i="2" s="1"/>
  <c r="AS16" i="2" s="1"/>
  <c r="W16" i="2"/>
  <c r="X8" i="2"/>
  <c r="W8" i="2"/>
  <c r="X21" i="2"/>
  <c r="Y21" i="2" s="1"/>
  <c r="AS21" i="2" s="1"/>
  <c r="W21" i="2"/>
  <c r="X171" i="2"/>
  <c r="Y171" i="2" s="1"/>
  <c r="X163" i="2"/>
  <c r="Y163" i="2" s="1"/>
  <c r="AS163" i="2" s="1"/>
  <c r="X155" i="2"/>
  <c r="AU155" i="2" s="1"/>
  <c r="X147" i="2"/>
  <c r="Y147" i="2" s="1"/>
  <c r="X139" i="2"/>
  <c r="Y139" i="2" s="1"/>
  <c r="X131" i="2"/>
  <c r="Y131" i="2" s="1"/>
  <c r="X123" i="2"/>
  <c r="X115" i="2"/>
  <c r="Y115" i="2" s="1"/>
  <c r="X107" i="2"/>
  <c r="W107" i="2"/>
  <c r="X99" i="2"/>
  <c r="W99" i="2"/>
  <c r="X91" i="2"/>
  <c r="W91" i="2"/>
  <c r="X83" i="2"/>
  <c r="X75" i="2"/>
  <c r="W75" i="2"/>
  <c r="X67" i="2"/>
  <c r="W67" i="2"/>
  <c r="X59" i="2"/>
  <c r="W59" i="2"/>
  <c r="X51" i="2"/>
  <c r="W51" i="2"/>
  <c r="R10" i="4"/>
  <c r="S9" i="4"/>
  <c r="U8" i="4"/>
  <c r="R9" i="4"/>
  <c r="AP12" i="4" l="1"/>
  <c r="AD212" i="2"/>
  <c r="AS212" i="2" s="1"/>
  <c r="AD196" i="2"/>
  <c r="AS196" i="2" s="1"/>
  <c r="AU209" i="2"/>
  <c r="AD218" i="2"/>
  <c r="AS218" i="2" s="1"/>
  <c r="AD230" i="2"/>
  <c r="AS230" i="2" s="1"/>
  <c r="AD217" i="2"/>
  <c r="AS217" i="2" s="1"/>
  <c r="AD198" i="2"/>
  <c r="AS198" i="2" s="1"/>
  <c r="AU199" i="2"/>
  <c r="AU201" i="2"/>
  <c r="AU203" i="2"/>
  <c r="AD229" i="2"/>
  <c r="AS229" i="2" s="1"/>
  <c r="AD210" i="2"/>
  <c r="AS210" i="2" s="1"/>
  <c r="AU211" i="2"/>
  <c r="AU213" i="2"/>
  <c r="AD182" i="2"/>
  <c r="AS182" i="2" s="1"/>
  <c r="AU182" i="2" s="1"/>
  <c r="AD227" i="2"/>
  <c r="AS227" i="2" s="1"/>
  <c r="AD183" i="2"/>
  <c r="AS183" i="2" s="1"/>
  <c r="AU183" i="2" s="1"/>
  <c r="AU221" i="2"/>
  <c r="AU215" i="2"/>
  <c r="AU219" i="2"/>
  <c r="AD194" i="2"/>
  <c r="AS194" i="2" s="1"/>
  <c r="AD208" i="2"/>
  <c r="AS208" i="2" s="1"/>
  <c r="AD222" i="2"/>
  <c r="AS222" i="2" s="1"/>
  <c r="AD225" i="2"/>
  <c r="AS225" i="2" s="1"/>
  <c r="AU225" i="2" s="1"/>
  <c r="AD214" i="2"/>
  <c r="AS214" i="2" s="1"/>
  <c r="AD205" i="2"/>
  <c r="AS205" i="2" s="1"/>
  <c r="AD197" i="2"/>
  <c r="AS197" i="2" s="1"/>
  <c r="AD216" i="2"/>
  <c r="AS216" i="2" s="1"/>
  <c r="AD220" i="2"/>
  <c r="AS220" i="2" s="1"/>
  <c r="AD223" i="2"/>
  <c r="AS223" i="2" s="1"/>
  <c r="AD204" i="2"/>
  <c r="AS204" i="2" s="1"/>
  <c r="AD190" i="2"/>
  <c r="AS190" i="2" s="1"/>
  <c r="AU190" i="2" s="1"/>
  <c r="AD184" i="2"/>
  <c r="AS184" i="2" s="1"/>
  <c r="AU184" i="2" s="1"/>
  <c r="AD195" i="2"/>
  <c r="AS195" i="2" s="1"/>
  <c r="AD233" i="2"/>
  <c r="AS233" i="2" s="1"/>
  <c r="AD188" i="2"/>
  <c r="AS188" i="2" s="1"/>
  <c r="AU188" i="2" s="1"/>
  <c r="AD228" i="2"/>
  <c r="AS228" i="2" s="1"/>
  <c r="AD186" i="2"/>
  <c r="AS186" i="2" s="1"/>
  <c r="AU186" i="2" s="1"/>
  <c r="AD206" i="2"/>
  <c r="AS206" i="2" s="1"/>
  <c r="AD234" i="2"/>
  <c r="AS234" i="2" s="1"/>
  <c r="AD200" i="2"/>
  <c r="AS200" i="2" s="1"/>
  <c r="AU207" i="2"/>
  <c r="AD232" i="2"/>
  <c r="AS232" i="2" s="1"/>
  <c r="AD202" i="2"/>
  <c r="AS202" i="2" s="1"/>
  <c r="AD226" i="2"/>
  <c r="AS226" i="2" s="1"/>
  <c r="AD231" i="2"/>
  <c r="AS231" i="2" s="1"/>
  <c r="AD224" i="2"/>
  <c r="AS224" i="2" s="1"/>
  <c r="AP11" i="4"/>
  <c r="AP10" i="4"/>
  <c r="R3" i="4"/>
  <c r="AD192" i="2"/>
  <c r="AS192" i="2" s="1"/>
  <c r="AS175" i="2"/>
  <c r="AU175" i="2" s="1"/>
  <c r="AD178" i="2"/>
  <c r="AS178" i="2" s="1"/>
  <c r="AU178" i="2" s="1"/>
  <c r="AD179" i="2"/>
  <c r="AS179" i="2" s="1"/>
  <c r="AD176" i="2"/>
  <c r="AS176" i="2" s="1"/>
  <c r="AU176" i="2" s="1"/>
  <c r="AD180" i="2"/>
  <c r="AS180" i="2" s="1"/>
  <c r="AU180" i="2" s="1"/>
  <c r="AD177" i="2"/>
  <c r="AS177" i="2" s="1"/>
  <c r="AU177" i="2" s="1"/>
  <c r="AD181" i="2"/>
  <c r="AS181" i="2" s="1"/>
  <c r="AS124" i="2"/>
  <c r="AU124" i="2" s="1"/>
  <c r="AS150" i="2"/>
  <c r="AU150" i="2" s="1"/>
  <c r="AS159" i="2"/>
  <c r="AU159" i="2" s="1"/>
  <c r="AS115" i="2"/>
  <c r="AU115" i="2" s="1"/>
  <c r="AS132" i="2"/>
  <c r="AU132" i="2" s="1"/>
  <c r="AS158" i="2"/>
  <c r="AU158" i="2" s="1"/>
  <c r="AS167" i="2"/>
  <c r="AU167" i="2" s="1"/>
  <c r="AS149" i="2"/>
  <c r="AU149" i="2" s="1"/>
  <c r="AS131" i="2"/>
  <c r="AU131" i="2" s="1"/>
  <c r="AS157" i="2"/>
  <c r="AU157" i="2" s="1"/>
  <c r="AS138" i="2"/>
  <c r="AU138" i="2" s="1"/>
  <c r="AS139" i="2"/>
  <c r="AU139" i="2" s="1"/>
  <c r="AS156" i="2"/>
  <c r="AU156" i="2" s="1"/>
  <c r="AS128" i="2"/>
  <c r="AU128" i="2" s="1"/>
  <c r="AS146" i="2"/>
  <c r="AU146" i="2" s="1"/>
  <c r="AS172" i="2"/>
  <c r="AU172" i="2" s="1"/>
  <c r="AS137" i="2"/>
  <c r="AU137" i="2" s="1"/>
  <c r="AS144" i="2"/>
  <c r="AU144" i="2" s="1"/>
  <c r="AS129" i="2"/>
  <c r="AU129" i="2" s="1"/>
  <c r="AS162" i="2"/>
  <c r="AU162" i="2" s="1"/>
  <c r="AS119" i="2"/>
  <c r="AU119" i="2" s="1"/>
  <c r="AS161" i="2"/>
  <c r="AU161" i="2" s="1"/>
  <c r="AS152" i="2"/>
  <c r="AU152" i="2" s="1"/>
  <c r="AS153" i="2"/>
  <c r="AU153" i="2" s="1"/>
  <c r="AS170" i="2"/>
  <c r="AU170" i="2" s="1"/>
  <c r="AS171" i="2"/>
  <c r="AU171" i="2" s="1"/>
  <c r="AS118" i="2"/>
  <c r="AU118" i="2" s="1"/>
  <c r="AS127" i="2"/>
  <c r="AU127" i="2" s="1"/>
  <c r="AS160" i="2"/>
  <c r="AU160" i="2" s="1"/>
  <c r="AS169" i="2"/>
  <c r="AU169" i="2" s="1"/>
  <c r="AU7" i="2"/>
  <c r="AS145" i="2"/>
  <c r="AU145" i="2" s="1"/>
  <c r="AS114" i="2"/>
  <c r="AU114" i="2" s="1"/>
  <c r="AS122" i="2"/>
  <c r="AU122" i="2" s="1"/>
  <c r="AS174" i="2"/>
  <c r="AU174" i="2" s="1"/>
  <c r="AS120" i="2"/>
  <c r="AU120" i="2" s="1"/>
  <c r="AS113" i="2"/>
  <c r="AU113" i="2" s="1"/>
  <c r="AU6" i="2"/>
  <c r="AV26" i="2"/>
  <c r="AV38" i="2"/>
  <c r="AV27" i="2"/>
  <c r="AV39" i="2"/>
  <c r="AV6" i="2"/>
  <c r="AV16" i="2"/>
  <c r="AV28" i="2"/>
  <c r="AV40" i="2"/>
  <c r="AV30" i="2"/>
  <c r="AV45" i="2"/>
  <c r="AV33" i="2"/>
  <c r="AV19" i="2"/>
  <c r="AV34" i="2"/>
  <c r="AV49" i="2"/>
  <c r="AV20" i="2"/>
  <c r="AV35" i="2"/>
  <c r="AV21" i="2"/>
  <c r="AV36" i="2"/>
  <c r="AV22" i="2"/>
  <c r="AV41" i="2"/>
  <c r="AV24" i="2"/>
  <c r="AV25" i="2"/>
  <c r="AV43" i="2"/>
  <c r="AV31" i="2"/>
  <c r="AV46" i="2"/>
  <c r="AV17" i="2"/>
  <c r="AV32" i="2"/>
  <c r="AV47" i="2"/>
  <c r="AV18" i="2"/>
  <c r="AV48" i="2"/>
  <c r="AV37" i="2"/>
  <c r="AV23" i="2"/>
  <c r="AV42" i="2"/>
  <c r="AV44" i="2"/>
  <c r="AV29" i="2"/>
  <c r="AS147" i="2"/>
  <c r="AU147" i="2" s="1"/>
  <c r="AS173" i="2"/>
  <c r="AU173" i="2" s="1"/>
  <c r="AS121" i="2"/>
  <c r="AU121" i="2" s="1"/>
  <c r="AS136" i="2"/>
  <c r="AU136" i="2" s="1"/>
  <c r="AS154" i="2"/>
  <c r="AU154" i="2" s="1"/>
  <c r="AS135" i="2"/>
  <c r="AU135" i="2" s="1"/>
  <c r="AS168" i="2"/>
  <c r="AU168" i="2" s="1"/>
  <c r="AS133" i="2"/>
  <c r="AU133" i="2" s="1"/>
  <c r="AS140" i="2"/>
  <c r="AU140" i="2" s="1"/>
  <c r="AS166" i="2"/>
  <c r="AU166" i="2" s="1"/>
  <c r="AS112" i="2"/>
  <c r="AU112" i="2" s="1"/>
  <c r="AS130" i="2"/>
  <c r="AU130" i="2" s="1"/>
  <c r="AS148" i="2"/>
  <c r="AU148" i="2" s="1"/>
  <c r="AS126" i="2"/>
  <c r="AU126" i="2" s="1"/>
  <c r="AS117" i="2"/>
  <c r="AU117" i="2" s="1"/>
  <c r="AS134" i="2"/>
  <c r="AU134" i="2" s="1"/>
  <c r="AS116" i="2"/>
  <c r="AU116" i="2" s="1"/>
  <c r="AS125" i="2"/>
  <c r="AU125" i="2" s="1"/>
  <c r="AS151" i="2"/>
  <c r="AU151" i="2" s="1"/>
  <c r="AU165" i="2"/>
  <c r="AU164" i="2"/>
  <c r="AU163" i="2"/>
  <c r="Y123" i="2"/>
  <c r="AU87" i="31"/>
  <c r="AT87" i="31"/>
  <c r="C89" i="31"/>
  <c r="AU88" i="31"/>
  <c r="AT88" i="31"/>
  <c r="C90" i="31"/>
  <c r="AU30" i="2"/>
  <c r="AU27" i="2"/>
  <c r="AU26" i="2"/>
  <c r="AU58" i="2"/>
  <c r="AU37" i="2"/>
  <c r="AU29" i="2"/>
  <c r="AU31" i="2"/>
  <c r="AU17" i="2"/>
  <c r="AU109" i="2"/>
  <c r="AU22" i="2"/>
  <c r="AU34" i="2"/>
  <c r="AU35" i="2"/>
  <c r="AU21" i="2"/>
  <c r="AU39" i="2"/>
  <c r="AU33" i="2"/>
  <c r="AU100" i="2"/>
  <c r="AU18" i="2"/>
  <c r="AU108" i="2"/>
  <c r="AU24" i="2"/>
  <c r="AU57" i="2"/>
  <c r="AU20" i="2"/>
  <c r="AU40" i="2"/>
  <c r="AU38" i="2"/>
  <c r="AU78" i="2"/>
  <c r="AU25" i="2"/>
  <c r="AU28" i="2"/>
  <c r="AU36" i="2"/>
  <c r="AU32" i="2"/>
  <c r="AU23" i="2"/>
  <c r="AU19" i="2"/>
  <c r="AM8" i="4"/>
  <c r="AO8" i="4"/>
  <c r="AS12" i="4"/>
  <c r="AS11" i="4"/>
  <c r="AU110" i="2"/>
  <c r="AU111" i="2"/>
  <c r="Y85" i="2"/>
  <c r="AS85" i="2" s="1"/>
  <c r="Y67" i="2"/>
  <c r="AS67" i="2" s="1"/>
  <c r="Y55" i="2"/>
  <c r="AS55" i="2" s="1"/>
  <c r="Y103" i="2"/>
  <c r="AS103" i="2" s="1"/>
  <c r="Y64" i="2"/>
  <c r="AS64" i="2" s="1"/>
  <c r="Y90" i="2"/>
  <c r="AS90" i="2" s="1"/>
  <c r="Y88" i="2"/>
  <c r="AS88" i="2" s="1"/>
  <c r="Y107" i="2"/>
  <c r="AS107" i="2" s="1"/>
  <c r="Y76" i="2"/>
  <c r="AS76" i="2" s="1"/>
  <c r="Y95" i="2"/>
  <c r="AS95" i="2" s="1"/>
  <c r="Y84" i="2"/>
  <c r="AS84" i="2" s="1"/>
  <c r="Y93" i="2"/>
  <c r="AS93" i="2" s="1"/>
  <c r="Y54" i="2"/>
  <c r="AS54" i="2" s="1"/>
  <c r="Y77" i="2"/>
  <c r="AS77" i="2" s="1"/>
  <c r="Y86" i="2"/>
  <c r="AS86" i="2" s="1"/>
  <c r="Y65" i="2"/>
  <c r="AS65" i="2" s="1"/>
  <c r="Y105" i="2"/>
  <c r="AS105" i="2" s="1"/>
  <c r="Y75" i="2"/>
  <c r="AS75" i="2" s="1"/>
  <c r="Y92" i="2"/>
  <c r="AS92" i="2" s="1"/>
  <c r="Y101" i="2"/>
  <c r="AS101" i="2" s="1"/>
  <c r="Y63" i="2"/>
  <c r="AS63" i="2" s="1"/>
  <c r="Y72" i="2"/>
  <c r="AS72" i="2" s="1"/>
  <c r="Y50" i="2"/>
  <c r="AS50" i="2" s="1"/>
  <c r="Y98" i="2"/>
  <c r="AS98" i="2" s="1"/>
  <c r="Y68" i="2"/>
  <c r="AS68" i="2" s="1"/>
  <c r="Y59" i="2"/>
  <c r="AS59" i="2" s="1"/>
  <c r="Y83" i="2"/>
  <c r="AS83" i="2" s="1"/>
  <c r="Y62" i="2"/>
  <c r="AS62" i="2" s="1"/>
  <c r="Y73" i="2"/>
  <c r="AS73" i="2" s="1"/>
  <c r="Y102" i="2"/>
  <c r="AS102" i="2" s="1"/>
  <c r="Y53" i="2"/>
  <c r="AS53" i="2" s="1"/>
  <c r="Y52" i="2"/>
  <c r="AS52" i="2" s="1"/>
  <c r="Y71" i="2"/>
  <c r="AS71" i="2" s="1"/>
  <c r="Y80" i="2"/>
  <c r="AS80" i="2" s="1"/>
  <c r="Y106" i="2"/>
  <c r="AS106" i="2" s="1"/>
  <c r="Y61" i="2"/>
  <c r="AS61" i="2" s="1"/>
  <c r="Y70" i="2"/>
  <c r="AS70" i="2" s="1"/>
  <c r="Y97" i="2"/>
  <c r="AS97" i="2" s="1"/>
  <c r="Y51" i="2"/>
  <c r="AS51" i="2" s="1"/>
  <c r="Y87" i="2"/>
  <c r="AS87" i="2" s="1"/>
  <c r="Y104" i="2"/>
  <c r="AS104" i="2" s="1"/>
  <c r="Y91" i="2"/>
  <c r="AS91" i="2" s="1"/>
  <c r="Y60" i="2"/>
  <c r="AS60" i="2" s="1"/>
  <c r="Y79" i="2"/>
  <c r="AS79" i="2" s="1"/>
  <c r="Y66" i="2"/>
  <c r="AS66" i="2" s="1"/>
  <c r="Y99" i="2"/>
  <c r="AS99" i="2" s="1"/>
  <c r="Y69" i="2"/>
  <c r="AS69" i="2" s="1"/>
  <c r="Y96" i="2"/>
  <c r="AS96" i="2" s="1"/>
  <c r="Y74" i="2"/>
  <c r="AS74" i="2" s="1"/>
  <c r="Y82" i="2"/>
  <c r="AS82" i="2" s="1"/>
  <c r="Y56" i="2"/>
  <c r="AS56" i="2" s="1"/>
  <c r="Y94" i="2"/>
  <c r="AS94" i="2" s="1"/>
  <c r="Y89" i="2"/>
  <c r="AS89" i="2" s="1"/>
  <c r="Y81" i="2"/>
  <c r="AS81" i="2" s="1"/>
  <c r="AS10" i="4"/>
  <c r="U9" i="4"/>
  <c r="AO9" i="4" s="1"/>
  <c r="AU216" i="2" l="1"/>
  <c r="AU227" i="2"/>
  <c r="AU228" i="2"/>
  <c r="AU206" i="2"/>
  <c r="AU208" i="2"/>
  <c r="AU218" i="2"/>
  <c r="AU232" i="2"/>
  <c r="AU195" i="2"/>
  <c r="AU197" i="2"/>
  <c r="AU205" i="2"/>
  <c r="AU223" i="2"/>
  <c r="AU210" i="2"/>
  <c r="AU220" i="2"/>
  <c r="AU222" i="2"/>
  <c r="AU229" i="2"/>
  <c r="AU230" i="2"/>
  <c r="AU234" i="2"/>
  <c r="AU226" i="2"/>
  <c r="AU200" i="2"/>
  <c r="AU194" i="2"/>
  <c r="AU196" i="2"/>
  <c r="AU233" i="2"/>
  <c r="AU204" i="2"/>
  <c r="AU214" i="2"/>
  <c r="AU198" i="2"/>
  <c r="AU212" i="2"/>
  <c r="AU217" i="2"/>
  <c r="AU202" i="2"/>
  <c r="AU231" i="2"/>
  <c r="AU224" i="2"/>
  <c r="AP8" i="4"/>
  <c r="AU192" i="2"/>
  <c r="AU179" i="2"/>
  <c r="AU181" i="2"/>
  <c r="AD1" i="2" a="1"/>
  <c r="AD1" i="2" s="1"/>
  <c r="AV111" i="2"/>
  <c r="AV63" i="2"/>
  <c r="AV73" i="2"/>
  <c r="AV122" i="2"/>
  <c r="AS123" i="2"/>
  <c r="AV134" i="2" s="1"/>
  <c r="AV58" i="2"/>
  <c r="AV110" i="2"/>
  <c r="AV52" i="2"/>
  <c r="AV113" i="2"/>
  <c r="AV75" i="2"/>
  <c r="AV74" i="2"/>
  <c r="AV71" i="2"/>
  <c r="AV89" i="2"/>
  <c r="AV78" i="2"/>
  <c r="AV84" i="2"/>
  <c r="AV64" i="2"/>
  <c r="AV87" i="2"/>
  <c r="AV96" i="2"/>
  <c r="AV103" i="2"/>
  <c r="AV120" i="2"/>
  <c r="AV51" i="2"/>
  <c r="AV68" i="2"/>
  <c r="AV76" i="2"/>
  <c r="AV109" i="2"/>
  <c r="AV53" i="2"/>
  <c r="AV99" i="2"/>
  <c r="AV94" i="2"/>
  <c r="AV69" i="2"/>
  <c r="AV86" i="2"/>
  <c r="AV121" i="2"/>
  <c r="AV61" i="2"/>
  <c r="AV80" i="2"/>
  <c r="AV85" i="2"/>
  <c r="AV62" i="2"/>
  <c r="AV65" i="2"/>
  <c r="AV55" i="2"/>
  <c r="AV57" i="2"/>
  <c r="AV115" i="2"/>
  <c r="AV72" i="2"/>
  <c r="AV114" i="2"/>
  <c r="AV116" i="2"/>
  <c r="AV102" i="2"/>
  <c r="AV56" i="2"/>
  <c r="AV60" i="2"/>
  <c r="AV77" i="2"/>
  <c r="AV98" i="2"/>
  <c r="AV79" i="2"/>
  <c r="AV54" i="2"/>
  <c r="AV95" i="2"/>
  <c r="AV118" i="2"/>
  <c r="AV66" i="2"/>
  <c r="AV70" i="2"/>
  <c r="AV90" i="2"/>
  <c r="AV50" i="2"/>
  <c r="AV105" i="2"/>
  <c r="AV107" i="2"/>
  <c r="AV97" i="2"/>
  <c r="AV92" i="2"/>
  <c r="AV82" i="2"/>
  <c r="AV112" i="2"/>
  <c r="AV59" i="2"/>
  <c r="AV81" i="2"/>
  <c r="AV106" i="2"/>
  <c r="AV101" i="2"/>
  <c r="AV67" i="2"/>
  <c r="AV108" i="2"/>
  <c r="AV100" i="2"/>
  <c r="AV104" i="2"/>
  <c r="AV91" i="2"/>
  <c r="AV119" i="2"/>
  <c r="AV117" i="2"/>
  <c r="AV83" i="2"/>
  <c r="AV93" i="2"/>
  <c r="AV88" i="2"/>
  <c r="AT89" i="31"/>
  <c r="C91" i="31"/>
  <c r="AU89" i="31"/>
  <c r="C92" i="31"/>
  <c r="AU90" i="31"/>
  <c r="AT90" i="31"/>
  <c r="U1" i="4" a="1"/>
  <c r="U1" i="4" s="1"/>
  <c r="Y1" i="2" a="1"/>
  <c r="Y1" i="2" s="1"/>
  <c r="AU50" i="2"/>
  <c r="AU68" i="2"/>
  <c r="AU84" i="2"/>
  <c r="AU66" i="2"/>
  <c r="AU71" i="2"/>
  <c r="AU63" i="2"/>
  <c r="AU76" i="2"/>
  <c r="AU61" i="2"/>
  <c r="AU80" i="2"/>
  <c r="AU107" i="2"/>
  <c r="AU106" i="2"/>
  <c r="AU99" i="2"/>
  <c r="AU53" i="2"/>
  <c r="AU54" i="2"/>
  <c r="AU93" i="2"/>
  <c r="AU69" i="2"/>
  <c r="AU95" i="2"/>
  <c r="AU92" i="2"/>
  <c r="AU91" i="2"/>
  <c r="AU90" i="2"/>
  <c r="AU74" i="2"/>
  <c r="AU72" i="2"/>
  <c r="AU79" i="2"/>
  <c r="AU52" i="2"/>
  <c r="AU101" i="2"/>
  <c r="AU60" i="2"/>
  <c r="AU88" i="2"/>
  <c r="AU81" i="2"/>
  <c r="AU102" i="2"/>
  <c r="AU75" i="2"/>
  <c r="AU89" i="2"/>
  <c r="AU104" i="2"/>
  <c r="AU73" i="2"/>
  <c r="AU105" i="2"/>
  <c r="AU64" i="2"/>
  <c r="AU85" i="2"/>
  <c r="AU96" i="2"/>
  <c r="AU98" i="2"/>
  <c r="AU87" i="2"/>
  <c r="AU55" i="2"/>
  <c r="AU70" i="2"/>
  <c r="AU94" i="2"/>
  <c r="AU62" i="2"/>
  <c r="AU65" i="2"/>
  <c r="AU103" i="2"/>
  <c r="AU56" i="2"/>
  <c r="AU51" i="2"/>
  <c r="AU83" i="2"/>
  <c r="AU86" i="2"/>
  <c r="AU82" i="2"/>
  <c r="AU97" i="2"/>
  <c r="AU59" i="2"/>
  <c r="AU77" i="2"/>
  <c r="AU67" i="2"/>
  <c r="AS8" i="4"/>
  <c r="AQ8" i="4"/>
  <c r="AU16" i="2"/>
  <c r="AM9" i="4"/>
  <c r="AQ213" i="4" s="1"/>
  <c r="AQ262" i="4" l="1"/>
  <c r="AQ261" i="4"/>
  <c r="AQ260" i="4"/>
  <c r="AQ256" i="4"/>
  <c r="AQ255" i="4"/>
  <c r="AQ259" i="4"/>
  <c r="AQ258" i="4"/>
  <c r="AQ252" i="4"/>
  <c r="AQ253" i="4"/>
  <c r="AQ257" i="4"/>
  <c r="AQ254" i="4"/>
  <c r="AQ250" i="4"/>
  <c r="AQ249" i="4"/>
  <c r="AQ251" i="4"/>
  <c r="AQ247" i="4"/>
  <c r="AQ248" i="4"/>
  <c r="AQ246" i="4"/>
  <c r="AQ245" i="4"/>
  <c r="AQ230" i="4"/>
  <c r="AQ226" i="4"/>
  <c r="AQ221" i="4"/>
  <c r="AQ219" i="4"/>
  <c r="AQ238" i="4"/>
  <c r="AQ233" i="4"/>
  <c r="AQ223" i="4"/>
  <c r="AQ228" i="4"/>
  <c r="AQ239" i="4"/>
  <c r="AQ224" i="4"/>
  <c r="AQ237" i="4"/>
  <c r="AQ215" i="4"/>
  <c r="AQ225" i="4"/>
  <c r="AQ240" i="4"/>
  <c r="AQ243" i="4"/>
  <c r="AQ235" i="4"/>
  <c r="AQ234" i="4"/>
  <c r="AQ229" i="4"/>
  <c r="AQ241" i="4"/>
  <c r="AQ220" i="4"/>
  <c r="AQ218" i="4"/>
  <c r="AQ244" i="4"/>
  <c r="AQ214" i="4"/>
  <c r="AQ222" i="4"/>
  <c r="AQ217" i="4"/>
  <c r="AQ232" i="4"/>
  <c r="AQ227" i="4"/>
  <c r="AQ236" i="4"/>
  <c r="AQ242" i="4"/>
  <c r="AQ216" i="4"/>
  <c r="AQ231" i="4"/>
  <c r="AM3" i="4"/>
  <c r="AQ212" i="4"/>
  <c r="AQ189" i="4"/>
  <c r="AQ194" i="4"/>
  <c r="AQ178" i="4"/>
  <c r="AQ211" i="4"/>
  <c r="AQ171" i="4"/>
  <c r="AQ198" i="4"/>
  <c r="AQ205" i="4"/>
  <c r="AQ176" i="4"/>
  <c r="AQ174" i="4"/>
  <c r="AQ200" i="4"/>
  <c r="AQ204" i="4"/>
  <c r="AQ192" i="4"/>
  <c r="AQ187" i="4"/>
  <c r="AQ188" i="4"/>
  <c r="AQ172" i="4"/>
  <c r="AQ186" i="4"/>
  <c r="AQ184" i="4"/>
  <c r="AQ179" i="4"/>
  <c r="AQ175" i="4"/>
  <c r="AQ185" i="4"/>
  <c r="AQ177" i="4"/>
  <c r="AQ180" i="4"/>
  <c r="AQ195" i="4"/>
  <c r="AQ201" i="4"/>
  <c r="AQ173" i="4"/>
  <c r="AQ181" i="4"/>
  <c r="AQ203" i="4"/>
  <c r="AQ196" i="4"/>
  <c r="AQ202" i="4"/>
  <c r="AQ208" i="4"/>
  <c r="AQ182" i="4"/>
  <c r="AQ183" i="4"/>
  <c r="AQ206" i="4"/>
  <c r="AQ209" i="4"/>
  <c r="AQ210" i="4"/>
  <c r="AQ170" i="4"/>
  <c r="AQ193" i="4"/>
  <c r="AQ197" i="4"/>
  <c r="AQ199" i="4"/>
  <c r="AQ191" i="4"/>
  <c r="AQ207" i="4"/>
  <c r="AQ129" i="4"/>
  <c r="AQ190" i="4"/>
  <c r="AQ169" i="4"/>
  <c r="AQ166" i="4"/>
  <c r="AQ168" i="4"/>
  <c r="AQ165" i="4"/>
  <c r="AQ167" i="4"/>
  <c r="AV324" i="2"/>
  <c r="AQ164" i="4"/>
  <c r="AQ163" i="4"/>
  <c r="AQ157" i="4"/>
  <c r="AQ162" i="4"/>
  <c r="AQ161" i="4"/>
  <c r="AQ158" i="4"/>
  <c r="AQ160" i="4"/>
  <c r="AQ159" i="4"/>
  <c r="AQ154" i="4"/>
  <c r="AQ155" i="4"/>
  <c r="AQ156" i="4"/>
  <c r="AQ153" i="4"/>
  <c r="AQ152" i="4"/>
  <c r="AV174" i="2"/>
  <c r="AV239" i="2"/>
  <c r="AV214" i="2"/>
  <c r="AV206" i="2"/>
  <c r="AV210" i="2"/>
  <c r="AV190" i="2"/>
  <c r="AV189" i="2"/>
  <c r="AV185" i="2"/>
  <c r="AQ151" i="4"/>
  <c r="AQ149" i="4"/>
  <c r="AQ150" i="4"/>
  <c r="AQ148" i="4"/>
  <c r="AQ147" i="4"/>
  <c r="AQ146" i="4"/>
  <c r="AQ145" i="4"/>
  <c r="AQ144" i="4"/>
  <c r="AQ143" i="4"/>
  <c r="AQ142" i="4"/>
  <c r="AV160" i="2"/>
  <c r="AV177" i="2"/>
  <c r="AV204" i="2"/>
  <c r="AQ141" i="4"/>
  <c r="AQ140" i="4"/>
  <c r="AQ139" i="4"/>
  <c r="AQ138" i="4"/>
  <c r="AQ137" i="4"/>
  <c r="AQ136" i="4"/>
  <c r="AQ135" i="4"/>
  <c r="AV207" i="2"/>
  <c r="AV227" i="2"/>
  <c r="AV202" i="2"/>
  <c r="AV150" i="2"/>
  <c r="AV245" i="2"/>
  <c r="AV224" i="2"/>
  <c r="AV235" i="2"/>
  <c r="AV232" i="2"/>
  <c r="AV201" i="2"/>
  <c r="AV128" i="2"/>
  <c r="AV250" i="2"/>
  <c r="AV234" i="2"/>
  <c r="AV231" i="2"/>
  <c r="AV222" i="2"/>
  <c r="AV184" i="2"/>
  <c r="AV152" i="2"/>
  <c r="AV188" i="2"/>
  <c r="AV238" i="2"/>
  <c r="AV221" i="2"/>
  <c r="AV192" i="2"/>
  <c r="AV167" i="2"/>
  <c r="AV229" i="2"/>
  <c r="AV200" i="2"/>
  <c r="AV196" i="2"/>
  <c r="AV243" i="2"/>
  <c r="AV220" i="2"/>
  <c r="AV139" i="2"/>
  <c r="AV193" i="2"/>
  <c r="AV215" i="2"/>
  <c r="AV244" i="2"/>
  <c r="AV208" i="2"/>
  <c r="AV209" i="2"/>
  <c r="AV247" i="2"/>
  <c r="AV223" i="2"/>
  <c r="AV203" i="2"/>
  <c r="AV217" i="2"/>
  <c r="AV242" i="2"/>
  <c r="AV212" i="2"/>
  <c r="AV240" i="2"/>
  <c r="AV180" i="2"/>
  <c r="AV166" i="2"/>
  <c r="AV183" i="2"/>
  <c r="AV191" i="2"/>
  <c r="AV225" i="2"/>
  <c r="AV198" i="2"/>
  <c r="AV249" i="2"/>
  <c r="AV205" i="2"/>
  <c r="AV199" i="2"/>
  <c r="AV237" i="2"/>
  <c r="AV195" i="2"/>
  <c r="AV219" i="2"/>
  <c r="AV216" i="2"/>
  <c r="AV213" i="2"/>
  <c r="AV248" i="2"/>
  <c r="AV241" i="2"/>
  <c r="AV236" i="2"/>
  <c r="AV187" i="2"/>
  <c r="AV194" i="2"/>
  <c r="AV246" i="2"/>
  <c r="AV230" i="2"/>
  <c r="AV132" i="2"/>
  <c r="AV154" i="2"/>
  <c r="AV125" i="2"/>
  <c r="AV186" i="2"/>
  <c r="AV226" i="2"/>
  <c r="AV233" i="2"/>
  <c r="AV218" i="2"/>
  <c r="AV211" i="2"/>
  <c r="AV197" i="2"/>
  <c r="AV251" i="2"/>
  <c r="AV228" i="2"/>
  <c r="AQ134" i="4"/>
  <c r="AQ133" i="4"/>
  <c r="AQ132" i="4"/>
  <c r="AQ131" i="4"/>
  <c r="AQ130" i="4"/>
  <c r="AQ107" i="4"/>
  <c r="AQ128" i="4"/>
  <c r="AQ127" i="4"/>
  <c r="AR8" i="4"/>
  <c r="AQ126" i="4"/>
  <c r="AQ125" i="4"/>
  <c r="AQ124" i="4"/>
  <c r="AQ123" i="4"/>
  <c r="AQ122" i="4"/>
  <c r="AQ121" i="4"/>
  <c r="AQ120" i="4"/>
  <c r="AQ119" i="4"/>
  <c r="AQ118" i="4"/>
  <c r="AQ117" i="4"/>
  <c r="AQ116" i="4"/>
  <c r="AQ115" i="4"/>
  <c r="AQ114" i="4"/>
  <c r="AQ113" i="4"/>
  <c r="AQ112" i="4"/>
  <c r="AQ111" i="4"/>
  <c r="AQ110" i="4"/>
  <c r="AQ109" i="4"/>
  <c r="AQ108" i="4"/>
  <c r="AQ68" i="4"/>
  <c r="AP9" i="4"/>
  <c r="AP4" i="4" s="1"/>
  <c r="AQ86" i="4"/>
  <c r="AQ85" i="4"/>
  <c r="AV143" i="2"/>
  <c r="AV157" i="2"/>
  <c r="AS1" i="2" a="1"/>
  <c r="AS1" i="2" s="1"/>
  <c r="AV129" i="2"/>
  <c r="AV140" i="2"/>
  <c r="AV142" i="2"/>
  <c r="AV156" i="2"/>
  <c r="AV175" i="2"/>
  <c r="AV164" i="2"/>
  <c r="AV136" i="2"/>
  <c r="AV126" i="2"/>
  <c r="AV149" i="2"/>
  <c r="AV151" i="2"/>
  <c r="AV138" i="2"/>
  <c r="AV127" i="2"/>
  <c r="AV147" i="2"/>
  <c r="AV171" i="2"/>
  <c r="AV169" i="2"/>
  <c r="AV162" i="2"/>
  <c r="AV133" i="2"/>
  <c r="AU123" i="2"/>
  <c r="AU4" i="2" s="1"/>
  <c r="AV176" i="2"/>
  <c r="AV137" i="2"/>
  <c r="AV170" i="2"/>
  <c r="AV141" i="2"/>
  <c r="AV168" i="2"/>
  <c r="AV173" i="2"/>
  <c r="AV161" i="2"/>
  <c r="AV163" i="2"/>
  <c r="AV181" i="2"/>
  <c r="AV178" i="2"/>
  <c r="AV159" i="2"/>
  <c r="AV148" i="2"/>
  <c r="AV182" i="2"/>
  <c r="AV130" i="2"/>
  <c r="AV144" i="2"/>
  <c r="AV172" i="2"/>
  <c r="AV179" i="2"/>
  <c r="AV153" i="2"/>
  <c r="AV155" i="2"/>
  <c r="AV145" i="2"/>
  <c r="AV146" i="2"/>
  <c r="AV124" i="2"/>
  <c r="AV131" i="2"/>
  <c r="AV135" i="2"/>
  <c r="AV123" i="2"/>
  <c r="AV158" i="2"/>
  <c r="AV165" i="2"/>
  <c r="AQ84" i="4"/>
  <c r="AQ83" i="4"/>
  <c r="AQ82" i="4"/>
  <c r="AQ81" i="4"/>
  <c r="AQ80" i="4"/>
  <c r="AQ79" i="4"/>
  <c r="AQ78" i="4"/>
  <c r="AQ77" i="4"/>
  <c r="AQ76" i="4"/>
  <c r="AQ75" i="4"/>
  <c r="AQ74" i="4"/>
  <c r="AQ73" i="4"/>
  <c r="AQ72" i="4"/>
  <c r="AQ71" i="4"/>
  <c r="AQ70" i="4"/>
  <c r="AQ69" i="4"/>
  <c r="AQ67" i="4"/>
  <c r="AQ66" i="4"/>
  <c r="AQ65" i="4"/>
  <c r="AQ64" i="4"/>
  <c r="AQ63" i="4"/>
  <c r="AQ62" i="4"/>
  <c r="AQ61" i="4"/>
  <c r="AQ60" i="4"/>
  <c r="AQ59" i="4"/>
  <c r="AQ58" i="4"/>
  <c r="AQ57" i="4"/>
  <c r="AQ56" i="4"/>
  <c r="AQ55" i="4"/>
  <c r="C93" i="31"/>
  <c r="AU91" i="31"/>
  <c r="AT91" i="31"/>
  <c r="AU92" i="31"/>
  <c r="AT92" i="31"/>
  <c r="C94" i="31"/>
  <c r="AQ54" i="4"/>
  <c r="AQ53" i="4"/>
  <c r="AQ52" i="4"/>
  <c r="AQ51" i="4"/>
  <c r="AQ50" i="4"/>
  <c r="AM1" i="4" a="1"/>
  <c r="AM1" i="4" s="1"/>
  <c r="AQ49" i="4"/>
  <c r="AQ43" i="4"/>
  <c r="AQ48" i="4"/>
  <c r="AQ41" i="4"/>
  <c r="AQ32" i="4"/>
  <c r="AQ20" i="4"/>
  <c r="AQ35" i="4"/>
  <c r="AQ22" i="4"/>
  <c r="AQ16" i="4"/>
  <c r="AQ11" i="4"/>
  <c r="AR11" i="4" s="1"/>
  <c r="AQ31" i="4"/>
  <c r="AQ46" i="4"/>
  <c r="AQ14" i="4"/>
  <c r="AR14" i="4" s="1"/>
  <c r="AQ34" i="4"/>
  <c r="AS9" i="4"/>
  <c r="AS3" i="4" s="1"/>
  <c r="AQ26" i="4"/>
  <c r="AQ28" i="4"/>
  <c r="AQ37" i="4"/>
  <c r="AQ19" i="4"/>
  <c r="AQ38" i="4"/>
  <c r="AQ23" i="4"/>
  <c r="AQ47" i="4"/>
  <c r="AQ29" i="4"/>
  <c r="AQ13" i="4"/>
  <c r="AR13" i="4" s="1"/>
  <c r="AQ12" i="4"/>
  <c r="AR12" i="4" s="1"/>
  <c r="AQ21" i="4"/>
  <c r="AQ39" i="4"/>
  <c r="AQ18" i="4"/>
  <c r="AQ30" i="4"/>
  <c r="AQ40" i="4"/>
  <c r="AQ10" i="4"/>
  <c r="AR10" i="4" s="1"/>
  <c r="AQ33" i="4"/>
  <c r="AQ25" i="4"/>
  <c r="AQ27" i="4"/>
  <c r="AQ17" i="4"/>
  <c r="AQ45" i="4"/>
  <c r="AQ15" i="4"/>
  <c r="AQ9" i="4"/>
  <c r="AR9" i="4" s="1"/>
  <c r="AQ36" i="4"/>
  <c r="AQ24" i="4"/>
  <c r="AQ44" i="4"/>
  <c r="AQ42" i="4"/>
  <c r="BG6" i="2"/>
  <c r="AW6" i="2" s="1"/>
  <c r="BB6" i="2"/>
  <c r="D8" i="2"/>
  <c r="AX6" i="2"/>
  <c r="C7" i="2"/>
  <c r="BB7" i="2"/>
  <c r="D9" i="2"/>
  <c r="BG7" i="2"/>
  <c r="AX7" i="2"/>
  <c r="AQ1" i="4" l="1"/>
  <c r="AW7" i="2"/>
  <c r="AN8" i="2"/>
  <c r="BC8" i="2"/>
  <c r="BD8" i="2"/>
  <c r="AN9" i="2"/>
  <c r="BC9" i="2"/>
  <c r="BD9" i="2"/>
  <c r="AU94" i="31"/>
  <c r="AT94" i="31"/>
  <c r="C96" i="31"/>
  <c r="AU93" i="31"/>
  <c r="AT93" i="31"/>
  <c r="C95" i="31"/>
  <c r="BD7" i="4"/>
  <c r="BF6" i="2"/>
  <c r="AY6" i="2" s="1"/>
  <c r="BG8" i="2"/>
  <c r="AW8" i="2" s="1"/>
  <c r="BB8" i="2"/>
  <c r="D10" i="2"/>
  <c r="AX8" i="2"/>
  <c r="C9" i="2"/>
  <c r="BG9" i="2"/>
  <c r="BB9" i="2"/>
  <c r="D11" i="2"/>
  <c r="AX9" i="2"/>
  <c r="BF7" i="2"/>
  <c r="AY7" i="2" s="1"/>
  <c r="AN11" i="2" l="1"/>
  <c r="BD11" i="2"/>
  <c r="BC11" i="2"/>
  <c r="AN10" i="2"/>
  <c r="BC10" i="2"/>
  <c r="BD10" i="2"/>
  <c r="C98" i="31"/>
  <c r="AU96" i="31"/>
  <c r="AT96" i="31"/>
  <c r="AT95" i="31"/>
  <c r="C97" i="31"/>
  <c r="AU95" i="31"/>
  <c r="AW9" i="2"/>
  <c r="BF9" i="2"/>
  <c r="AY9" i="2" s="1"/>
  <c r="BB10" i="2"/>
  <c r="D12" i="2"/>
  <c r="BG10" i="2"/>
  <c r="AX10" i="2"/>
  <c r="BF8" i="2"/>
  <c r="AY8" i="2" s="1"/>
  <c r="C11" i="2"/>
  <c r="BB11" i="2"/>
  <c r="BG11" i="2"/>
  <c r="D13" i="2"/>
  <c r="AX11" i="2"/>
  <c r="AW10" i="2" l="1"/>
  <c r="AN13" i="2"/>
  <c r="BC13" i="2"/>
  <c r="BD13" i="2"/>
  <c r="AN12" i="2"/>
  <c r="BD12" i="2"/>
  <c r="BC12" i="2"/>
  <c r="AU98" i="31"/>
  <c r="AT98" i="31"/>
  <c r="C100" i="31"/>
  <c r="C99" i="31"/>
  <c r="AU97" i="31"/>
  <c r="AT97" i="31"/>
  <c r="AW11" i="2"/>
  <c r="BF10" i="2"/>
  <c r="AY10" i="2" s="1"/>
  <c r="C13" i="2"/>
  <c r="BB13" i="2"/>
  <c r="BG13" i="2"/>
  <c r="D15" i="2"/>
  <c r="AX13" i="2"/>
  <c r="BG12" i="2"/>
  <c r="AW12" i="2" s="1"/>
  <c r="D14" i="2"/>
  <c r="BB12" i="2"/>
  <c r="AX12" i="2"/>
  <c r="BF11" i="2"/>
  <c r="AY11" i="2" s="1"/>
  <c r="BC14" i="2" l="1"/>
  <c r="BD14" i="2"/>
  <c r="BC15" i="2"/>
  <c r="BD15" i="2"/>
  <c r="AU99" i="31"/>
  <c r="AT99" i="31"/>
  <c r="C101" i="31"/>
  <c r="C102" i="31"/>
  <c r="AU100" i="31"/>
  <c r="AT100" i="31"/>
  <c r="AN15" i="2"/>
  <c r="AN14" i="2"/>
  <c r="AW13" i="2"/>
  <c r="BG15" i="2"/>
  <c r="BB15" i="2"/>
  <c r="D17" i="2"/>
  <c r="AX15" i="2"/>
  <c r="BF13" i="2"/>
  <c r="AY13" i="2" s="1"/>
  <c r="BF12" i="2"/>
  <c r="AY12" i="2" s="1"/>
  <c r="BB14" i="2"/>
  <c r="BG14" i="2"/>
  <c r="D16" i="2"/>
  <c r="AX14" i="2"/>
  <c r="AW14" i="2" l="1"/>
  <c r="AN17" i="2"/>
  <c r="BD17" i="2"/>
  <c r="BC17" i="2"/>
  <c r="AN16" i="2"/>
  <c r="BC16" i="2"/>
  <c r="BD16" i="2"/>
  <c r="AU102" i="31"/>
  <c r="AT102" i="31"/>
  <c r="C104" i="31"/>
  <c r="AU101" i="31"/>
  <c r="AT101" i="31"/>
  <c r="C103" i="31"/>
  <c r="AW15" i="2"/>
  <c r="BB16" i="2"/>
  <c r="D18" i="2"/>
  <c r="AX16" i="2"/>
  <c r="BG16" i="2"/>
  <c r="BF14" i="2"/>
  <c r="AY14" i="2" s="1"/>
  <c r="BF15" i="2"/>
  <c r="AY15" i="2" s="1"/>
  <c r="BB17" i="2"/>
  <c r="BG17" i="2"/>
  <c r="D19" i="2"/>
  <c r="AX17" i="2"/>
  <c r="AW16" i="2" l="1"/>
  <c r="AN18" i="2"/>
  <c r="BD18" i="2"/>
  <c r="BC18" i="2"/>
  <c r="AN19" i="2"/>
  <c r="BC19" i="2"/>
  <c r="BD19" i="2"/>
  <c r="AU104" i="31"/>
  <c r="AT104" i="31"/>
  <c r="C106" i="31"/>
  <c r="AU103" i="31"/>
  <c r="AT103" i="31"/>
  <c r="C105" i="31"/>
  <c r="AW17" i="2"/>
  <c r="BF16" i="2"/>
  <c r="AY16" i="2" s="1"/>
  <c r="D21" i="2"/>
  <c r="BG19" i="2"/>
  <c r="AX19" i="2"/>
  <c r="BB19" i="2"/>
  <c r="AX18" i="2"/>
  <c r="BG18" i="2"/>
  <c r="D20" i="2"/>
  <c r="BB18" i="2"/>
  <c r="BF17" i="2"/>
  <c r="AY17" i="2" s="1"/>
  <c r="AW18" i="2" l="1"/>
  <c r="AN20" i="2"/>
  <c r="BC20" i="2"/>
  <c r="BD20" i="2"/>
  <c r="AN21" i="2"/>
  <c r="BC21" i="2"/>
  <c r="BD21" i="2"/>
  <c r="C108" i="31"/>
  <c r="AU106" i="31"/>
  <c r="AT106" i="31"/>
  <c r="AU105" i="31"/>
  <c r="AT105" i="31"/>
  <c r="C107" i="31"/>
  <c r="BF18" i="2"/>
  <c r="AY18" i="2" s="1"/>
  <c r="AW19" i="2"/>
  <c r="BF19" i="2"/>
  <c r="AY19" i="2" s="1"/>
  <c r="BB20" i="2"/>
  <c r="AX20" i="2"/>
  <c r="BG20" i="2"/>
  <c r="D22" i="2"/>
  <c r="BB21" i="2"/>
  <c r="BG21" i="2"/>
  <c r="D23" i="2"/>
  <c r="AX21" i="2"/>
  <c r="AW20" i="2" l="1"/>
  <c r="AN23" i="2"/>
  <c r="BD23" i="2"/>
  <c r="BC23" i="2"/>
  <c r="AN22" i="2"/>
  <c r="BC22" i="2"/>
  <c r="BD22" i="2"/>
  <c r="AT108" i="31"/>
  <c r="C110" i="31"/>
  <c r="AU108" i="31"/>
  <c r="AU107" i="31"/>
  <c r="C109" i="31"/>
  <c r="AT107" i="31"/>
  <c r="AW21" i="2"/>
  <c r="BF21" i="2"/>
  <c r="AY21" i="2" s="1"/>
  <c r="BB23" i="2"/>
  <c r="AX23" i="2"/>
  <c r="D25" i="2"/>
  <c r="BG23" i="2"/>
  <c r="BF20" i="2"/>
  <c r="AY20" i="2" s="1"/>
  <c r="BB22" i="2"/>
  <c r="D24" i="2"/>
  <c r="BG22" i="2"/>
  <c r="AW22" i="2" l="1"/>
  <c r="AN24" i="2"/>
  <c r="BD24" i="2"/>
  <c r="BC24" i="2"/>
  <c r="AN25" i="2"/>
  <c r="BC25" i="2"/>
  <c r="BD25" i="2"/>
  <c r="AU110" i="31"/>
  <c r="AT110" i="31"/>
  <c r="C112" i="31"/>
  <c r="C111" i="31"/>
  <c r="AU109" i="31"/>
  <c r="AT109" i="31"/>
  <c r="AW23" i="2"/>
  <c r="BF22" i="2"/>
  <c r="AY22" i="2" s="1"/>
  <c r="BG25" i="2"/>
  <c r="BB25" i="2"/>
  <c r="AX25" i="2"/>
  <c r="D27" i="2"/>
  <c r="BF23" i="2"/>
  <c r="AY23" i="2" s="1"/>
  <c r="D26" i="2"/>
  <c r="AX24" i="2"/>
  <c r="BG24" i="2"/>
  <c r="BB24" i="2"/>
  <c r="AW24" i="2" l="1"/>
  <c r="AN27" i="2"/>
  <c r="BD27" i="2"/>
  <c r="BC27" i="2"/>
  <c r="AN26" i="2"/>
  <c r="BC26" i="2"/>
  <c r="BD26" i="2"/>
  <c r="C113" i="31"/>
  <c r="AU111" i="31"/>
  <c r="AT111" i="31"/>
  <c r="C114" i="31"/>
  <c r="AU112" i="31"/>
  <c r="AT112" i="31"/>
  <c r="AW25" i="2"/>
  <c r="D28" i="2"/>
  <c r="BG26" i="2"/>
  <c r="BB26" i="2"/>
  <c r="AX26" i="2"/>
  <c r="BG27" i="2"/>
  <c r="BB27" i="2"/>
  <c r="D29" i="2"/>
  <c r="BF24" i="2"/>
  <c r="AY24" i="2" s="1"/>
  <c r="BF25" i="2"/>
  <c r="AY25" i="2" s="1"/>
  <c r="AW26" i="2" l="1"/>
  <c r="AN29" i="2"/>
  <c r="BD29" i="2"/>
  <c r="BC29" i="2"/>
  <c r="BC28" i="2"/>
  <c r="BD28" i="2"/>
  <c r="AT114" i="31"/>
  <c r="C116" i="31"/>
  <c r="AU114" i="31"/>
  <c r="AU113" i="31"/>
  <c r="C115" i="31"/>
  <c r="AT113" i="31"/>
  <c r="AX28" i="2"/>
  <c r="AN28" i="2"/>
  <c r="AW27" i="2"/>
  <c r="D30" i="2"/>
  <c r="BG28" i="2"/>
  <c r="AW28" i="2" s="1"/>
  <c r="BB28" i="2"/>
  <c r="D31" i="2"/>
  <c r="BB29" i="2"/>
  <c r="AX29" i="2"/>
  <c r="BG29" i="2"/>
  <c r="BF27" i="2"/>
  <c r="AY27" i="2" s="1"/>
  <c r="BF26" i="2"/>
  <c r="AY26" i="2" s="1"/>
  <c r="AN31" i="2" l="1"/>
  <c r="BC31" i="2"/>
  <c r="BD31" i="2"/>
  <c r="AN30" i="2"/>
  <c r="BD30" i="2"/>
  <c r="BC30" i="2"/>
  <c r="C117" i="31"/>
  <c r="AU115" i="31"/>
  <c r="AT115" i="31"/>
  <c r="AU116" i="31"/>
  <c r="AT116" i="31"/>
  <c r="C118" i="31"/>
  <c r="AW29" i="2"/>
  <c r="BF28" i="2"/>
  <c r="AY28" i="2" s="1"/>
  <c r="BF29" i="2"/>
  <c r="AY29" i="2" s="1"/>
  <c r="D32" i="2"/>
  <c r="BG30" i="2"/>
  <c r="AW30" i="2" s="1"/>
  <c r="AX30" i="2"/>
  <c r="BB30" i="2"/>
  <c r="BB31" i="2"/>
  <c r="D33" i="2"/>
  <c r="AX31" i="2"/>
  <c r="BG31" i="2"/>
  <c r="AN32" i="2" l="1"/>
  <c r="BC32" i="2"/>
  <c r="BD32" i="2"/>
  <c r="AN33" i="2"/>
  <c r="BD33" i="2"/>
  <c r="BC33" i="2"/>
  <c r="C120" i="31"/>
  <c r="AU118" i="31"/>
  <c r="AT118" i="31"/>
  <c r="AT117" i="31"/>
  <c r="AU117" i="31"/>
  <c r="C119" i="31"/>
  <c r="AW31" i="2"/>
  <c r="BF30" i="2"/>
  <c r="AY30" i="2" s="1"/>
  <c r="BF31" i="2"/>
  <c r="AY31" i="2" s="1"/>
  <c r="D34" i="2"/>
  <c r="AX32" i="2"/>
  <c r="BG32" i="2"/>
  <c r="AW32" i="2" s="1"/>
  <c r="BB32" i="2"/>
  <c r="D35" i="2"/>
  <c r="BG33" i="2"/>
  <c r="AX33" i="2"/>
  <c r="BB33" i="2"/>
  <c r="AN35" i="2" l="1"/>
  <c r="BD35" i="2"/>
  <c r="BC35" i="2"/>
  <c r="AN34" i="2"/>
  <c r="BC34" i="2"/>
  <c r="BD34" i="2"/>
  <c r="AU119" i="31"/>
  <c r="AT119" i="31"/>
  <c r="C121" i="31"/>
  <c r="AT120" i="31"/>
  <c r="C122" i="31"/>
  <c r="AU120" i="31"/>
  <c r="AW33" i="2"/>
  <c r="AY9" i="11"/>
  <c r="BC8" i="11"/>
  <c r="D10" i="11"/>
  <c r="BH8" i="11"/>
  <c r="BG35" i="2"/>
  <c r="D37" i="2"/>
  <c r="AX35" i="2"/>
  <c r="BB35" i="2"/>
  <c r="BF32" i="2"/>
  <c r="AY32" i="2" s="1"/>
  <c r="BF33" i="2"/>
  <c r="AY33" i="2" s="1"/>
  <c r="BG34" i="2"/>
  <c r="AW34" i="2" s="1"/>
  <c r="BB34" i="2"/>
  <c r="AX34" i="2"/>
  <c r="D36" i="2"/>
  <c r="AN37" i="2" l="1"/>
  <c r="BC37" i="2"/>
  <c r="BD37" i="2"/>
  <c r="AN36" i="2"/>
  <c r="BD36" i="2"/>
  <c r="BC36" i="2"/>
  <c r="BE8" i="11"/>
  <c r="BD8" i="11"/>
  <c r="C123" i="31"/>
  <c r="AU121" i="31"/>
  <c r="AT121" i="31"/>
  <c r="AU122" i="31"/>
  <c r="AT122" i="31"/>
  <c r="C124" i="31"/>
  <c r="AX6" i="11"/>
  <c r="AX7" i="11"/>
  <c r="AW35" i="2"/>
  <c r="AX8" i="11"/>
  <c r="D11" i="11"/>
  <c r="BC9" i="11"/>
  <c r="BH9" i="11"/>
  <c r="BH10" i="11"/>
  <c r="BC10" i="11"/>
  <c r="D12" i="11"/>
  <c r="BF35" i="2"/>
  <c r="AY35" i="2" s="1"/>
  <c r="BF34" i="2"/>
  <c r="AY34" i="2" s="1"/>
  <c r="BG37" i="2"/>
  <c r="D39" i="2"/>
  <c r="BB37" i="2"/>
  <c r="D38" i="2"/>
  <c r="AX36" i="2"/>
  <c r="BG36" i="2"/>
  <c r="AW36" i="2" s="1"/>
  <c r="BB36" i="2"/>
  <c r="BG8" i="11" l="1"/>
  <c r="AZ8" i="11" s="1"/>
  <c r="AN38" i="2"/>
  <c r="BC38" i="2"/>
  <c r="BD38" i="2"/>
  <c r="BD39" i="2"/>
  <c r="BC39" i="2"/>
  <c r="AY11" i="11"/>
  <c r="BE9" i="11"/>
  <c r="BD9" i="11"/>
  <c r="AY12" i="11"/>
  <c r="BD10" i="11"/>
  <c r="BE10" i="11"/>
  <c r="C126" i="31"/>
  <c r="AU124" i="31"/>
  <c r="AT124" i="31"/>
  <c r="AU123" i="31"/>
  <c r="C125" i="31"/>
  <c r="AT123" i="31"/>
  <c r="AX39" i="2"/>
  <c r="AN39" i="2"/>
  <c r="AX10" i="11"/>
  <c r="AW37" i="2"/>
  <c r="BH11" i="11"/>
  <c r="BC11" i="11"/>
  <c r="D13" i="11"/>
  <c r="D14" i="11"/>
  <c r="BH12" i="11"/>
  <c r="BC12" i="11"/>
  <c r="BF37" i="2"/>
  <c r="AY37" i="2" s="1"/>
  <c r="AX38" i="2"/>
  <c r="BB38" i="2"/>
  <c r="D40" i="2"/>
  <c r="BG38" i="2"/>
  <c r="AW38" i="2" s="1"/>
  <c r="BF36" i="2"/>
  <c r="AY36" i="2" s="1"/>
  <c r="BB39" i="2"/>
  <c r="BG39" i="2"/>
  <c r="D41" i="2"/>
  <c r="BG9" i="11" l="1"/>
  <c r="AZ9" i="11" s="1"/>
  <c r="BG10" i="11"/>
  <c r="AZ10" i="11" s="1"/>
  <c r="BD41" i="2"/>
  <c r="BC41" i="2"/>
  <c r="BC40" i="2"/>
  <c r="BD40" i="2"/>
  <c r="AY14" i="11"/>
  <c r="BD12" i="11"/>
  <c r="BE12" i="11"/>
  <c r="AY13" i="11"/>
  <c r="BD11" i="11"/>
  <c r="BE11" i="11"/>
  <c r="AT126" i="31"/>
  <c r="AU126" i="31"/>
  <c r="C128" i="31"/>
  <c r="AU125" i="31"/>
  <c r="AT125" i="31"/>
  <c r="C127" i="31"/>
  <c r="AX40" i="2"/>
  <c r="AN40" i="2"/>
  <c r="AN41" i="2"/>
  <c r="AX12" i="11"/>
  <c r="AW39" i="2"/>
  <c r="BC13" i="11"/>
  <c r="BH13" i="11"/>
  <c r="AX13" i="11" s="1"/>
  <c r="D15" i="11"/>
  <c r="BC14" i="11"/>
  <c r="D16" i="11"/>
  <c r="BH14" i="11"/>
  <c r="BF38" i="2"/>
  <c r="AY38" i="2" s="1"/>
  <c r="D42" i="2"/>
  <c r="BG40" i="2"/>
  <c r="AW40" i="2" s="1"/>
  <c r="BB40" i="2"/>
  <c r="BF39" i="2"/>
  <c r="AY39" i="2" s="1"/>
  <c r="BG41" i="2"/>
  <c r="BB41" i="2"/>
  <c r="D43" i="2"/>
  <c r="AX43" i="2" s="1"/>
  <c r="BG12" i="11" l="1"/>
  <c r="AZ12" i="11" s="1"/>
  <c r="BG11" i="11"/>
  <c r="AZ11" i="11" s="1"/>
  <c r="BC43" i="2"/>
  <c r="BD43" i="2"/>
  <c r="BD42" i="2"/>
  <c r="BC42" i="2"/>
  <c r="AY16" i="11"/>
  <c r="BD14" i="11"/>
  <c r="BE14" i="11"/>
  <c r="AY15" i="11"/>
  <c r="BD13" i="11"/>
  <c r="BE13" i="11"/>
  <c r="AU127" i="31"/>
  <c r="C129" i="31"/>
  <c r="AT127" i="31"/>
  <c r="AU128" i="31"/>
  <c r="AT128" i="31"/>
  <c r="C130" i="31"/>
  <c r="AN43" i="2"/>
  <c r="AN42" i="2"/>
  <c r="AX14" i="11"/>
  <c r="AW41" i="2"/>
  <c r="D17" i="11"/>
  <c r="BH15" i="11"/>
  <c r="AX15" i="11" s="1"/>
  <c r="BC15" i="11"/>
  <c r="BC16" i="11"/>
  <c r="D18" i="11"/>
  <c r="BH16" i="11"/>
  <c r="BF40" i="2"/>
  <c r="AY40" i="2" s="1"/>
  <c r="BB42" i="2"/>
  <c r="BG42" i="2"/>
  <c r="AW42" i="2" s="1"/>
  <c r="D44" i="2"/>
  <c r="AX44" i="2" s="1"/>
  <c r="BG43" i="2"/>
  <c r="BB43" i="2"/>
  <c r="D45" i="2"/>
  <c r="AX45" i="2" s="1"/>
  <c r="BF41" i="2"/>
  <c r="AY41" i="2" s="1"/>
  <c r="BG13" i="11" l="1"/>
  <c r="AZ13" i="11" s="1"/>
  <c r="BG14" i="11"/>
  <c r="AZ14" i="11" s="1"/>
  <c r="BF43" i="2"/>
  <c r="AY43" i="2" s="1"/>
  <c r="BC45" i="2"/>
  <c r="BD45" i="2"/>
  <c r="BC44" i="2"/>
  <c r="BD44" i="2"/>
  <c r="BF42" i="2"/>
  <c r="AY42" i="2" s="1"/>
  <c r="AY18" i="11"/>
  <c r="BD16" i="11"/>
  <c r="BE16" i="11"/>
  <c r="AY17" i="11"/>
  <c r="BD15" i="11"/>
  <c r="BE15" i="11"/>
  <c r="C132" i="31"/>
  <c r="AT130" i="31"/>
  <c r="AU130" i="31"/>
  <c r="AT129" i="31"/>
  <c r="C131" i="31"/>
  <c r="AU129" i="31"/>
  <c r="AN44" i="2"/>
  <c r="AN45" i="2"/>
  <c r="AX16" i="11"/>
  <c r="BH17" i="11"/>
  <c r="AX17" i="11" s="1"/>
  <c r="BC17" i="11"/>
  <c r="D19" i="11"/>
  <c r="BH18" i="11"/>
  <c r="D20" i="11"/>
  <c r="BC18" i="11"/>
  <c r="AW43" i="2"/>
  <c r="D46" i="2"/>
  <c r="AX46" i="2" s="1"/>
  <c r="BG44" i="2"/>
  <c r="AW44" i="2" s="1"/>
  <c r="BB44" i="2"/>
  <c r="BG45" i="2"/>
  <c r="D47" i="2"/>
  <c r="AX47" i="2" s="1"/>
  <c r="BB45" i="2"/>
  <c r="BG15" i="11" l="1"/>
  <c r="AZ15" i="11" s="1"/>
  <c r="BG16" i="11"/>
  <c r="AZ16" i="11" s="1"/>
  <c r="BF45" i="2"/>
  <c r="AY45" i="2" s="1"/>
  <c r="BF44" i="2"/>
  <c r="AY44" i="2" s="1"/>
  <c r="BC46" i="2"/>
  <c r="BD46" i="2"/>
  <c r="BC47" i="2"/>
  <c r="BD47" i="2"/>
  <c r="AY19" i="11"/>
  <c r="BE17" i="11"/>
  <c r="BD17" i="11"/>
  <c r="AY20" i="11"/>
  <c r="BE18" i="11"/>
  <c r="BD18" i="11"/>
  <c r="BG18" i="11" s="1"/>
  <c r="AZ18" i="11" s="1"/>
  <c r="AU131" i="31"/>
  <c r="AT131" i="31"/>
  <c r="C133" i="31"/>
  <c r="AU132" i="31"/>
  <c r="AT132" i="31"/>
  <c r="C134" i="31"/>
  <c r="AX18" i="11"/>
  <c r="AN47" i="2"/>
  <c r="AN46" i="2"/>
  <c r="D21" i="11"/>
  <c r="BH19" i="11"/>
  <c r="AX19" i="11" s="1"/>
  <c r="BC19" i="11"/>
  <c r="D22" i="11"/>
  <c r="BH20" i="11"/>
  <c r="BC20" i="11"/>
  <c r="AW45" i="2"/>
  <c r="D49" i="2"/>
  <c r="AX49" i="2" s="1"/>
  <c r="BB47" i="2"/>
  <c r="BG47" i="2"/>
  <c r="BG46" i="2"/>
  <c r="AW46" i="2" s="1"/>
  <c r="D48" i="2"/>
  <c r="AX48" i="2" s="1"/>
  <c r="BB46" i="2"/>
  <c r="AX20" i="11" l="1"/>
  <c r="BG17" i="11"/>
  <c r="AZ17" i="11" s="1"/>
  <c r="BF47" i="2"/>
  <c r="AY47" i="2" s="1"/>
  <c r="BF46" i="2"/>
  <c r="AY46" i="2" s="1"/>
  <c r="BD48" i="2"/>
  <c r="BC48" i="2"/>
  <c r="BC49" i="2"/>
  <c r="BD49" i="2"/>
  <c r="AY22" i="11"/>
  <c r="BE20" i="11"/>
  <c r="BD20" i="11"/>
  <c r="AY21" i="11"/>
  <c r="BE19" i="11"/>
  <c r="BD19" i="11"/>
  <c r="AU133" i="31"/>
  <c r="C135" i="31"/>
  <c r="AT133" i="31"/>
  <c r="AU134" i="31"/>
  <c r="AT134" i="31"/>
  <c r="C136" i="31"/>
  <c r="AN49" i="2"/>
  <c r="AN48" i="2"/>
  <c r="AW47" i="2"/>
  <c r="BH21" i="11"/>
  <c r="AX21" i="11" s="1"/>
  <c r="BC21" i="11"/>
  <c r="D23" i="11"/>
  <c r="BC22" i="11"/>
  <c r="D24" i="11"/>
  <c r="BH22" i="11"/>
  <c r="BG48" i="2"/>
  <c r="AW48" i="2" s="1"/>
  <c r="BB48" i="2"/>
  <c r="D50" i="2"/>
  <c r="AX50" i="2" s="1"/>
  <c r="D51" i="2"/>
  <c r="AX51" i="2" s="1"/>
  <c r="BG49" i="2"/>
  <c r="BB49" i="2"/>
  <c r="BG20" i="11" l="1"/>
  <c r="AZ20" i="11" s="1"/>
  <c r="BG19" i="11"/>
  <c r="AZ19" i="11" s="1"/>
  <c r="BF49" i="2"/>
  <c r="AY49" i="2" s="1"/>
  <c r="BF48" i="2"/>
  <c r="AY48" i="2" s="1"/>
  <c r="BD51" i="2"/>
  <c r="BC51" i="2"/>
  <c r="BC50" i="2"/>
  <c r="BD50" i="2"/>
  <c r="AY24" i="11"/>
  <c r="BD22" i="11"/>
  <c r="BE22" i="11"/>
  <c r="AY23" i="11"/>
  <c r="BE21" i="11"/>
  <c r="BD21" i="11"/>
  <c r="C137" i="31"/>
  <c r="AU135" i="31"/>
  <c r="AT135" i="31"/>
  <c r="C138" i="31"/>
  <c r="AT136" i="31"/>
  <c r="AU136" i="31"/>
  <c r="AN51" i="2"/>
  <c r="AN50" i="2"/>
  <c r="AX22" i="11"/>
  <c r="AW49" i="2"/>
  <c r="D25" i="11"/>
  <c r="BC23" i="11"/>
  <c r="BH23" i="11"/>
  <c r="AX23" i="11" s="1"/>
  <c r="BC24" i="11"/>
  <c r="D26" i="11"/>
  <c r="BH24" i="11"/>
  <c r="BG50" i="2"/>
  <c r="AW50" i="2" s="1"/>
  <c r="BB50" i="2"/>
  <c r="D52" i="2"/>
  <c r="AX52" i="2" s="1"/>
  <c r="BB51" i="2"/>
  <c r="BG51" i="2"/>
  <c r="D53" i="2"/>
  <c r="AX53" i="2" s="1"/>
  <c r="BG22" i="11" l="1"/>
  <c r="AZ22" i="11" s="1"/>
  <c r="BG21" i="11"/>
  <c r="AZ21" i="11" s="1"/>
  <c r="BF50" i="2"/>
  <c r="AY50" i="2" s="1"/>
  <c r="BF51" i="2"/>
  <c r="AY51" i="2" s="1"/>
  <c r="BC52" i="2"/>
  <c r="BD52" i="2"/>
  <c r="BC53" i="2"/>
  <c r="BD53" i="2"/>
  <c r="AY26" i="11"/>
  <c r="BD24" i="11"/>
  <c r="BE24" i="11"/>
  <c r="AY25" i="11"/>
  <c r="BE23" i="11"/>
  <c r="BD23" i="11"/>
  <c r="AU138" i="31"/>
  <c r="AT138" i="31"/>
  <c r="C140" i="31"/>
  <c r="AU137" i="31"/>
  <c r="AT137" i="31"/>
  <c r="C139" i="31"/>
  <c r="AN52" i="2"/>
  <c r="AN53" i="2"/>
  <c r="AW51" i="2"/>
  <c r="AX24" i="11"/>
  <c r="BH25" i="11"/>
  <c r="AX25" i="11" s="1"/>
  <c r="D27" i="11"/>
  <c r="BC25" i="11"/>
  <c r="BH26" i="11"/>
  <c r="D28" i="11"/>
  <c r="BC26" i="11"/>
  <c r="BB53" i="2"/>
  <c r="D55" i="2"/>
  <c r="AX55" i="2" s="1"/>
  <c r="BG53" i="2"/>
  <c r="BG52" i="2"/>
  <c r="AW52" i="2" s="1"/>
  <c r="BB52" i="2"/>
  <c r="D54" i="2"/>
  <c r="AX54" i="2" s="1"/>
  <c r="BG23" i="11" l="1"/>
  <c r="AZ23" i="11" s="1"/>
  <c r="BG24" i="11"/>
  <c r="AZ24" i="11" s="1"/>
  <c r="BF52" i="2"/>
  <c r="AY52" i="2" s="1"/>
  <c r="BC55" i="2"/>
  <c r="BD55" i="2"/>
  <c r="BD54" i="2"/>
  <c r="BC54" i="2"/>
  <c r="BF53" i="2"/>
  <c r="AY53" i="2" s="1"/>
  <c r="AY27" i="11"/>
  <c r="BD25" i="11"/>
  <c r="BE25" i="11"/>
  <c r="AY28" i="11"/>
  <c r="BD26" i="11"/>
  <c r="BE26" i="11"/>
  <c r="AU139" i="31"/>
  <c r="AT139" i="31"/>
  <c r="C141" i="31"/>
  <c r="C142" i="31"/>
  <c r="AT140" i="31"/>
  <c r="AU140" i="31"/>
  <c r="AN55" i="2"/>
  <c r="AN54" i="2"/>
  <c r="AX26" i="11"/>
  <c r="AW53" i="2"/>
  <c r="D29" i="11"/>
  <c r="BH27" i="11"/>
  <c r="AX27" i="11" s="1"/>
  <c r="BC27" i="11"/>
  <c r="D30" i="11"/>
  <c r="BH28" i="11"/>
  <c r="BC28" i="11"/>
  <c r="BG54" i="2"/>
  <c r="AW54" i="2" s="1"/>
  <c r="BB54" i="2"/>
  <c r="D56" i="2"/>
  <c r="AX56" i="2" s="1"/>
  <c r="D57" i="2"/>
  <c r="AX57" i="2" s="1"/>
  <c r="BB55" i="2"/>
  <c r="BG55" i="2"/>
  <c r="BG26" i="11" l="1"/>
  <c r="AZ26" i="11" s="1"/>
  <c r="BG25" i="11"/>
  <c r="AZ25" i="11" s="1"/>
  <c r="BF54" i="2"/>
  <c r="AY54" i="2" s="1"/>
  <c r="BF55" i="2"/>
  <c r="AY55" i="2" s="1"/>
  <c r="BC57" i="2"/>
  <c r="BD57" i="2"/>
  <c r="BC56" i="2"/>
  <c r="BD56" i="2"/>
  <c r="AY29" i="11"/>
  <c r="BD27" i="11"/>
  <c r="BE27" i="11"/>
  <c r="AY30" i="11"/>
  <c r="BD28" i="11"/>
  <c r="BE28" i="11"/>
  <c r="AT142" i="31"/>
  <c r="AU142" i="31"/>
  <c r="C144" i="31"/>
  <c r="AU141" i="31"/>
  <c r="AT141" i="31"/>
  <c r="C143" i="31"/>
  <c r="AN57" i="2"/>
  <c r="AN56" i="2"/>
  <c r="AX28" i="11"/>
  <c r="AW55" i="2"/>
  <c r="BH29" i="11"/>
  <c r="AX29" i="11" s="1"/>
  <c r="BC29" i="11"/>
  <c r="D31" i="11"/>
  <c r="BC30" i="11"/>
  <c r="D32" i="11"/>
  <c r="BH30" i="11"/>
  <c r="D58" i="2"/>
  <c r="AX58" i="2" s="1"/>
  <c r="BG56" i="2"/>
  <c r="AW56" i="2" s="1"/>
  <c r="BB56" i="2"/>
  <c r="D59" i="2"/>
  <c r="AX59" i="2" s="1"/>
  <c r="BG57" i="2"/>
  <c r="BB57" i="2"/>
  <c r="BG27" i="11" l="1"/>
  <c r="AZ27" i="11" s="1"/>
  <c r="BG28" i="11"/>
  <c r="AZ28" i="11" s="1"/>
  <c r="BF57" i="2"/>
  <c r="AY57" i="2" s="1"/>
  <c r="BF56" i="2"/>
  <c r="AY56" i="2" s="1"/>
  <c r="BD59" i="2"/>
  <c r="BC59" i="2"/>
  <c r="BC58" i="2"/>
  <c r="BD58" i="2"/>
  <c r="AY31" i="11"/>
  <c r="BE29" i="11"/>
  <c r="BD29" i="11"/>
  <c r="BE30" i="11"/>
  <c r="BD30" i="11"/>
  <c r="AT144" i="31"/>
  <c r="C146" i="31"/>
  <c r="AU144" i="31"/>
  <c r="C145" i="31"/>
  <c r="AU143" i="31"/>
  <c r="AT143" i="31"/>
  <c r="AN59" i="2"/>
  <c r="AN58" i="2"/>
  <c r="AX30" i="11"/>
  <c r="AW57" i="2"/>
  <c r="D33" i="11"/>
  <c r="BC31" i="11"/>
  <c r="BH31" i="11"/>
  <c r="AX31" i="11" s="1"/>
  <c r="BC32" i="11"/>
  <c r="D34" i="11"/>
  <c r="BH32" i="11"/>
  <c r="BB58" i="2"/>
  <c r="D60" i="2"/>
  <c r="AX60" i="2" s="1"/>
  <c r="BG58" i="2"/>
  <c r="AW58" i="2" s="1"/>
  <c r="D61" i="2"/>
  <c r="AX61" i="2" s="1"/>
  <c r="BB59" i="2"/>
  <c r="BG59" i="2"/>
  <c r="BG29" i="11" l="1"/>
  <c r="AZ29" i="11" s="1"/>
  <c r="BG30" i="11"/>
  <c r="AZ30" i="11" s="1"/>
  <c r="BF58" i="2"/>
  <c r="AY58" i="2" s="1"/>
  <c r="BF59" i="2"/>
  <c r="AY59" i="2" s="1"/>
  <c r="BD60" i="2"/>
  <c r="BC60" i="2"/>
  <c r="BC61" i="2"/>
  <c r="BD61" i="2"/>
  <c r="AY33" i="11"/>
  <c r="BE31" i="11"/>
  <c r="BD31" i="11"/>
  <c r="AY34" i="11"/>
  <c r="BE32" i="11"/>
  <c r="BD32" i="11"/>
  <c r="C147" i="31"/>
  <c r="AU145" i="31"/>
  <c r="AT145" i="31"/>
  <c r="C148" i="31"/>
  <c r="AU146" i="31"/>
  <c r="AT146" i="31"/>
  <c r="AN60" i="2"/>
  <c r="AN61" i="2"/>
  <c r="AX32" i="11"/>
  <c r="AW59" i="2"/>
  <c r="BC33" i="11"/>
  <c r="BH33" i="11"/>
  <c r="AX33" i="11" s="1"/>
  <c r="D35" i="11"/>
  <c r="BH34" i="11"/>
  <c r="D36" i="11"/>
  <c r="BC34" i="11"/>
  <c r="D63" i="2"/>
  <c r="AX63" i="2" s="1"/>
  <c r="BG61" i="2"/>
  <c r="BB61" i="2"/>
  <c r="BB60" i="2"/>
  <c r="D62" i="2"/>
  <c r="AX62" i="2" s="1"/>
  <c r="BG60" i="2"/>
  <c r="AW60" i="2" s="1"/>
  <c r="BG31" i="11" l="1"/>
  <c r="AZ31" i="11" s="1"/>
  <c r="BG32" i="11"/>
  <c r="AZ32" i="11" s="1"/>
  <c r="BC62" i="2"/>
  <c r="BD62" i="2"/>
  <c r="BC63" i="2"/>
  <c r="BD63" i="2"/>
  <c r="AY35" i="11"/>
  <c r="BE33" i="11"/>
  <c r="BD33" i="11"/>
  <c r="AY36" i="11"/>
  <c r="BD34" i="11"/>
  <c r="BE34" i="11"/>
  <c r="AT148" i="31"/>
  <c r="AU148" i="31"/>
  <c r="C150" i="31"/>
  <c r="C149" i="31"/>
  <c r="AU147" i="31"/>
  <c r="AT147" i="31"/>
  <c r="AN62" i="2"/>
  <c r="AN63" i="2"/>
  <c r="AX34" i="11"/>
  <c r="AW61" i="2"/>
  <c r="D37" i="11"/>
  <c r="BH35" i="11"/>
  <c r="AX35" i="11" s="1"/>
  <c r="BC35" i="11"/>
  <c r="D38" i="11"/>
  <c r="BH36" i="11"/>
  <c r="BC36" i="11"/>
  <c r="BF61" i="2"/>
  <c r="AY61" i="2" s="1"/>
  <c r="BG62" i="2"/>
  <c r="AW62" i="2" s="1"/>
  <c r="BB62" i="2"/>
  <c r="D64" i="2"/>
  <c r="AX64" i="2" s="1"/>
  <c r="BF60" i="2"/>
  <c r="AY60" i="2" s="1"/>
  <c r="BG63" i="2"/>
  <c r="D65" i="2"/>
  <c r="AX65" i="2" s="1"/>
  <c r="BB63" i="2"/>
  <c r="BG33" i="11" l="1"/>
  <c r="AZ33" i="11" s="1"/>
  <c r="BG34" i="11"/>
  <c r="AZ34" i="11" s="1"/>
  <c r="BD65" i="2"/>
  <c r="BC65" i="2"/>
  <c r="BC64" i="2"/>
  <c r="BD64" i="2"/>
  <c r="AY37" i="11"/>
  <c r="BD35" i="11"/>
  <c r="BE35" i="11"/>
  <c r="AY38" i="11"/>
  <c r="BD36" i="11"/>
  <c r="BE36" i="11"/>
  <c r="AU149" i="31"/>
  <c r="C151" i="31"/>
  <c r="AT149" i="31"/>
  <c r="AU150" i="31"/>
  <c r="AT150" i="31"/>
  <c r="C152" i="31"/>
  <c r="AN64" i="2"/>
  <c r="AN65" i="2"/>
  <c r="AX36" i="11"/>
  <c r="AW63" i="2"/>
  <c r="BF63" i="2"/>
  <c r="AY63" i="2" s="1"/>
  <c r="BC37" i="11"/>
  <c r="BH37" i="11"/>
  <c r="AX37" i="11" s="1"/>
  <c r="D39" i="11"/>
  <c r="BC38" i="11"/>
  <c r="D40" i="11"/>
  <c r="BH38" i="11"/>
  <c r="D66" i="2"/>
  <c r="AX66" i="2" s="1"/>
  <c r="BG64" i="2"/>
  <c r="AW64" i="2" s="1"/>
  <c r="BB64" i="2"/>
  <c r="BF62" i="2"/>
  <c r="AY62" i="2" s="1"/>
  <c r="BG65" i="2"/>
  <c r="BB65" i="2"/>
  <c r="D67" i="2"/>
  <c r="AX67" i="2" s="1"/>
  <c r="BG35" i="11" l="1"/>
  <c r="AZ35" i="11" s="1"/>
  <c r="BG36" i="11"/>
  <c r="AZ36" i="11" s="1"/>
  <c r="BD66" i="2"/>
  <c r="BC66" i="2"/>
  <c r="BC67" i="2"/>
  <c r="BD67" i="2"/>
  <c r="AY39" i="11"/>
  <c r="BD37" i="11"/>
  <c r="BE37" i="11"/>
  <c r="AY40" i="11"/>
  <c r="BD38" i="11"/>
  <c r="BE38" i="11"/>
  <c r="C154" i="31"/>
  <c r="AU152" i="31"/>
  <c r="AT152" i="31"/>
  <c r="AT151" i="31"/>
  <c r="C153" i="31"/>
  <c r="AU151" i="31"/>
  <c r="AN67" i="2"/>
  <c r="AN66" i="2"/>
  <c r="AX38" i="11"/>
  <c r="D41" i="11"/>
  <c r="BH39" i="11"/>
  <c r="AX39" i="11" s="1"/>
  <c r="BC39" i="11"/>
  <c r="BC40" i="11"/>
  <c r="D42" i="11"/>
  <c r="BH40" i="11"/>
  <c r="AW65" i="2"/>
  <c r="D68" i="2"/>
  <c r="AX68" i="2" s="1"/>
  <c r="BB66" i="2"/>
  <c r="BG66" i="2"/>
  <c r="AW66" i="2" s="1"/>
  <c r="D69" i="2"/>
  <c r="AX69" i="2" s="1"/>
  <c r="BG67" i="2"/>
  <c r="BB67" i="2"/>
  <c r="BF64" i="2"/>
  <c r="AY64" i="2" s="1"/>
  <c r="BF65" i="2"/>
  <c r="AY65" i="2" s="1"/>
  <c r="BG38" i="11" l="1"/>
  <c r="AZ38" i="11" s="1"/>
  <c r="BG37" i="11"/>
  <c r="AZ37" i="11" s="1"/>
  <c r="BC69" i="2"/>
  <c r="BD69" i="2"/>
  <c r="BC68" i="2"/>
  <c r="BD68" i="2"/>
  <c r="AY42" i="11"/>
  <c r="BD40" i="11"/>
  <c r="BG40" i="11" s="1"/>
  <c r="AZ40" i="11" s="1"/>
  <c r="BE40" i="11"/>
  <c r="AY41" i="11"/>
  <c r="BD39" i="11"/>
  <c r="BE39" i="11"/>
  <c r="C155" i="31"/>
  <c r="AU153" i="31"/>
  <c r="AT153" i="31"/>
  <c r="AT154" i="31"/>
  <c r="C156" i="31"/>
  <c r="AU154" i="31"/>
  <c r="AN69" i="2"/>
  <c r="AN68" i="2"/>
  <c r="AX40" i="11"/>
  <c r="D43" i="11"/>
  <c r="BH41" i="11"/>
  <c r="AX41" i="11" s="1"/>
  <c r="BC41" i="11"/>
  <c r="BH42" i="11"/>
  <c r="D44" i="11"/>
  <c r="BC42" i="11"/>
  <c r="BF66" i="2"/>
  <c r="AY66" i="2" s="1"/>
  <c r="AW67" i="2"/>
  <c r="D71" i="2"/>
  <c r="AX71" i="2" s="1"/>
  <c r="BB69" i="2"/>
  <c r="BG69" i="2"/>
  <c r="D70" i="2"/>
  <c r="AX70" i="2" s="1"/>
  <c r="BB68" i="2"/>
  <c r="BG68" i="2"/>
  <c r="AW68" i="2" s="1"/>
  <c r="BF67" i="2"/>
  <c r="AY67" i="2" s="1"/>
  <c r="BG39" i="11" l="1"/>
  <c r="AZ39" i="11" s="1"/>
  <c r="BC70" i="2"/>
  <c r="BD70" i="2"/>
  <c r="BD71" i="2"/>
  <c r="BC71" i="2"/>
  <c r="AY43" i="11"/>
  <c r="BE41" i="11"/>
  <c r="BD41" i="11"/>
  <c r="AY44" i="11"/>
  <c r="BE42" i="11"/>
  <c r="BD42" i="11"/>
  <c r="BG42" i="11" s="1"/>
  <c r="AZ42" i="11" s="1"/>
  <c r="AU155" i="31"/>
  <c r="AT155" i="31"/>
  <c r="C157" i="31"/>
  <c r="AU156" i="31"/>
  <c r="AT156" i="31"/>
  <c r="C158" i="31"/>
  <c r="AN70" i="2"/>
  <c r="AN71" i="2"/>
  <c r="AX42" i="11"/>
  <c r="D45" i="11"/>
  <c r="BH43" i="11"/>
  <c r="AX43" i="11" s="1"/>
  <c r="BC43" i="11"/>
  <c r="D46" i="11"/>
  <c r="BH44" i="11"/>
  <c r="BC44" i="11"/>
  <c r="AW69" i="2"/>
  <c r="BF69" i="2"/>
  <c r="AY69" i="2" s="1"/>
  <c r="D72" i="2"/>
  <c r="AX72" i="2" s="1"/>
  <c r="BB70" i="2"/>
  <c r="BG70" i="2"/>
  <c r="AW70" i="2" s="1"/>
  <c r="BB71" i="2"/>
  <c r="D73" i="2"/>
  <c r="AX73" i="2" s="1"/>
  <c r="BG71" i="2"/>
  <c r="BF68" i="2"/>
  <c r="AY68" i="2" s="1"/>
  <c r="BG41" i="11" l="1"/>
  <c r="AZ41" i="11" s="1"/>
  <c r="BC73" i="2"/>
  <c r="BD73" i="2"/>
  <c r="BD72" i="2"/>
  <c r="BC72" i="2"/>
  <c r="BE44" i="11"/>
  <c r="BD44" i="11"/>
  <c r="AY45" i="11"/>
  <c r="BE43" i="11"/>
  <c r="BD43" i="11"/>
  <c r="C159" i="31"/>
  <c r="AU157" i="31"/>
  <c r="AT157" i="31"/>
  <c r="C160" i="31"/>
  <c r="AU158" i="31"/>
  <c r="AT158" i="31"/>
  <c r="AN73" i="2"/>
  <c r="AN72" i="2"/>
  <c r="AX44" i="11"/>
  <c r="AW71" i="2"/>
  <c r="BC45" i="11"/>
  <c r="BH45" i="11"/>
  <c r="AX45" i="11" s="1"/>
  <c r="D47" i="11"/>
  <c r="BC46" i="11"/>
  <c r="D48" i="11"/>
  <c r="BH46" i="11"/>
  <c r="BF70" i="2"/>
  <c r="AY70" i="2" s="1"/>
  <c r="BF71" i="2"/>
  <c r="AY71" i="2" s="1"/>
  <c r="BG72" i="2"/>
  <c r="AW72" i="2" s="1"/>
  <c r="D74" i="2"/>
  <c r="AX74" i="2" s="1"/>
  <c r="BB72" i="2"/>
  <c r="BB73" i="2"/>
  <c r="BG73" i="2"/>
  <c r="D75" i="2"/>
  <c r="AX75" i="2" s="1"/>
  <c r="BG43" i="11" l="1"/>
  <c r="AZ43" i="11" s="1"/>
  <c r="BG44" i="11"/>
  <c r="AZ44" i="11" s="1"/>
  <c r="BC75" i="2"/>
  <c r="BD75" i="2"/>
  <c r="BC74" i="2"/>
  <c r="BD74" i="2"/>
  <c r="BD46" i="11"/>
  <c r="BE46" i="11"/>
  <c r="AY47" i="11"/>
  <c r="BE45" i="11"/>
  <c r="BD45" i="11"/>
  <c r="BG45" i="11" s="1"/>
  <c r="AZ45" i="11" s="1"/>
  <c r="AU160" i="31"/>
  <c r="AT160" i="31"/>
  <c r="C162" i="31"/>
  <c r="AU159" i="31"/>
  <c r="AT159" i="31"/>
  <c r="C161" i="31"/>
  <c r="AN74" i="2"/>
  <c r="AN75" i="2"/>
  <c r="AX46" i="11"/>
  <c r="AW73" i="2"/>
  <c r="BH47" i="11"/>
  <c r="AX47" i="11" s="1"/>
  <c r="D49" i="11"/>
  <c r="BC47" i="11"/>
  <c r="BC48" i="11"/>
  <c r="D50" i="11"/>
  <c r="BH48" i="11"/>
  <c r="BF73" i="2"/>
  <c r="AY73" i="2" s="1"/>
  <c r="D76" i="2"/>
  <c r="AX76" i="2" s="1"/>
  <c r="BG74" i="2"/>
  <c r="AW74" i="2" s="1"/>
  <c r="BB74" i="2"/>
  <c r="BG75" i="2"/>
  <c r="D77" i="2"/>
  <c r="AX77" i="2" s="1"/>
  <c r="BB75" i="2"/>
  <c r="BF72" i="2"/>
  <c r="AY72" i="2" s="1"/>
  <c r="BG46" i="11" l="1"/>
  <c r="AZ46" i="11" s="1"/>
  <c r="BD77" i="2"/>
  <c r="BC77" i="2"/>
  <c r="BC76" i="2"/>
  <c r="BD76" i="2"/>
  <c r="BD48" i="11"/>
  <c r="BG48" i="11" s="1"/>
  <c r="AZ48" i="11" s="1"/>
  <c r="BE48" i="11"/>
  <c r="AY49" i="11"/>
  <c r="BD47" i="11"/>
  <c r="BE47" i="11"/>
  <c r="AU162" i="31"/>
  <c r="AT162" i="31"/>
  <c r="C164" i="31"/>
  <c r="AU161" i="31"/>
  <c r="AT161" i="31"/>
  <c r="C163" i="31"/>
  <c r="AN77" i="2"/>
  <c r="AN76" i="2"/>
  <c r="AW75" i="2"/>
  <c r="AX48" i="11"/>
  <c r="BH49" i="11"/>
  <c r="AX49" i="11" s="1"/>
  <c r="D51" i="11"/>
  <c r="BC49" i="11"/>
  <c r="BH50" i="11"/>
  <c r="D52" i="11"/>
  <c r="BC50" i="11"/>
  <c r="BF74" i="2"/>
  <c r="AY74" i="2" s="1"/>
  <c r="BF75" i="2"/>
  <c r="AY75" i="2" s="1"/>
  <c r="BB76" i="2"/>
  <c r="BG76" i="2"/>
  <c r="AW76" i="2" s="1"/>
  <c r="D78" i="2"/>
  <c r="AX78" i="2" s="1"/>
  <c r="BG77" i="2"/>
  <c r="BB77" i="2"/>
  <c r="D79" i="2"/>
  <c r="AX79" i="2" s="1"/>
  <c r="AX50" i="11" l="1"/>
  <c r="BG47" i="11"/>
  <c r="AZ47" i="11" s="1"/>
  <c r="BC79" i="2"/>
  <c r="BD79" i="2"/>
  <c r="BD78" i="2"/>
  <c r="BC78" i="2"/>
  <c r="AY52" i="11"/>
  <c r="BD50" i="11"/>
  <c r="BE50" i="11"/>
  <c r="AY51" i="11"/>
  <c r="BD49" i="11"/>
  <c r="BE49" i="11"/>
  <c r="C166" i="31"/>
  <c r="AT164" i="31"/>
  <c r="AU164" i="31"/>
  <c r="AU163" i="31"/>
  <c r="AT163" i="31"/>
  <c r="C165" i="31"/>
  <c r="AN78" i="2"/>
  <c r="AN79" i="2"/>
  <c r="D53" i="11"/>
  <c r="BH51" i="11"/>
  <c r="AX51" i="11" s="1"/>
  <c r="BC51" i="11"/>
  <c r="D54" i="11"/>
  <c r="BH52" i="11"/>
  <c r="AX52" i="11" s="1"/>
  <c r="BC52" i="11"/>
  <c r="AW77" i="2"/>
  <c r="BF76" i="2"/>
  <c r="AY76" i="2" s="1"/>
  <c r="BB78" i="2"/>
  <c r="BG78" i="2"/>
  <c r="AW78" i="2" s="1"/>
  <c r="D80" i="2"/>
  <c r="AX80" i="2" s="1"/>
  <c r="D81" i="2"/>
  <c r="AX81" i="2" s="1"/>
  <c r="BG79" i="2"/>
  <c r="BB79" i="2"/>
  <c r="BF77" i="2"/>
  <c r="AY77" i="2" s="1"/>
  <c r="BG49" i="11" l="1"/>
  <c r="AZ49" i="11" s="1"/>
  <c r="BG50" i="11"/>
  <c r="AZ50" i="11" s="1"/>
  <c r="BC81" i="2"/>
  <c r="BD81" i="2"/>
  <c r="BC80" i="2"/>
  <c r="BD80" i="2"/>
  <c r="AY54" i="11"/>
  <c r="BD52" i="11"/>
  <c r="BE52" i="11"/>
  <c r="AY53" i="11"/>
  <c r="BD51" i="11"/>
  <c r="BE51" i="11"/>
  <c r="AU166" i="31"/>
  <c r="AT166" i="31"/>
  <c r="C168" i="31"/>
  <c r="C167" i="31"/>
  <c r="AU165" i="31"/>
  <c r="AT165" i="31"/>
  <c r="AW79" i="2"/>
  <c r="AN81" i="2"/>
  <c r="AN80" i="2"/>
  <c r="BC53" i="11"/>
  <c r="D55" i="11"/>
  <c r="BH53" i="11"/>
  <c r="AX53" i="11" s="1"/>
  <c r="BC54" i="11"/>
  <c r="D56" i="11"/>
  <c r="BH54" i="11"/>
  <c r="BF78" i="2"/>
  <c r="AY78" i="2" s="1"/>
  <c r="BF79" i="2"/>
  <c r="AY79" i="2" s="1"/>
  <c r="D83" i="2"/>
  <c r="AX83" i="2" s="1"/>
  <c r="BG81" i="2"/>
  <c r="BB81" i="2"/>
  <c r="BG80" i="2"/>
  <c r="AW80" i="2" s="1"/>
  <c r="BB80" i="2"/>
  <c r="D82" i="2"/>
  <c r="AX82" i="2" s="1"/>
  <c r="BG52" i="11" l="1"/>
  <c r="AZ52" i="11" s="1"/>
  <c r="BG51" i="11"/>
  <c r="AZ51" i="11" s="1"/>
  <c r="BC82" i="2"/>
  <c r="BD82" i="2"/>
  <c r="BD83" i="2"/>
  <c r="BC83" i="2"/>
  <c r="AY56" i="11"/>
  <c r="BE54" i="11"/>
  <c r="BD54" i="11"/>
  <c r="AY55" i="11"/>
  <c r="BE53" i="11"/>
  <c r="BD53" i="11"/>
  <c r="BG53" i="11" s="1"/>
  <c r="AZ53" i="11" s="1"/>
  <c r="AU167" i="31"/>
  <c r="AT167" i="31"/>
  <c r="C169" i="31"/>
  <c r="AU168" i="31"/>
  <c r="AT168" i="31"/>
  <c r="C170" i="31"/>
  <c r="AN82" i="2"/>
  <c r="AN83" i="2"/>
  <c r="AX54" i="11"/>
  <c r="BH55" i="11"/>
  <c r="AX55" i="11" s="1"/>
  <c r="BC55" i="11"/>
  <c r="D57" i="11"/>
  <c r="BC56" i="11"/>
  <c r="D58" i="11"/>
  <c r="BH56" i="11"/>
  <c r="AW81" i="2"/>
  <c r="BF80" i="2"/>
  <c r="AY80" i="2" s="1"/>
  <c r="BB83" i="2"/>
  <c r="D85" i="2"/>
  <c r="AX85" i="2" s="1"/>
  <c r="BG83" i="2"/>
  <c r="BF81" i="2"/>
  <c r="AY81" i="2" s="1"/>
  <c r="BB82" i="2"/>
  <c r="D84" i="2"/>
  <c r="AX84" i="2" s="1"/>
  <c r="BG82" i="2"/>
  <c r="AW82" i="2" s="1"/>
  <c r="BG54" i="11" l="1"/>
  <c r="AZ54" i="11" s="1"/>
  <c r="BC85" i="2"/>
  <c r="BD85" i="2"/>
  <c r="BD84" i="2"/>
  <c r="BC84" i="2"/>
  <c r="BE55" i="11"/>
  <c r="BD55" i="11"/>
  <c r="AY58" i="11"/>
  <c r="BE56" i="11"/>
  <c r="BD56" i="11"/>
  <c r="BG56" i="11" s="1"/>
  <c r="AZ56" i="11" s="1"/>
  <c r="AU169" i="31"/>
  <c r="AT169" i="31"/>
  <c r="C171" i="31"/>
  <c r="C172" i="31"/>
  <c r="AT170" i="31"/>
  <c r="AU170" i="31"/>
  <c r="AN84" i="2"/>
  <c r="AN85" i="2"/>
  <c r="AX56" i="11"/>
  <c r="AW83" i="2"/>
  <c r="BF82" i="2"/>
  <c r="AY82" i="2" s="1"/>
  <c r="BC57" i="11"/>
  <c r="D59" i="11"/>
  <c r="BH57" i="11"/>
  <c r="AX57" i="11" s="1"/>
  <c r="BH58" i="11"/>
  <c r="D60" i="11"/>
  <c r="BC58" i="11"/>
  <c r="D86" i="2"/>
  <c r="AX86" i="2" s="1"/>
  <c r="BG84" i="2"/>
  <c r="AW84" i="2" s="1"/>
  <c r="BB84" i="2"/>
  <c r="BG85" i="2"/>
  <c r="D87" i="2"/>
  <c r="AX87" i="2" s="1"/>
  <c r="BB85" i="2"/>
  <c r="BF83" i="2"/>
  <c r="AY83" i="2" s="1"/>
  <c r="BG55" i="11" l="1"/>
  <c r="AZ55" i="11" s="1"/>
  <c r="BC86" i="2"/>
  <c r="BD86" i="2"/>
  <c r="BC87" i="2"/>
  <c r="BD87" i="2"/>
  <c r="AY59" i="11"/>
  <c r="BE57" i="11"/>
  <c r="BD57" i="11"/>
  <c r="BD58" i="11"/>
  <c r="BE58" i="11"/>
  <c r="BC60" i="11"/>
  <c r="AY60" i="11"/>
  <c r="AU172" i="31"/>
  <c r="AT172" i="31"/>
  <c r="C174" i="31"/>
  <c r="C173" i="31"/>
  <c r="AU171" i="31"/>
  <c r="AT171" i="31"/>
  <c r="AX58" i="11"/>
  <c r="AN86" i="2"/>
  <c r="AN87" i="2"/>
  <c r="D61" i="11"/>
  <c r="BH59" i="11"/>
  <c r="AX59" i="11" s="1"/>
  <c r="BC59" i="11"/>
  <c r="D62" i="11"/>
  <c r="BH60" i="11"/>
  <c r="AW85" i="2"/>
  <c r="BG87" i="2"/>
  <c r="D89" i="2"/>
  <c r="AX89" i="2" s="1"/>
  <c r="BB87" i="2"/>
  <c r="BG86" i="2"/>
  <c r="AW86" i="2" s="1"/>
  <c r="BB86" i="2"/>
  <c r="D88" i="2"/>
  <c r="AX88" i="2" s="1"/>
  <c r="BF84" i="2"/>
  <c r="AY84" i="2" s="1"/>
  <c r="BF85" i="2"/>
  <c r="AY85" i="2" s="1"/>
  <c r="BG57" i="11" l="1"/>
  <c r="AZ57" i="11" s="1"/>
  <c r="BG58" i="11"/>
  <c r="AZ58" i="11" s="1"/>
  <c r="AX60" i="11"/>
  <c r="BC88" i="2"/>
  <c r="BD88" i="2"/>
  <c r="BD89" i="2"/>
  <c r="BC89" i="2"/>
  <c r="BD59" i="11"/>
  <c r="BE59" i="11"/>
  <c r="AY62" i="11"/>
  <c r="BD60" i="11"/>
  <c r="BE60" i="11"/>
  <c r="AU173" i="31"/>
  <c r="AT173" i="31"/>
  <c r="C175" i="31"/>
  <c r="AU174" i="31"/>
  <c r="AT174" i="31"/>
  <c r="C176" i="31"/>
  <c r="AN88" i="2"/>
  <c r="AN89" i="2"/>
  <c r="AW87" i="2"/>
  <c r="BC61" i="11"/>
  <c r="D63" i="11"/>
  <c r="BH61" i="11"/>
  <c r="AX61" i="11" s="1"/>
  <c r="BC62" i="11"/>
  <c r="D64" i="11"/>
  <c r="BH62" i="11"/>
  <c r="BF86" i="2"/>
  <c r="AY86" i="2" s="1"/>
  <c r="D91" i="2"/>
  <c r="AX91" i="2" s="1"/>
  <c r="BG89" i="2"/>
  <c r="BB89" i="2"/>
  <c r="BF87" i="2"/>
  <c r="AY87" i="2" s="1"/>
  <c r="BG88" i="2"/>
  <c r="AW88" i="2" s="1"/>
  <c r="D90" i="2"/>
  <c r="AX90" i="2" s="1"/>
  <c r="BB88" i="2"/>
  <c r="BG60" i="11" l="1"/>
  <c r="AZ60" i="11" s="1"/>
  <c r="BG59" i="11"/>
  <c r="AZ59" i="11" s="1"/>
  <c r="BC91" i="2"/>
  <c r="BD91" i="2"/>
  <c r="BD90" i="2"/>
  <c r="BC90" i="2"/>
  <c r="AY64" i="11"/>
  <c r="BD62" i="11"/>
  <c r="BE62" i="11"/>
  <c r="AY63" i="11"/>
  <c r="BD61" i="11"/>
  <c r="BE61" i="11"/>
  <c r="AU175" i="31"/>
  <c r="AT175" i="31"/>
  <c r="C177" i="31"/>
  <c r="C178" i="31"/>
  <c r="AT176" i="31"/>
  <c r="AU176" i="31"/>
  <c r="AN90" i="2"/>
  <c r="AN91" i="2"/>
  <c r="AX62" i="11"/>
  <c r="D65" i="11"/>
  <c r="BC63" i="11"/>
  <c r="BH63" i="11"/>
  <c r="AX63" i="11" s="1"/>
  <c r="BC64" i="11"/>
  <c r="D66" i="11"/>
  <c r="BH64" i="11"/>
  <c r="AW89" i="2"/>
  <c r="D93" i="2"/>
  <c r="AX93" i="2" s="1"/>
  <c r="BG91" i="2"/>
  <c r="BB91" i="2"/>
  <c r="BF88" i="2"/>
  <c r="AY88" i="2" s="1"/>
  <c r="D92" i="2"/>
  <c r="AX92" i="2" s="1"/>
  <c r="BB90" i="2"/>
  <c r="BG90" i="2"/>
  <c r="AW90" i="2" s="1"/>
  <c r="BF89" i="2"/>
  <c r="AY89" i="2" s="1"/>
  <c r="BG62" i="11" l="1"/>
  <c r="AZ62" i="11" s="1"/>
  <c r="BG61" i="11"/>
  <c r="AZ61" i="11" s="1"/>
  <c r="BC93" i="2"/>
  <c r="BD93" i="2"/>
  <c r="BC92" i="2"/>
  <c r="BD92" i="2"/>
  <c r="AY66" i="11"/>
  <c r="BD64" i="11"/>
  <c r="BE64" i="11"/>
  <c r="AY65" i="11"/>
  <c r="BD63" i="11"/>
  <c r="BE63" i="11"/>
  <c r="C179" i="31"/>
  <c r="AU177" i="31"/>
  <c r="AT177" i="31"/>
  <c r="AU178" i="31"/>
  <c r="AT178" i="31"/>
  <c r="C180" i="31"/>
  <c r="AX64" i="11"/>
  <c r="AN92" i="2"/>
  <c r="AN93" i="2"/>
  <c r="D67" i="11"/>
  <c r="BH65" i="11"/>
  <c r="AX65" i="11" s="1"/>
  <c r="BC65" i="11"/>
  <c r="BH66" i="11"/>
  <c r="D68" i="11"/>
  <c r="BC66" i="11"/>
  <c r="BF90" i="2"/>
  <c r="AY90" i="2" s="1"/>
  <c r="AW91" i="2"/>
  <c r="BG93" i="2"/>
  <c r="D95" i="2"/>
  <c r="AX95" i="2" s="1"/>
  <c r="BB93" i="2"/>
  <c r="BB92" i="2"/>
  <c r="D94" i="2"/>
  <c r="AX94" i="2" s="1"/>
  <c r="BG92" i="2"/>
  <c r="AW92" i="2" s="1"/>
  <c r="BF91" i="2"/>
  <c r="AY91" i="2" s="1"/>
  <c r="BG64" i="11" l="1"/>
  <c r="AZ64" i="11" s="1"/>
  <c r="BG63" i="11"/>
  <c r="AZ63" i="11" s="1"/>
  <c r="BC94" i="2"/>
  <c r="BD94" i="2"/>
  <c r="BD95" i="2"/>
  <c r="BC95" i="2"/>
  <c r="AY67" i="11"/>
  <c r="BE65" i="11"/>
  <c r="BD65" i="11"/>
  <c r="AY68" i="11"/>
  <c r="BE66" i="11"/>
  <c r="BD66" i="11"/>
  <c r="AU180" i="31"/>
  <c r="AT180" i="31"/>
  <c r="C182" i="31"/>
  <c r="AU179" i="31"/>
  <c r="AT179" i="31"/>
  <c r="C181" i="31"/>
  <c r="AX66" i="11"/>
  <c r="AN94" i="2"/>
  <c r="AN95" i="2"/>
  <c r="BC67" i="11"/>
  <c r="D69" i="11"/>
  <c r="BH67" i="11"/>
  <c r="AX67" i="11" s="1"/>
  <c r="D70" i="11"/>
  <c r="BH68" i="11"/>
  <c r="BC68" i="11"/>
  <c r="AW93" i="2"/>
  <c r="BB95" i="2"/>
  <c r="BG95" i="2"/>
  <c r="D97" i="2"/>
  <c r="AX97" i="2" s="1"/>
  <c r="BF92" i="2"/>
  <c r="AY92" i="2" s="1"/>
  <c r="BB94" i="2"/>
  <c r="D96" i="2"/>
  <c r="AX96" i="2" s="1"/>
  <c r="BG94" i="2"/>
  <c r="AW94" i="2" s="1"/>
  <c r="BF93" i="2"/>
  <c r="AY93" i="2" s="1"/>
  <c r="BG66" i="11" l="1"/>
  <c r="AZ66" i="11" s="1"/>
  <c r="AX68" i="11"/>
  <c r="BG65" i="11"/>
  <c r="AZ65" i="11" s="1"/>
  <c r="BD96" i="2"/>
  <c r="BC96" i="2"/>
  <c r="BC97" i="2"/>
  <c r="BD97" i="2"/>
  <c r="AY69" i="11"/>
  <c r="BE67" i="11"/>
  <c r="BD67" i="11"/>
  <c r="AY70" i="11"/>
  <c r="BE68" i="11"/>
  <c r="BD68" i="11"/>
  <c r="C184" i="31"/>
  <c r="AT182" i="31"/>
  <c r="AU182" i="31"/>
  <c r="AU181" i="31"/>
  <c r="AT181" i="31"/>
  <c r="C183" i="31"/>
  <c r="AN97" i="2"/>
  <c r="AN96" i="2"/>
  <c r="AW95" i="2"/>
  <c r="BC69" i="11"/>
  <c r="D71" i="11"/>
  <c r="BH69" i="11"/>
  <c r="AX69" i="11" s="1"/>
  <c r="BC70" i="11"/>
  <c r="D72" i="11"/>
  <c r="BH70" i="11"/>
  <c r="BF95" i="2"/>
  <c r="AY95" i="2" s="1"/>
  <c r="D98" i="2"/>
  <c r="AX98" i="2" s="1"/>
  <c r="BG96" i="2"/>
  <c r="AW96" i="2" s="1"/>
  <c r="BB96" i="2"/>
  <c r="BG97" i="2"/>
  <c r="BB97" i="2"/>
  <c r="D99" i="2"/>
  <c r="AX99" i="2" s="1"/>
  <c r="BF94" i="2"/>
  <c r="AY94" i="2" s="1"/>
  <c r="BG67" i="11" l="1"/>
  <c r="AZ67" i="11" s="1"/>
  <c r="AX70" i="11"/>
  <c r="BG68" i="11"/>
  <c r="AZ68" i="11" s="1"/>
  <c r="BC99" i="2"/>
  <c r="BD99" i="2"/>
  <c r="BC98" i="2"/>
  <c r="BD98" i="2"/>
  <c r="AY72" i="11"/>
  <c r="BD70" i="11"/>
  <c r="BE70" i="11"/>
  <c r="AY71" i="11"/>
  <c r="BE69" i="11"/>
  <c r="BD69" i="11"/>
  <c r="AU184" i="31"/>
  <c r="AT184" i="31"/>
  <c r="C186" i="31"/>
  <c r="C185" i="31"/>
  <c r="AU183" i="31"/>
  <c r="AT183" i="31"/>
  <c r="AN98" i="2"/>
  <c r="AN99" i="2"/>
  <c r="BH71" i="11"/>
  <c r="AX71" i="11" s="1"/>
  <c r="BC71" i="11"/>
  <c r="D73" i="11"/>
  <c r="BC72" i="11"/>
  <c r="D74" i="11"/>
  <c r="BH72" i="11"/>
  <c r="AX72" i="11" s="1"/>
  <c r="AW97" i="2"/>
  <c r="BF97" i="2"/>
  <c r="AY97" i="2" s="1"/>
  <c r="D100" i="2"/>
  <c r="AX100" i="2" s="1"/>
  <c r="BG98" i="2"/>
  <c r="AW98" i="2" s="1"/>
  <c r="BB98" i="2"/>
  <c r="BF96" i="2"/>
  <c r="AY96" i="2" s="1"/>
  <c r="D101" i="2"/>
  <c r="AX101" i="2" s="1"/>
  <c r="BB99" i="2"/>
  <c r="BG99" i="2"/>
  <c r="BG69" i="11" l="1"/>
  <c r="AZ69" i="11" s="1"/>
  <c r="BG70" i="11"/>
  <c r="AZ70" i="11" s="1"/>
  <c r="BC100" i="2"/>
  <c r="BD100" i="2"/>
  <c r="BD101" i="2"/>
  <c r="BC101" i="2"/>
  <c r="AY74" i="11"/>
  <c r="BD72" i="11"/>
  <c r="BE72" i="11"/>
  <c r="BD71" i="11"/>
  <c r="BE71" i="11"/>
  <c r="AU185" i="31"/>
  <c r="AT185" i="31"/>
  <c r="C187" i="31"/>
  <c r="AU186" i="31"/>
  <c r="AT186" i="31"/>
  <c r="C188" i="31"/>
  <c r="AN101" i="2"/>
  <c r="AN100" i="2"/>
  <c r="AW99" i="2"/>
  <c r="BH73" i="11"/>
  <c r="AX73" i="11" s="1"/>
  <c r="BC73" i="11"/>
  <c r="D75" i="11"/>
  <c r="BH74" i="11"/>
  <c r="AX74" i="11" s="1"/>
  <c r="D76" i="11"/>
  <c r="BC74" i="11"/>
  <c r="BF98" i="2"/>
  <c r="AY98" i="2" s="1"/>
  <c r="D102" i="2"/>
  <c r="AX102" i="2" s="1"/>
  <c r="BB100" i="2"/>
  <c r="BG100" i="2"/>
  <c r="AW100" i="2" s="1"/>
  <c r="BF99" i="2"/>
  <c r="AY99" i="2" s="1"/>
  <c r="D103" i="2"/>
  <c r="AX103" i="2" s="1"/>
  <c r="BG101" i="2"/>
  <c r="BB101" i="2"/>
  <c r="BG72" i="11" l="1"/>
  <c r="AZ72" i="11" s="1"/>
  <c r="BG71" i="11"/>
  <c r="AZ71" i="11" s="1"/>
  <c r="BC103" i="2"/>
  <c r="BD103" i="2"/>
  <c r="BD102" i="2"/>
  <c r="BC102" i="2"/>
  <c r="AY76" i="11"/>
  <c r="BD74" i="11"/>
  <c r="BE74" i="11"/>
  <c r="AY75" i="11"/>
  <c r="BD73" i="11"/>
  <c r="BE73" i="11"/>
  <c r="AU187" i="31"/>
  <c r="AT187" i="31"/>
  <c r="C189" i="31"/>
  <c r="C191" i="31" s="1"/>
  <c r="C193" i="31" s="1"/>
  <c r="C195" i="31" s="1"/>
  <c r="C197" i="31" s="1"/>
  <c r="C199" i="31" s="1"/>
  <c r="C201" i="31" s="1"/>
  <c r="C203" i="31" s="1"/>
  <c r="C205" i="31" s="1"/>
  <c r="C207" i="31" s="1"/>
  <c r="C209" i="31" s="1"/>
  <c r="C211" i="31" s="1"/>
  <c r="C213" i="31" s="1"/>
  <c r="C215" i="31" s="1"/>
  <c r="C217" i="31" s="1"/>
  <c r="C219" i="31" s="1"/>
  <c r="C221" i="31" s="1"/>
  <c r="C223" i="31" s="1"/>
  <c r="C225" i="31" s="1"/>
  <c r="C227" i="31" s="1"/>
  <c r="C229" i="31" s="1"/>
  <c r="C231" i="31" s="1"/>
  <c r="C233" i="31" s="1"/>
  <c r="C235" i="31" s="1"/>
  <c r="C237" i="31" s="1"/>
  <c r="C239" i="31" s="1"/>
  <c r="AT188" i="31"/>
  <c r="AU188" i="31"/>
  <c r="C190" i="31"/>
  <c r="C192" i="31" s="1"/>
  <c r="C194" i="31" s="1"/>
  <c r="C196" i="31" s="1"/>
  <c r="C198" i="31" s="1"/>
  <c r="C200" i="31" s="1"/>
  <c r="C202" i="31" s="1"/>
  <c r="C204" i="31" s="1"/>
  <c r="C206" i="31" s="1"/>
  <c r="C208" i="31" s="1"/>
  <c r="C210" i="31" s="1"/>
  <c r="C212" i="31" s="1"/>
  <c r="C214" i="31" s="1"/>
  <c r="C216" i="31" s="1"/>
  <c r="C218" i="31" s="1"/>
  <c r="C220" i="31" s="1"/>
  <c r="C222" i="31" s="1"/>
  <c r="C224" i="31" s="1"/>
  <c r="C226" i="31" s="1"/>
  <c r="C228" i="31" s="1"/>
  <c r="C230" i="31" s="1"/>
  <c r="C232" i="31" s="1"/>
  <c r="C234" i="31" s="1"/>
  <c r="C236" i="31" s="1"/>
  <c r="C238" i="31" s="1"/>
  <c r="AN102" i="2"/>
  <c r="AN103" i="2"/>
  <c r="AW101" i="2"/>
  <c r="BC75" i="11"/>
  <c r="D77" i="11"/>
  <c r="BH75" i="11"/>
  <c r="AX75" i="11" s="1"/>
  <c r="D78" i="11"/>
  <c r="BH76" i="11"/>
  <c r="BC76" i="11"/>
  <c r="BF101" i="2"/>
  <c r="AY101" i="2" s="1"/>
  <c r="BF100" i="2"/>
  <c r="AY100" i="2" s="1"/>
  <c r="D105" i="2"/>
  <c r="AX105" i="2" s="1"/>
  <c r="BG103" i="2"/>
  <c r="BB103" i="2"/>
  <c r="BB102" i="2"/>
  <c r="BG102" i="2"/>
  <c r="AW102" i="2" s="1"/>
  <c r="D104" i="2"/>
  <c r="AX104" i="2" s="1"/>
  <c r="AX76" i="11" l="1"/>
  <c r="BG74" i="11"/>
  <c r="AZ74" i="11" s="1"/>
  <c r="BG73" i="11"/>
  <c r="AZ73" i="11" s="1"/>
  <c r="BD105" i="2"/>
  <c r="BC105" i="2"/>
  <c r="BC104" i="2"/>
  <c r="BD104" i="2"/>
  <c r="AY78" i="11"/>
  <c r="BD76" i="11"/>
  <c r="BE76" i="11"/>
  <c r="AY77" i="11"/>
  <c r="BD75" i="11"/>
  <c r="BE75" i="11"/>
  <c r="AN105" i="2"/>
  <c r="AN104" i="2"/>
  <c r="BC77" i="11"/>
  <c r="D79" i="11"/>
  <c r="BH77" i="11"/>
  <c r="AX77" i="11" s="1"/>
  <c r="BC78" i="11"/>
  <c r="D80" i="11"/>
  <c r="BH78" i="11"/>
  <c r="AW103" i="2"/>
  <c r="BF103" i="2"/>
  <c r="AY103" i="2" s="1"/>
  <c r="BB104" i="2"/>
  <c r="D106" i="2"/>
  <c r="AX106" i="2" s="1"/>
  <c r="BG104" i="2"/>
  <c r="AW104" i="2" s="1"/>
  <c r="BF102" i="2"/>
  <c r="AY102" i="2" s="1"/>
  <c r="BB105" i="2"/>
  <c r="D107" i="2"/>
  <c r="AX107" i="2" s="1"/>
  <c r="BG105" i="2"/>
  <c r="BG76" i="11" l="1"/>
  <c r="AZ76" i="11" s="1"/>
  <c r="BG75" i="11"/>
  <c r="AZ75" i="11" s="1"/>
  <c r="AX78" i="11"/>
  <c r="BF104" i="2"/>
  <c r="AY104" i="2" s="1"/>
  <c r="BF105" i="2"/>
  <c r="AY105" i="2" s="1"/>
  <c r="BD107" i="2"/>
  <c r="BC107" i="2"/>
  <c r="BC106" i="2"/>
  <c r="BD106" i="2"/>
  <c r="AY79" i="11"/>
  <c r="BE77" i="11"/>
  <c r="BD77" i="11"/>
  <c r="AY80" i="11"/>
  <c r="BE78" i="11"/>
  <c r="BD78" i="11"/>
  <c r="BG78" i="11" s="1"/>
  <c r="AZ78" i="11" s="1"/>
  <c r="AN106" i="2"/>
  <c r="AN107" i="2"/>
  <c r="AW105" i="2"/>
  <c r="BH79" i="11"/>
  <c r="AX79" i="11" s="1"/>
  <c r="D81" i="11"/>
  <c r="BC79" i="11"/>
  <c r="BC80" i="11"/>
  <c r="BH80" i="11"/>
  <c r="D82" i="11"/>
  <c r="D109" i="2"/>
  <c r="AX109" i="2" s="1"/>
  <c r="BB107" i="2"/>
  <c r="BG107" i="2"/>
  <c r="D108" i="2"/>
  <c r="AX108" i="2" s="1"/>
  <c r="BG106" i="2"/>
  <c r="AW106" i="2" s="1"/>
  <c r="BB106" i="2"/>
  <c r="BG77" i="11" l="1"/>
  <c r="AZ77" i="11" s="1"/>
  <c r="BF107" i="2"/>
  <c r="AY107" i="2" s="1"/>
  <c r="BF106" i="2"/>
  <c r="AY106" i="2" s="1"/>
  <c r="BC109" i="2"/>
  <c r="BD109" i="2"/>
  <c r="BD108" i="2"/>
  <c r="BC108" i="2"/>
  <c r="AY82" i="11"/>
  <c r="BE80" i="11"/>
  <c r="BD80" i="11"/>
  <c r="AX80" i="11"/>
  <c r="AY81" i="11"/>
  <c r="BE79" i="11"/>
  <c r="BD79" i="11"/>
  <c r="BG79" i="11" s="1"/>
  <c r="AZ79" i="11" s="1"/>
  <c r="AN109" i="2"/>
  <c r="AN108" i="2"/>
  <c r="D83" i="11"/>
  <c r="BC81" i="11"/>
  <c r="BH81" i="11"/>
  <c r="AX81" i="11" s="1"/>
  <c r="BH82" i="11"/>
  <c r="AX82" i="11" s="1"/>
  <c r="BC82" i="11"/>
  <c r="D84" i="11"/>
  <c r="AW107" i="2"/>
  <c r="BB109" i="2"/>
  <c r="D111" i="2"/>
  <c r="AX111" i="2" s="1"/>
  <c r="BG109" i="2"/>
  <c r="D110" i="2"/>
  <c r="AX110" i="2" s="1"/>
  <c r="BB108" i="2"/>
  <c r="BG108" i="2"/>
  <c r="AW108" i="2" s="1"/>
  <c r="BG80" i="11" l="1"/>
  <c r="AZ80" i="11" s="1"/>
  <c r="BF108" i="2"/>
  <c r="AY108" i="2" s="1"/>
  <c r="BF109" i="2"/>
  <c r="AY109" i="2" s="1"/>
  <c r="BC110" i="2"/>
  <c r="BD110" i="2"/>
  <c r="BD111" i="2"/>
  <c r="BC111" i="2"/>
  <c r="AY84" i="11"/>
  <c r="BD82" i="11"/>
  <c r="BG82" i="11" s="1"/>
  <c r="AZ82" i="11" s="1"/>
  <c r="BE82" i="11"/>
  <c r="AY83" i="11"/>
  <c r="BE81" i="11"/>
  <c r="BD81" i="11"/>
  <c r="AN110" i="2"/>
  <c r="AN111" i="2"/>
  <c r="AW109" i="2"/>
  <c r="D85" i="11"/>
  <c r="BC83" i="11"/>
  <c r="BH83" i="11"/>
  <c r="AX83" i="11" s="1"/>
  <c r="BH84" i="11"/>
  <c r="AX84" i="11" s="1"/>
  <c r="D86" i="11"/>
  <c r="BC84" i="11"/>
  <c r="BB111" i="2"/>
  <c r="D113" i="2"/>
  <c r="AX113" i="2" s="1"/>
  <c r="BG111" i="2"/>
  <c r="BG110" i="2"/>
  <c r="AW110" i="2" s="1"/>
  <c r="BB110" i="2"/>
  <c r="D112" i="2"/>
  <c r="AX112" i="2" s="1"/>
  <c r="BG81" i="11" l="1"/>
  <c r="AZ81" i="11" s="1"/>
  <c r="BF110" i="2"/>
  <c r="AY110" i="2" s="1"/>
  <c r="BC112" i="2"/>
  <c r="BD112" i="2"/>
  <c r="BD113" i="2"/>
  <c r="BC113" i="2"/>
  <c r="BF111" i="2"/>
  <c r="AY111" i="2" s="1"/>
  <c r="AY86" i="11"/>
  <c r="BD84" i="11"/>
  <c r="BE84" i="11"/>
  <c r="AY85" i="11"/>
  <c r="BD83" i="11"/>
  <c r="BE83" i="11"/>
  <c r="AN113" i="2"/>
  <c r="AN112" i="2"/>
  <c r="AW111" i="2"/>
  <c r="BH85" i="11"/>
  <c r="AX85" i="11" s="1"/>
  <c r="BC85" i="11"/>
  <c r="D87" i="11"/>
  <c r="BH86" i="11"/>
  <c r="D88" i="11"/>
  <c r="BC86" i="11"/>
  <c r="BB112" i="2"/>
  <c r="BG112" i="2"/>
  <c r="AW112" i="2" s="1"/>
  <c r="D114" i="2"/>
  <c r="AX114" i="2" s="1"/>
  <c r="BG113" i="2"/>
  <c r="BB113" i="2"/>
  <c r="D115" i="2"/>
  <c r="AX115" i="2" s="1"/>
  <c r="BG84" i="11" l="1"/>
  <c r="AZ84" i="11" s="1"/>
  <c r="BG83" i="11"/>
  <c r="AZ83" i="11" s="1"/>
  <c r="AX86" i="11"/>
  <c r="BF112" i="2"/>
  <c r="AY112" i="2" s="1"/>
  <c r="BC115" i="2"/>
  <c r="BD115" i="2"/>
  <c r="BF113" i="2"/>
  <c r="AY113" i="2" s="1"/>
  <c r="BD114" i="2"/>
  <c r="BC114" i="2"/>
  <c r="AY88" i="11"/>
  <c r="BD86" i="11"/>
  <c r="BE86" i="11"/>
  <c r="AY87" i="11"/>
  <c r="BD85" i="11"/>
  <c r="BE85" i="11"/>
  <c r="AN115" i="2"/>
  <c r="AN114" i="2"/>
  <c r="AW113" i="2"/>
  <c r="D89" i="11"/>
  <c r="BH87" i="11"/>
  <c r="AX87" i="11" s="1"/>
  <c r="BC87" i="11"/>
  <c r="D90" i="11"/>
  <c r="BH88" i="11"/>
  <c r="AX88" i="11" s="1"/>
  <c r="BC88" i="11"/>
  <c r="BG115" i="2"/>
  <c r="BB115" i="2"/>
  <c r="D117" i="2"/>
  <c r="AX117" i="2" s="1"/>
  <c r="BG114" i="2"/>
  <c r="AW114" i="2" s="1"/>
  <c r="BB114" i="2"/>
  <c r="D116" i="2"/>
  <c r="AX116" i="2" s="1"/>
  <c r="BG86" i="11" l="1"/>
  <c r="AZ86" i="11" s="1"/>
  <c r="BG85" i="11"/>
  <c r="AZ85" i="11" s="1"/>
  <c r="BF115" i="2"/>
  <c r="AY115" i="2" s="1"/>
  <c r="BF114" i="2"/>
  <c r="AY114" i="2" s="1"/>
  <c r="BC116" i="2"/>
  <c r="BD116" i="2"/>
  <c r="BD117" i="2"/>
  <c r="BC117" i="2"/>
  <c r="AY90" i="11"/>
  <c r="BD88" i="11"/>
  <c r="BE88" i="11"/>
  <c r="AY89" i="11"/>
  <c r="BD87" i="11"/>
  <c r="BE87" i="11"/>
  <c r="AN117" i="2"/>
  <c r="AN116" i="2"/>
  <c r="AW115" i="2"/>
  <c r="D91" i="11"/>
  <c r="BH89" i="11"/>
  <c r="AX89" i="11" s="1"/>
  <c r="BC89" i="11"/>
  <c r="BC90" i="11"/>
  <c r="BH90" i="11"/>
  <c r="AX90" i="11" s="1"/>
  <c r="D92" i="11"/>
  <c r="BG117" i="2"/>
  <c r="D119" i="2"/>
  <c r="AX119" i="2" s="1"/>
  <c r="BB117" i="2"/>
  <c r="D118" i="2"/>
  <c r="AX118" i="2" s="1"/>
  <c r="BB116" i="2"/>
  <c r="BG116" i="2"/>
  <c r="AW116" i="2" s="1"/>
  <c r="BG87" i="11" l="1"/>
  <c r="AZ87" i="11" s="1"/>
  <c r="BG88" i="11"/>
  <c r="AZ88" i="11" s="1"/>
  <c r="BF117" i="2"/>
  <c r="AY117" i="2" s="1"/>
  <c r="BF116" i="2"/>
  <c r="AY116" i="2" s="1"/>
  <c r="BC118" i="2"/>
  <c r="BD118" i="2"/>
  <c r="BC119" i="2"/>
  <c r="BD119" i="2"/>
  <c r="AY92" i="11"/>
  <c r="BE90" i="11"/>
  <c r="BD90" i="11"/>
  <c r="AY91" i="11"/>
  <c r="BE89" i="11"/>
  <c r="BD89" i="11"/>
  <c r="AN118" i="2"/>
  <c r="AN119" i="2"/>
  <c r="AW117" i="2"/>
  <c r="BH91" i="11"/>
  <c r="AX91" i="11" s="1"/>
  <c r="BC91" i="11"/>
  <c r="D93" i="11"/>
  <c r="D94" i="11"/>
  <c r="BH92" i="11"/>
  <c r="BC92" i="11"/>
  <c r="BG119" i="2"/>
  <c r="BB119" i="2"/>
  <c r="D121" i="2"/>
  <c r="AX121" i="2" s="1"/>
  <c r="BB118" i="2"/>
  <c r="D120" i="2"/>
  <c r="AX120" i="2" s="1"/>
  <c r="BG118" i="2"/>
  <c r="AW118" i="2" s="1"/>
  <c r="BG90" i="11" l="1"/>
  <c r="AZ90" i="11" s="1"/>
  <c r="BG89" i="11"/>
  <c r="AZ89" i="11" s="1"/>
  <c r="AX92" i="11"/>
  <c r="BF118" i="2"/>
  <c r="AY118" i="2" s="1"/>
  <c r="BD120" i="2"/>
  <c r="BC120" i="2"/>
  <c r="BC121" i="2"/>
  <c r="BD121" i="2"/>
  <c r="BF119" i="2"/>
  <c r="AY119" i="2" s="1"/>
  <c r="AY94" i="11"/>
  <c r="BE92" i="11"/>
  <c r="BD92" i="11"/>
  <c r="AY93" i="11"/>
  <c r="BE91" i="11"/>
  <c r="BD91" i="11"/>
  <c r="AN121" i="2"/>
  <c r="AN120" i="2"/>
  <c r="BH93" i="11"/>
  <c r="AX93" i="11" s="1"/>
  <c r="BC93" i="11"/>
  <c r="D95" i="11"/>
  <c r="D96" i="11"/>
  <c r="BH94" i="11"/>
  <c r="AX94" i="11" s="1"/>
  <c r="BC94" i="11"/>
  <c r="AW119" i="2"/>
  <c r="D122" i="2"/>
  <c r="AX122" i="2" s="1"/>
  <c r="BG120" i="2"/>
  <c r="AW120" i="2" s="1"/>
  <c r="BB120" i="2"/>
  <c r="BB121" i="2"/>
  <c r="D123" i="2"/>
  <c r="AX123" i="2" s="1"/>
  <c r="BG121" i="2"/>
  <c r="BG92" i="11" l="1"/>
  <c r="AZ92" i="11" s="1"/>
  <c r="BG91" i="11"/>
  <c r="AZ91" i="11" s="1"/>
  <c r="BF121" i="2"/>
  <c r="AY121" i="2" s="1"/>
  <c r="BF120" i="2"/>
  <c r="AY120" i="2" s="1"/>
  <c r="BC123" i="2"/>
  <c r="BD123" i="2"/>
  <c r="BC122" i="2"/>
  <c r="BD122" i="2"/>
  <c r="AY96" i="11"/>
  <c r="BD94" i="11"/>
  <c r="BE94" i="11"/>
  <c r="AY95" i="11"/>
  <c r="BE93" i="11"/>
  <c r="BD93" i="11"/>
  <c r="AN123" i="2"/>
  <c r="AN122" i="2"/>
  <c r="AW121" i="2"/>
  <c r="BC95" i="11"/>
  <c r="BH95" i="11"/>
  <c r="AX95" i="11" s="1"/>
  <c r="D97" i="11"/>
  <c r="BC96" i="11"/>
  <c r="D98" i="11"/>
  <c r="BH96" i="11"/>
  <c r="AX96" i="11" s="1"/>
  <c r="BB122" i="2"/>
  <c r="BG122" i="2"/>
  <c r="AW122" i="2" s="1"/>
  <c r="D124" i="2"/>
  <c r="AX124" i="2" s="1"/>
  <c r="BG123" i="2"/>
  <c r="BB123" i="2"/>
  <c r="D125" i="2"/>
  <c r="AX125" i="2" s="1"/>
  <c r="BG94" i="11" l="1"/>
  <c r="AZ94" i="11" s="1"/>
  <c r="BG93" i="11"/>
  <c r="AZ93" i="11" s="1"/>
  <c r="BD125" i="2"/>
  <c r="BC125" i="2"/>
  <c r="BC124" i="2"/>
  <c r="BD124" i="2"/>
  <c r="AY98" i="11"/>
  <c r="BD96" i="11"/>
  <c r="BE96" i="11"/>
  <c r="AY97" i="11"/>
  <c r="BE95" i="11"/>
  <c r="BD95" i="11"/>
  <c r="BG95" i="11" s="1"/>
  <c r="AZ95" i="11" s="1"/>
  <c r="AN124" i="2"/>
  <c r="AN125" i="2"/>
  <c r="AW123" i="2"/>
  <c r="BC97" i="11"/>
  <c r="BH97" i="11"/>
  <c r="AX97" i="11" s="1"/>
  <c r="D99" i="11"/>
  <c r="BC98" i="11"/>
  <c r="D100" i="11"/>
  <c r="BH98" i="11"/>
  <c r="BF122" i="2"/>
  <c r="AY122" i="2" s="1"/>
  <c r="BB125" i="2"/>
  <c r="BG125" i="2"/>
  <c r="D127" i="2"/>
  <c r="AX127" i="2" s="1"/>
  <c r="BF123" i="2"/>
  <c r="AY123" i="2" s="1"/>
  <c r="BG124" i="2"/>
  <c r="AW124" i="2" s="1"/>
  <c r="D126" i="2"/>
  <c r="AX126" i="2" s="1"/>
  <c r="BB124" i="2"/>
  <c r="AX98" i="11" l="1"/>
  <c r="BG96" i="11"/>
  <c r="AZ96" i="11" s="1"/>
  <c r="BD126" i="2"/>
  <c r="BC126" i="2"/>
  <c r="BC127" i="2"/>
  <c r="BD127" i="2"/>
  <c r="AY99" i="11"/>
  <c r="BD97" i="11"/>
  <c r="BE97" i="11"/>
  <c r="AY100" i="11"/>
  <c r="BD98" i="11"/>
  <c r="BE98" i="11"/>
  <c r="AN127" i="2"/>
  <c r="AN126" i="2"/>
  <c r="BC99" i="11"/>
  <c r="BH99" i="11"/>
  <c r="AX99" i="11" s="1"/>
  <c r="D101" i="11"/>
  <c r="D102" i="11"/>
  <c r="BC100" i="11"/>
  <c r="BH100" i="11"/>
  <c r="AX100" i="11" s="1"/>
  <c r="AW125" i="2"/>
  <c r="BF124" i="2"/>
  <c r="AY124" i="2" s="1"/>
  <c r="D129" i="2"/>
  <c r="AX129" i="2" s="1"/>
  <c r="BG127" i="2"/>
  <c r="BB127" i="2"/>
  <c r="D128" i="2"/>
  <c r="AX128" i="2" s="1"/>
  <c r="BG126" i="2"/>
  <c r="AW126" i="2" s="1"/>
  <c r="BB126" i="2"/>
  <c r="BF125" i="2"/>
  <c r="AY125" i="2" s="1"/>
  <c r="BG98" i="11" l="1"/>
  <c r="AZ98" i="11" s="1"/>
  <c r="BG97" i="11"/>
  <c r="AZ97" i="11" s="1"/>
  <c r="BC128" i="2"/>
  <c r="BD128" i="2"/>
  <c r="BC129" i="2"/>
  <c r="BD129" i="2"/>
  <c r="AY102" i="11"/>
  <c r="BD100" i="11"/>
  <c r="BE100" i="11"/>
  <c r="AY101" i="11"/>
  <c r="BD99" i="11"/>
  <c r="BE99" i="11"/>
  <c r="AN128" i="2"/>
  <c r="AN129" i="2"/>
  <c r="AW127" i="2"/>
  <c r="BH101" i="11"/>
  <c r="AX101" i="11" s="1"/>
  <c r="D103" i="11"/>
  <c r="BC101" i="11"/>
  <c r="D104" i="11"/>
  <c r="BC102" i="11"/>
  <c r="BH102" i="11"/>
  <c r="BB129" i="2"/>
  <c r="BG129" i="2"/>
  <c r="D131" i="2"/>
  <c r="AX131" i="2" s="1"/>
  <c r="BB128" i="2"/>
  <c r="D130" i="2"/>
  <c r="AX130" i="2" s="1"/>
  <c r="BG128" i="2"/>
  <c r="AW128" i="2" s="1"/>
  <c r="BF126" i="2"/>
  <c r="AY126" i="2" s="1"/>
  <c r="BF127" i="2"/>
  <c r="AY127" i="2" s="1"/>
  <c r="AX102" i="11" l="1"/>
  <c r="BG100" i="11"/>
  <c r="AZ100" i="11" s="1"/>
  <c r="BG99" i="11"/>
  <c r="AZ99" i="11" s="1"/>
  <c r="BC130" i="2"/>
  <c r="BD130" i="2"/>
  <c r="BC131" i="2"/>
  <c r="BD131" i="2"/>
  <c r="AY104" i="11"/>
  <c r="BE102" i="11"/>
  <c r="BD102" i="11"/>
  <c r="AY103" i="11"/>
  <c r="BE101" i="11"/>
  <c r="BD101" i="11"/>
  <c r="AN131" i="2"/>
  <c r="AN130" i="2"/>
  <c r="BC103" i="11"/>
  <c r="BH103" i="11"/>
  <c r="AX103" i="11" s="1"/>
  <c r="D105" i="11"/>
  <c r="BC104" i="11"/>
  <c r="D106" i="11"/>
  <c r="BH104" i="11"/>
  <c r="AX104" i="11" s="1"/>
  <c r="BF129" i="2"/>
  <c r="AY129" i="2" s="1"/>
  <c r="AW129" i="2"/>
  <c r="D133" i="2"/>
  <c r="AX133" i="2" s="1"/>
  <c r="BG131" i="2"/>
  <c r="BB131" i="2"/>
  <c r="D132" i="2"/>
  <c r="AX132" i="2" s="1"/>
  <c r="BB130" i="2"/>
  <c r="BG130" i="2"/>
  <c r="AW130" i="2" s="1"/>
  <c r="BF128" i="2"/>
  <c r="AY128" i="2" s="1"/>
  <c r="BG101" i="11" l="1"/>
  <c r="AZ101" i="11" s="1"/>
  <c r="BG102" i="11"/>
  <c r="AZ102" i="11" s="1"/>
  <c r="BD132" i="2"/>
  <c r="BC132" i="2"/>
  <c r="BC133" i="2"/>
  <c r="BD133" i="2"/>
  <c r="AY106" i="11"/>
  <c r="BE104" i="11"/>
  <c r="BD104" i="11"/>
  <c r="AY105" i="11"/>
  <c r="BE103" i="11"/>
  <c r="BD103" i="11"/>
  <c r="BG103" i="11" s="1"/>
  <c r="AZ103" i="11" s="1"/>
  <c r="AN133" i="2"/>
  <c r="AN132" i="2"/>
  <c r="BH105" i="11"/>
  <c r="AX105" i="11" s="1"/>
  <c r="D107" i="11"/>
  <c r="BC105" i="11"/>
  <c r="D108" i="11"/>
  <c r="BH106" i="11"/>
  <c r="AX106" i="11" s="1"/>
  <c r="BC106" i="11"/>
  <c r="BG104" i="11"/>
  <c r="AZ104" i="11" s="1"/>
  <c r="BF131" i="2"/>
  <c r="AY131" i="2" s="1"/>
  <c r="AW131" i="2"/>
  <c r="BF130" i="2"/>
  <c r="AY130" i="2" s="1"/>
  <c r="BG133" i="2"/>
  <c r="D135" i="2"/>
  <c r="AX135" i="2" s="1"/>
  <c r="BB133" i="2"/>
  <c r="BG132" i="2"/>
  <c r="AW132" i="2" s="1"/>
  <c r="D134" i="2"/>
  <c r="AX134" i="2" s="1"/>
  <c r="BB132" i="2"/>
  <c r="BC134" i="2" l="1"/>
  <c r="BD134" i="2"/>
  <c r="BD135" i="2"/>
  <c r="BC135" i="2"/>
  <c r="AY107" i="11"/>
  <c r="BE105" i="11"/>
  <c r="BD105" i="11"/>
  <c r="AY108" i="11"/>
  <c r="BD106" i="11"/>
  <c r="BE106" i="11"/>
  <c r="AN134" i="2"/>
  <c r="AN135" i="2"/>
  <c r="BC107" i="11"/>
  <c r="D109" i="11"/>
  <c r="BH107" i="11"/>
  <c r="AX107" i="11" s="1"/>
  <c r="BC108" i="11"/>
  <c r="BH108" i="11"/>
  <c r="AX108" i="11" s="1"/>
  <c r="D110" i="11"/>
  <c r="AW133" i="2"/>
  <c r="BG134" i="2"/>
  <c r="AW134" i="2" s="1"/>
  <c r="BB134" i="2"/>
  <c r="D136" i="2"/>
  <c r="AX136" i="2" s="1"/>
  <c r="D137" i="2"/>
  <c r="AX137" i="2" s="1"/>
  <c r="BB135" i="2"/>
  <c r="BG135" i="2"/>
  <c r="BF133" i="2"/>
  <c r="AY133" i="2" s="1"/>
  <c r="BF132" i="2"/>
  <c r="AY132" i="2" s="1"/>
  <c r="BG106" i="11" l="1"/>
  <c r="AZ106" i="11" s="1"/>
  <c r="BG105" i="11"/>
  <c r="AZ105" i="11" s="1"/>
  <c r="BC137" i="2"/>
  <c r="BD137" i="2"/>
  <c r="BC136" i="2"/>
  <c r="BD136" i="2"/>
  <c r="AY109" i="11"/>
  <c r="BD107" i="11"/>
  <c r="BE107" i="11"/>
  <c r="AY110" i="11"/>
  <c r="BD108" i="11"/>
  <c r="BE108" i="11"/>
  <c r="AN137" i="2"/>
  <c r="AN136" i="2"/>
  <c r="AW135" i="2"/>
  <c r="BC109" i="11"/>
  <c r="D111" i="11"/>
  <c r="BH109" i="11"/>
  <c r="AX109" i="11" s="1"/>
  <c r="BC110" i="11"/>
  <c r="BH110" i="11"/>
  <c r="AX110" i="11" s="1"/>
  <c r="D112" i="11"/>
  <c r="BF135" i="2"/>
  <c r="AY135" i="2" s="1"/>
  <c r="BG136" i="2"/>
  <c r="AW136" i="2" s="1"/>
  <c r="D138" i="2"/>
  <c r="AX138" i="2" s="1"/>
  <c r="BB136" i="2"/>
  <c r="BF134" i="2"/>
  <c r="AY134" i="2" s="1"/>
  <c r="BB137" i="2"/>
  <c r="BG137" i="2"/>
  <c r="D139" i="2"/>
  <c r="AX139" i="2" s="1"/>
  <c r="BG108" i="11" l="1"/>
  <c r="AZ108" i="11" s="1"/>
  <c r="BG107" i="11"/>
  <c r="AZ107" i="11" s="1"/>
  <c r="BD138" i="2"/>
  <c r="BC138" i="2"/>
  <c r="BC139" i="2"/>
  <c r="BD139" i="2"/>
  <c r="AY112" i="11"/>
  <c r="BD110" i="11"/>
  <c r="BG110" i="11" s="1"/>
  <c r="AZ110" i="11" s="1"/>
  <c r="BE110" i="11"/>
  <c r="AY111" i="11"/>
  <c r="BD109" i="11"/>
  <c r="BE109" i="11"/>
  <c r="AN139" i="2"/>
  <c r="AN138" i="2"/>
  <c r="AW137" i="2"/>
  <c r="BC111" i="11"/>
  <c r="D113" i="11"/>
  <c r="BH111" i="11"/>
  <c r="AX111" i="11" s="1"/>
  <c r="BH112" i="11"/>
  <c r="AX112" i="11" s="1"/>
  <c r="D114" i="11"/>
  <c r="BC112" i="11"/>
  <c r="BG139" i="2"/>
  <c r="D141" i="2"/>
  <c r="AX141" i="2" s="1"/>
  <c r="BB139" i="2"/>
  <c r="BF137" i="2"/>
  <c r="AY137" i="2" s="1"/>
  <c r="BF136" i="2"/>
  <c r="AY136" i="2" s="1"/>
  <c r="BG138" i="2"/>
  <c r="AW138" i="2" s="1"/>
  <c r="BB138" i="2"/>
  <c r="D140" i="2"/>
  <c r="AX140" i="2" s="1"/>
  <c r="BG109" i="11" l="1"/>
  <c r="AZ109" i="11" s="1"/>
  <c r="BC140" i="2"/>
  <c r="BD140" i="2"/>
  <c r="BD141" i="2"/>
  <c r="BC141" i="2"/>
  <c r="AY114" i="11"/>
  <c r="BD112" i="11"/>
  <c r="BG112" i="11" s="1"/>
  <c r="AZ112" i="11" s="1"/>
  <c r="BE112" i="11"/>
  <c r="AY113" i="11"/>
  <c r="BD111" i="11"/>
  <c r="BE111" i="11"/>
  <c r="AN140" i="2"/>
  <c r="AN141" i="2"/>
  <c r="BH113" i="11"/>
  <c r="AX113" i="11" s="1"/>
  <c r="D115" i="11"/>
  <c r="BC113" i="11"/>
  <c r="BH114" i="11"/>
  <c r="BC114" i="11"/>
  <c r="D116" i="11"/>
  <c r="AW139" i="2"/>
  <c r="BB140" i="2"/>
  <c r="BG140" i="2"/>
  <c r="AW140" i="2" s="1"/>
  <c r="D142" i="2"/>
  <c r="AX142" i="2" s="1"/>
  <c r="BF138" i="2"/>
  <c r="AY138" i="2" s="1"/>
  <c r="BF139" i="2"/>
  <c r="AY139" i="2" s="1"/>
  <c r="BG141" i="2"/>
  <c r="BB141" i="2"/>
  <c r="D143" i="2"/>
  <c r="AX143" i="2" s="1"/>
  <c r="AX114" i="11" l="1"/>
  <c r="BG111" i="11"/>
  <c r="AZ111" i="11" s="1"/>
  <c r="BD143" i="2"/>
  <c r="BC143" i="2"/>
  <c r="BC142" i="2"/>
  <c r="BD142" i="2"/>
  <c r="AY116" i="11"/>
  <c r="BE114" i="11"/>
  <c r="BD114" i="11"/>
  <c r="AY115" i="11"/>
  <c r="BE113" i="11"/>
  <c r="BD113" i="11"/>
  <c r="BG113" i="11" s="1"/>
  <c r="AZ113" i="11" s="1"/>
  <c r="AN142" i="2"/>
  <c r="AN143" i="2"/>
  <c r="AW141" i="2"/>
  <c r="D117" i="11"/>
  <c r="AY117" i="11" s="1"/>
  <c r="BH115" i="11"/>
  <c r="AX115" i="11" s="1"/>
  <c r="BC115" i="11"/>
  <c r="BC116" i="11"/>
  <c r="D118" i="11"/>
  <c r="AY118" i="11" s="1"/>
  <c r="BH116" i="11"/>
  <c r="AX116" i="11" s="1"/>
  <c r="BB143" i="2"/>
  <c r="BG143" i="2"/>
  <c r="D145" i="2"/>
  <c r="AX145" i="2" s="1"/>
  <c r="D144" i="2"/>
  <c r="AX144" i="2" s="1"/>
  <c r="BB142" i="2"/>
  <c r="BG142" i="2"/>
  <c r="AW142" i="2" s="1"/>
  <c r="BF141" i="2"/>
  <c r="AY141" i="2" s="1"/>
  <c r="BF140" i="2"/>
  <c r="AY140" i="2" s="1"/>
  <c r="BG114" i="11" l="1"/>
  <c r="AZ114" i="11" s="1"/>
  <c r="BD144" i="2"/>
  <c r="BC144" i="2"/>
  <c r="BC145" i="2"/>
  <c r="BD145" i="2"/>
  <c r="BE116" i="11"/>
  <c r="BD116" i="11"/>
  <c r="BE115" i="11"/>
  <c r="BD115" i="11"/>
  <c r="BG115" i="11" s="1"/>
  <c r="AZ115" i="11" s="1"/>
  <c r="AN144" i="2"/>
  <c r="AN145" i="2"/>
  <c r="BC117" i="11"/>
  <c r="BH117" i="11"/>
  <c r="AX117" i="11" s="1"/>
  <c r="D119" i="11"/>
  <c r="AY119" i="11" s="1"/>
  <c r="D120" i="11"/>
  <c r="AY120" i="11" s="1"/>
  <c r="BH118" i="11"/>
  <c r="AX118" i="11" s="1"/>
  <c r="BC118" i="11"/>
  <c r="BF143" i="2"/>
  <c r="AY143" i="2" s="1"/>
  <c r="AW143" i="2"/>
  <c r="BG144" i="2"/>
  <c r="AW144" i="2" s="1"/>
  <c r="D146" i="2"/>
  <c r="AX146" i="2" s="1"/>
  <c r="BB144" i="2"/>
  <c r="BB145" i="2"/>
  <c r="BG145" i="2"/>
  <c r="D147" i="2"/>
  <c r="AX147" i="2" s="1"/>
  <c r="BF142" i="2"/>
  <c r="AY142" i="2" s="1"/>
  <c r="BG116" i="11" l="1"/>
  <c r="AZ116" i="11" s="1"/>
  <c r="BD147" i="2"/>
  <c r="BC147" i="2"/>
  <c r="BC146" i="2"/>
  <c r="BD146" i="2"/>
  <c r="BD118" i="11"/>
  <c r="BE118" i="11"/>
  <c r="BE117" i="11"/>
  <c r="BD117" i="11"/>
  <c r="BG117" i="11" s="1"/>
  <c r="AZ117" i="11" s="1"/>
  <c r="AN146" i="2"/>
  <c r="AN147" i="2"/>
  <c r="AW145" i="2"/>
  <c r="BH119" i="11"/>
  <c r="AX119" i="11" s="1"/>
  <c r="BC119" i="11"/>
  <c r="D121" i="11"/>
  <c r="AY121" i="11" s="1"/>
  <c r="BH120" i="11"/>
  <c r="BC120" i="11"/>
  <c r="D122" i="11"/>
  <c r="AY122" i="11" s="1"/>
  <c r="BG146" i="2"/>
  <c r="AW146" i="2" s="1"/>
  <c r="BB146" i="2"/>
  <c r="D148" i="2"/>
  <c r="AX148" i="2" s="1"/>
  <c r="BG147" i="2"/>
  <c r="D149" i="2"/>
  <c r="AX149" i="2" s="1"/>
  <c r="BB147" i="2"/>
  <c r="BF145" i="2"/>
  <c r="AY145" i="2" s="1"/>
  <c r="BF144" i="2"/>
  <c r="AY144" i="2" s="1"/>
  <c r="BG118" i="11" l="1"/>
  <c r="AZ118" i="11" s="1"/>
  <c r="AX120" i="11"/>
  <c r="BD149" i="2"/>
  <c r="BC149" i="2"/>
  <c r="BC148" i="2"/>
  <c r="BD148" i="2"/>
  <c r="BD120" i="11"/>
  <c r="BE120" i="11"/>
  <c r="BD119" i="11"/>
  <c r="BE119" i="11"/>
  <c r="AN149" i="2"/>
  <c r="AN148" i="2"/>
  <c r="AW147" i="2"/>
  <c r="BH121" i="11"/>
  <c r="D123" i="11"/>
  <c r="AY123" i="11" s="1"/>
  <c r="BC121" i="11"/>
  <c r="BH122" i="11"/>
  <c r="BC122" i="11"/>
  <c r="D124" i="11"/>
  <c r="AY124" i="11" s="1"/>
  <c r="BF146" i="2"/>
  <c r="AY146" i="2" s="1"/>
  <c r="D150" i="2"/>
  <c r="AX150" i="2" s="1"/>
  <c r="BG148" i="2"/>
  <c r="AW148" i="2" s="1"/>
  <c r="BB148" i="2"/>
  <c r="BB149" i="2"/>
  <c r="D151" i="2"/>
  <c r="AX151" i="2" s="1"/>
  <c r="BG149" i="2"/>
  <c r="BF147" i="2"/>
  <c r="AY147" i="2" s="1"/>
  <c r="BG120" i="11" l="1"/>
  <c r="AZ120" i="11" s="1"/>
  <c r="BG119" i="11"/>
  <c r="AZ119" i="11" s="1"/>
  <c r="BD150" i="2"/>
  <c r="BC150" i="2"/>
  <c r="BC151" i="2"/>
  <c r="BD151" i="2"/>
  <c r="BD122" i="11"/>
  <c r="BE122" i="11"/>
  <c r="BD121" i="11"/>
  <c r="BE121" i="11"/>
  <c r="AN151" i="2"/>
  <c r="AN150" i="2"/>
  <c r="AW149" i="2"/>
  <c r="BC123" i="11"/>
  <c r="D125" i="11"/>
  <c r="AY125" i="11" s="1"/>
  <c r="BH123" i="11"/>
  <c r="BH124" i="11"/>
  <c r="BC124" i="11"/>
  <c r="D126" i="11"/>
  <c r="AY126" i="11" s="1"/>
  <c r="BF149" i="2"/>
  <c r="AY149" i="2" s="1"/>
  <c r="BB151" i="2"/>
  <c r="BG151" i="2"/>
  <c r="D153" i="2"/>
  <c r="AX153" i="2" s="1"/>
  <c r="BB150" i="2"/>
  <c r="BG150" i="2"/>
  <c r="AW150" i="2" s="1"/>
  <c r="D152" i="2"/>
  <c r="AX152" i="2" s="1"/>
  <c r="BF148" i="2"/>
  <c r="AY148" i="2" s="1"/>
  <c r="BG121" i="11" l="1"/>
  <c r="AZ121" i="11" s="1"/>
  <c r="BG122" i="11"/>
  <c r="AZ122" i="11" s="1"/>
  <c r="BC152" i="2"/>
  <c r="BD152" i="2"/>
  <c r="BD153" i="2"/>
  <c r="BC153" i="2"/>
  <c r="BD124" i="11"/>
  <c r="BE124" i="11"/>
  <c r="BD123" i="11"/>
  <c r="BE123" i="11"/>
  <c r="AN153" i="2"/>
  <c r="AN152" i="2"/>
  <c r="BC125" i="11"/>
  <c r="BH125" i="11"/>
  <c r="D127" i="11"/>
  <c r="AY127" i="11" s="1"/>
  <c r="D128" i="11"/>
  <c r="AY128" i="11" s="1"/>
  <c r="BC126" i="11"/>
  <c r="BH126" i="11"/>
  <c r="AW151" i="2"/>
  <c r="BF150" i="2"/>
  <c r="AY150" i="2" s="1"/>
  <c r="BG152" i="2"/>
  <c r="AW152" i="2" s="1"/>
  <c r="D154" i="2"/>
  <c r="AX154" i="2" s="1"/>
  <c r="BB152" i="2"/>
  <c r="BF151" i="2"/>
  <c r="AY151" i="2" s="1"/>
  <c r="BG153" i="2"/>
  <c r="AW153" i="2" s="1"/>
  <c r="BB153" i="2"/>
  <c r="D155" i="2"/>
  <c r="AX155" i="2" s="1"/>
  <c r="BG124" i="11" l="1"/>
  <c r="AZ124" i="11" s="1"/>
  <c r="BG123" i="11"/>
  <c r="AZ123" i="11" s="1"/>
  <c r="BC155" i="2"/>
  <c r="BD155" i="2"/>
  <c r="BC154" i="2"/>
  <c r="BD154" i="2"/>
  <c r="BE125" i="11"/>
  <c r="BD125" i="11"/>
  <c r="BE126" i="11"/>
  <c r="BD126" i="11"/>
  <c r="BG126" i="11" s="1"/>
  <c r="AZ126" i="11" s="1"/>
  <c r="AN154" i="2"/>
  <c r="AN155" i="2"/>
  <c r="BC127" i="11"/>
  <c r="D129" i="11"/>
  <c r="AY129" i="11" s="1"/>
  <c r="BH127" i="11"/>
  <c r="BC128" i="11"/>
  <c r="D130" i="11"/>
  <c r="AY130" i="11" s="1"/>
  <c r="BH128" i="11"/>
  <c r="BF153" i="2"/>
  <c r="AY153" i="2" s="1"/>
  <c r="BF152" i="2"/>
  <c r="AY152" i="2" s="1"/>
  <c r="BB154" i="2"/>
  <c r="D156" i="2"/>
  <c r="AX156" i="2" s="1"/>
  <c r="BG154" i="2"/>
  <c r="AW154" i="2" s="1"/>
  <c r="BG155" i="2"/>
  <c r="D157" i="2"/>
  <c r="AX157" i="2" s="1"/>
  <c r="BB155" i="2"/>
  <c r="BG125" i="11" l="1"/>
  <c r="AZ125" i="11" s="1"/>
  <c r="AW155" i="2"/>
  <c r="BC157" i="2"/>
  <c r="BD157" i="2"/>
  <c r="BD156" i="2"/>
  <c r="BC156" i="2"/>
  <c r="BE128" i="11"/>
  <c r="BD128" i="11"/>
  <c r="BE127" i="11"/>
  <c r="BD127" i="11"/>
  <c r="BG127" i="11" s="1"/>
  <c r="AZ127" i="11" s="1"/>
  <c r="AN157" i="2"/>
  <c r="AN156" i="2"/>
  <c r="BH129" i="11"/>
  <c r="D131" i="11"/>
  <c r="AY131" i="11" s="1"/>
  <c r="BC129" i="11"/>
  <c r="BH130" i="11"/>
  <c r="D132" i="11"/>
  <c r="AY132" i="11" s="1"/>
  <c r="BC130" i="11"/>
  <c r="BG156" i="2"/>
  <c r="AW156" i="2" s="1"/>
  <c r="D158" i="2"/>
  <c r="AX158" i="2" s="1"/>
  <c r="BB156" i="2"/>
  <c r="BF155" i="2"/>
  <c r="AY155" i="2" s="1"/>
  <c r="BF154" i="2"/>
  <c r="AY154" i="2" s="1"/>
  <c r="D159" i="2"/>
  <c r="AX159" i="2" s="1"/>
  <c r="BG157" i="2"/>
  <c r="BB157" i="2"/>
  <c r="BG128" i="11" l="1"/>
  <c r="AZ128" i="11" s="1"/>
  <c r="BC158" i="2"/>
  <c r="BD158" i="2"/>
  <c r="BD159" i="2"/>
  <c r="BC159" i="2"/>
  <c r="BD130" i="11"/>
  <c r="BG130" i="11" s="1"/>
  <c r="AZ130" i="11" s="1"/>
  <c r="BE130" i="11"/>
  <c r="BE129" i="11"/>
  <c r="BD129" i="11"/>
  <c r="BG129" i="11" s="1"/>
  <c r="AZ129" i="11" s="1"/>
  <c r="AN158" i="2"/>
  <c r="AN159" i="2"/>
  <c r="BC131" i="11"/>
  <c r="D133" i="11"/>
  <c r="AY133" i="11" s="1"/>
  <c r="BH131" i="11"/>
  <c r="D134" i="11"/>
  <c r="AY134" i="11" s="1"/>
  <c r="BH132" i="11"/>
  <c r="BC132" i="11"/>
  <c r="AW157" i="2"/>
  <c r="BG159" i="2"/>
  <c r="D161" i="2"/>
  <c r="AX161" i="2" s="1"/>
  <c r="BB159" i="2"/>
  <c r="D160" i="2"/>
  <c r="AX160" i="2" s="1"/>
  <c r="BG158" i="2"/>
  <c r="AW158" i="2" s="1"/>
  <c r="BB158" i="2"/>
  <c r="BF157" i="2"/>
  <c r="AY157" i="2" s="1"/>
  <c r="BF156" i="2"/>
  <c r="AY156" i="2" s="1"/>
  <c r="BC160" i="2" l="1"/>
  <c r="BD160" i="2"/>
  <c r="BD161" i="2"/>
  <c r="BC161" i="2"/>
  <c r="BD131" i="11"/>
  <c r="BE131" i="11"/>
  <c r="BD132" i="11"/>
  <c r="BE132" i="11"/>
  <c r="AN160" i="2"/>
  <c r="AN161" i="2"/>
  <c r="BH133" i="11"/>
  <c r="BC133" i="11"/>
  <c r="D135" i="11"/>
  <c r="AY135" i="11" s="1"/>
  <c r="BC134" i="11"/>
  <c r="D136" i="11"/>
  <c r="AY136" i="11" s="1"/>
  <c r="BH134" i="11"/>
  <c r="AW159" i="2"/>
  <c r="BB160" i="2"/>
  <c r="BG160" i="2"/>
  <c r="AW160" i="2" s="1"/>
  <c r="D162" i="2"/>
  <c r="AX162" i="2" s="1"/>
  <c r="D163" i="2"/>
  <c r="AX163" i="2" s="1"/>
  <c r="BG161" i="2"/>
  <c r="BB161" i="2"/>
  <c r="BF158" i="2"/>
  <c r="AY158" i="2" s="1"/>
  <c r="BF159" i="2"/>
  <c r="AY159" i="2" s="1"/>
  <c r="BG131" i="11" l="1"/>
  <c r="AZ131" i="11" s="1"/>
  <c r="BG132" i="11"/>
  <c r="AZ132" i="11" s="1"/>
  <c r="BC163" i="2"/>
  <c r="BD163" i="2"/>
  <c r="BD162" i="2"/>
  <c r="BC162" i="2"/>
  <c r="BD133" i="11"/>
  <c r="BE133" i="11"/>
  <c r="BD134" i="11"/>
  <c r="BE134" i="11"/>
  <c r="AN163" i="2"/>
  <c r="AN162" i="2"/>
  <c r="AW161" i="2"/>
  <c r="BC135" i="11"/>
  <c r="BH135" i="11"/>
  <c r="D137" i="11"/>
  <c r="AY137" i="11" s="1"/>
  <c r="BC136" i="11"/>
  <c r="BH136" i="11"/>
  <c r="D138" i="11"/>
  <c r="AY138" i="11" s="1"/>
  <c r="BF160" i="2"/>
  <c r="AY160" i="2" s="1"/>
  <c r="BF161" i="2"/>
  <c r="AY161" i="2" s="1"/>
  <c r="D164" i="2"/>
  <c r="AX164" i="2" s="1"/>
  <c r="BB162" i="2"/>
  <c r="BG162" i="2"/>
  <c r="AW162" i="2" s="1"/>
  <c r="D165" i="2"/>
  <c r="AX165" i="2" s="1"/>
  <c r="BG163" i="2"/>
  <c r="BB163" i="2"/>
  <c r="BG133" i="11" l="1"/>
  <c r="AZ133" i="11" s="1"/>
  <c r="BG134" i="11"/>
  <c r="AZ134" i="11" s="1"/>
  <c r="BC165" i="2"/>
  <c r="BD165" i="2"/>
  <c r="BC164" i="2"/>
  <c r="BD164" i="2"/>
  <c r="BD136" i="11"/>
  <c r="BE136" i="11"/>
  <c r="BD135" i="11"/>
  <c r="BE135" i="11"/>
  <c r="BG135" i="11" s="1"/>
  <c r="AZ135" i="11" s="1"/>
  <c r="AN164" i="2"/>
  <c r="AN165" i="2"/>
  <c r="AW163" i="2"/>
  <c r="BH137" i="11"/>
  <c r="BC137" i="11"/>
  <c r="D139" i="11"/>
  <c r="AY139" i="11" s="1"/>
  <c r="BH138" i="11"/>
  <c r="BC138" i="11"/>
  <c r="D140" i="11"/>
  <c r="AY140" i="11" s="1"/>
  <c r="BF162" i="2"/>
  <c r="AY162" i="2" s="1"/>
  <c r="D166" i="2"/>
  <c r="BG164" i="2"/>
  <c r="AW164" i="2" s="1"/>
  <c r="BB164" i="2"/>
  <c r="BF163" i="2"/>
  <c r="AY163" i="2" s="1"/>
  <c r="BB165" i="2"/>
  <c r="D167" i="2"/>
  <c r="BG165" i="2"/>
  <c r="BG136" i="11" l="1"/>
  <c r="AZ136" i="11" s="1"/>
  <c r="BC167" i="2"/>
  <c r="BD167" i="2"/>
  <c r="BC166" i="2"/>
  <c r="BD166" i="2"/>
  <c r="BE138" i="11"/>
  <c r="BD138" i="11"/>
  <c r="BE137" i="11"/>
  <c r="BD137" i="11"/>
  <c r="BG137" i="11" s="1"/>
  <c r="AZ137" i="11" s="1"/>
  <c r="AX167" i="2"/>
  <c r="AN167" i="2"/>
  <c r="AX166" i="2"/>
  <c r="AN166" i="2"/>
  <c r="AW165" i="2"/>
  <c r="D141" i="11"/>
  <c r="AY141" i="11" s="1"/>
  <c r="BC139" i="11"/>
  <c r="BH139" i="11"/>
  <c r="D142" i="11"/>
  <c r="AY142" i="11" s="1"/>
  <c r="BH140" i="11"/>
  <c r="BC140" i="11"/>
  <c r="BF164" i="2"/>
  <c r="AY164" i="2" s="1"/>
  <c r="BF165" i="2"/>
  <c r="AY165" i="2" s="1"/>
  <c r="D168" i="2"/>
  <c r="BG166" i="2"/>
  <c r="AW166" i="2" s="1"/>
  <c r="BB166" i="2"/>
  <c r="D169" i="2"/>
  <c r="BB167" i="2"/>
  <c r="BG167" i="2"/>
  <c r="BG138" i="11" l="1"/>
  <c r="AZ138" i="11" s="1"/>
  <c r="BC169" i="2"/>
  <c r="BD169" i="2"/>
  <c r="BD168" i="2"/>
  <c r="BC168" i="2"/>
  <c r="BE140" i="11"/>
  <c r="BD140" i="11"/>
  <c r="BE139" i="11"/>
  <c r="BD139" i="11"/>
  <c r="BG139" i="11" s="1"/>
  <c r="AZ139" i="11" s="1"/>
  <c r="AX169" i="2"/>
  <c r="AN169" i="2"/>
  <c r="AX168" i="2"/>
  <c r="AN168" i="2"/>
  <c r="AW167" i="2"/>
  <c r="BC141" i="11"/>
  <c r="D143" i="11"/>
  <c r="AY143" i="11" s="1"/>
  <c r="BH141" i="11"/>
  <c r="BC142" i="11"/>
  <c r="D144" i="11"/>
  <c r="AY144" i="11" s="1"/>
  <c r="BH142" i="11"/>
  <c r="BG168" i="2"/>
  <c r="AW168" i="2" s="1"/>
  <c r="BB168" i="2"/>
  <c r="D170" i="2"/>
  <c r="BF166" i="2"/>
  <c r="AY166" i="2" s="1"/>
  <c r="BG169" i="2"/>
  <c r="BB169" i="2"/>
  <c r="D171" i="2"/>
  <c r="BF167" i="2"/>
  <c r="AY167" i="2" s="1"/>
  <c r="BG140" i="11" l="1"/>
  <c r="AZ140" i="11" s="1"/>
  <c r="BD171" i="2"/>
  <c r="BC171" i="2"/>
  <c r="BC170" i="2"/>
  <c r="BD170" i="2"/>
  <c r="BD142" i="11"/>
  <c r="BG142" i="11" s="1"/>
  <c r="AZ142" i="11" s="1"/>
  <c r="BE142" i="11"/>
  <c r="BE141" i="11"/>
  <c r="BD141" i="11"/>
  <c r="AX171" i="2"/>
  <c r="AN171" i="2"/>
  <c r="AX170" i="2"/>
  <c r="AN170" i="2"/>
  <c r="AW169" i="2"/>
  <c r="BH143" i="11"/>
  <c r="D145" i="11"/>
  <c r="AY145" i="11" s="1"/>
  <c r="BC143" i="11"/>
  <c r="BC144" i="11"/>
  <c r="BH144" i="11"/>
  <c r="D146" i="11"/>
  <c r="AY146" i="11" s="1"/>
  <c r="BF169" i="2"/>
  <c r="AY169" i="2" s="1"/>
  <c r="BB171" i="2"/>
  <c r="D173" i="2"/>
  <c r="BG171" i="2"/>
  <c r="BF168" i="2"/>
  <c r="AY168" i="2" s="1"/>
  <c r="BG170" i="2"/>
  <c r="AW170" i="2" s="1"/>
  <c r="D172" i="2"/>
  <c r="BB170" i="2"/>
  <c r="BG141" i="11" l="1"/>
  <c r="AZ141" i="11" s="1"/>
  <c r="BC172" i="2"/>
  <c r="BD172" i="2"/>
  <c r="BD173" i="2"/>
  <c r="BC173" i="2"/>
  <c r="BD143" i="11"/>
  <c r="BE143" i="11"/>
  <c r="BD144" i="11"/>
  <c r="BE144" i="11"/>
  <c r="AX173" i="2"/>
  <c r="AN173" i="2"/>
  <c r="AX172" i="2"/>
  <c r="AN172" i="2"/>
  <c r="AW171" i="2"/>
  <c r="BF170" i="2"/>
  <c r="AY170" i="2" s="1"/>
  <c r="D147" i="11"/>
  <c r="AY147" i="11" s="1"/>
  <c r="BC145" i="11"/>
  <c r="BH145" i="11"/>
  <c r="BH146" i="11"/>
  <c r="BC146" i="11"/>
  <c r="D148" i="11"/>
  <c r="AY148" i="11" s="1"/>
  <c r="BF171" i="2"/>
  <c r="AY171" i="2" s="1"/>
  <c r="D174" i="2"/>
  <c r="BB172" i="2"/>
  <c r="BG172" i="2"/>
  <c r="AW172" i="2" s="1"/>
  <c r="BG173" i="2"/>
  <c r="BB173" i="2"/>
  <c r="D175" i="2"/>
  <c r="BG143" i="11" l="1"/>
  <c r="AZ143" i="11" s="1"/>
  <c r="BG144" i="11"/>
  <c r="AZ144" i="11" s="1"/>
  <c r="BC175" i="2"/>
  <c r="BD175" i="2"/>
  <c r="BD174" i="2"/>
  <c r="BC174" i="2"/>
  <c r="BD146" i="11"/>
  <c r="BE146" i="11"/>
  <c r="BD145" i="11"/>
  <c r="BE145" i="11"/>
  <c r="AX175" i="2"/>
  <c r="AN175" i="2"/>
  <c r="AX174" i="2"/>
  <c r="AN174" i="2"/>
  <c r="BF173" i="2"/>
  <c r="AY173" i="2" s="1"/>
  <c r="AW173" i="2"/>
  <c r="D149" i="11"/>
  <c r="AY149" i="11" s="1"/>
  <c r="BH147" i="11"/>
  <c r="BC147" i="11"/>
  <c r="D150" i="11"/>
  <c r="AY150" i="11" s="1"/>
  <c r="BH148" i="11"/>
  <c r="BC148" i="11"/>
  <c r="BF172" i="2"/>
  <c r="AY172" i="2" s="1"/>
  <c r="BG175" i="2"/>
  <c r="D177" i="2"/>
  <c r="BB175" i="2"/>
  <c r="BG174" i="2"/>
  <c r="AW174" i="2" s="1"/>
  <c r="D176" i="2"/>
  <c r="BB174" i="2"/>
  <c r="BG146" i="11" l="1"/>
  <c r="AZ146" i="11" s="1"/>
  <c r="BG145" i="11"/>
  <c r="AZ145" i="11" s="1"/>
  <c r="AW175" i="2"/>
  <c r="BC177" i="2"/>
  <c r="BD177" i="2"/>
  <c r="BC176" i="2"/>
  <c r="BD176" i="2"/>
  <c r="BD148" i="11"/>
  <c r="BG148" i="11" s="1"/>
  <c r="AZ148" i="11" s="1"/>
  <c r="BE148" i="11"/>
  <c r="BD147" i="11"/>
  <c r="BE147" i="11"/>
  <c r="AX177" i="2"/>
  <c r="AN177" i="2"/>
  <c r="AX176" i="2"/>
  <c r="AN176" i="2"/>
  <c r="BH149" i="11"/>
  <c r="D151" i="11"/>
  <c r="AY151" i="11" s="1"/>
  <c r="BC149" i="11"/>
  <c r="BH150" i="11"/>
  <c r="D152" i="11"/>
  <c r="AY152" i="11" s="1"/>
  <c r="BC150" i="11"/>
  <c r="BF175" i="2"/>
  <c r="AY175" i="2" s="1"/>
  <c r="D178" i="2"/>
  <c r="BB176" i="2"/>
  <c r="BG176" i="2"/>
  <c r="AW176" i="2" s="1"/>
  <c r="D179" i="2"/>
  <c r="BG177" i="2"/>
  <c r="BB177" i="2"/>
  <c r="BF174" i="2"/>
  <c r="AY174" i="2" s="1"/>
  <c r="BG147" i="11" l="1"/>
  <c r="AZ147" i="11" s="1"/>
  <c r="AW177" i="2"/>
  <c r="BD179" i="2"/>
  <c r="BC179" i="2"/>
  <c r="BC178" i="2"/>
  <c r="BD178" i="2"/>
  <c r="BE150" i="11"/>
  <c r="BD150" i="11"/>
  <c r="BE149" i="11"/>
  <c r="BD149" i="11"/>
  <c r="BG149" i="11" s="1"/>
  <c r="AZ149" i="11" s="1"/>
  <c r="AX179" i="2"/>
  <c r="AN179" i="2"/>
  <c r="AX178" i="2"/>
  <c r="AN178" i="2"/>
  <c r="BF177" i="2"/>
  <c r="AY177" i="2" s="1"/>
  <c r="BH151" i="11"/>
  <c r="BC151" i="11"/>
  <c r="D153" i="11"/>
  <c r="AY153" i="11" s="1"/>
  <c r="BH152" i="11"/>
  <c r="D154" i="11"/>
  <c r="AY154" i="11" s="1"/>
  <c r="BC152" i="11"/>
  <c r="BG179" i="2"/>
  <c r="AW179" i="2" s="1"/>
  <c r="D181" i="2"/>
  <c r="BB179" i="2"/>
  <c r="BF176" i="2"/>
  <c r="AY176" i="2" s="1"/>
  <c r="D180" i="2"/>
  <c r="BG178" i="2"/>
  <c r="AW178" i="2" s="1"/>
  <c r="BB178" i="2"/>
  <c r="BG150" i="11" l="1"/>
  <c r="AZ150" i="11" s="1"/>
  <c r="BD180" i="2"/>
  <c r="BC180" i="2"/>
  <c r="BC181" i="2"/>
  <c r="BD181" i="2"/>
  <c r="BE152" i="11"/>
  <c r="BD152" i="11"/>
  <c r="BE151" i="11"/>
  <c r="BD151" i="11"/>
  <c r="BG151" i="11" s="1"/>
  <c r="AZ151" i="11" s="1"/>
  <c r="AX180" i="2"/>
  <c r="AN180" i="2"/>
  <c r="AX181" i="2"/>
  <c r="AN181" i="2"/>
  <c r="BF178" i="2"/>
  <c r="AY178" i="2" s="1"/>
  <c r="BH153" i="11"/>
  <c r="BC153" i="11"/>
  <c r="D155" i="11"/>
  <c r="AY155" i="11" s="1"/>
  <c r="BH154" i="11"/>
  <c r="D156" i="11"/>
  <c r="AY156" i="11" s="1"/>
  <c r="BC154" i="11"/>
  <c r="BG181" i="2"/>
  <c r="D183" i="2"/>
  <c r="AN183" i="2" s="1"/>
  <c r="BB181" i="2"/>
  <c r="BG180" i="2"/>
  <c r="AW180" i="2" s="1"/>
  <c r="BB180" i="2"/>
  <c r="D182" i="2"/>
  <c r="AN182" i="2" s="1"/>
  <c r="BF179" i="2"/>
  <c r="AY179" i="2" s="1"/>
  <c r="BG152" i="11" l="1"/>
  <c r="AZ152" i="11" s="1"/>
  <c r="AW181" i="2"/>
  <c r="BC182" i="2"/>
  <c r="BD182" i="2"/>
  <c r="BD183" i="2"/>
  <c r="BC183" i="2"/>
  <c r="BD154" i="11"/>
  <c r="BE154" i="11"/>
  <c r="BE153" i="11"/>
  <c r="BD153" i="11"/>
  <c r="AX182" i="2"/>
  <c r="AX183" i="2"/>
  <c r="BC155" i="11"/>
  <c r="D157" i="11"/>
  <c r="AY157" i="11" s="1"/>
  <c r="BH155" i="11"/>
  <c r="BH156" i="11"/>
  <c r="D158" i="11"/>
  <c r="AY158" i="11" s="1"/>
  <c r="BC156" i="11"/>
  <c r="D185" i="2"/>
  <c r="AN185" i="2" s="1"/>
  <c r="BG183" i="2"/>
  <c r="BB183" i="2"/>
  <c r="BB182" i="2"/>
  <c r="D184" i="2"/>
  <c r="AN184" i="2" s="1"/>
  <c r="BG182" i="2"/>
  <c r="AW182" i="2" s="1"/>
  <c r="BF181" i="2"/>
  <c r="AY181" i="2" s="1"/>
  <c r="BF180" i="2"/>
  <c r="AY180" i="2" s="1"/>
  <c r="BG154" i="11" l="1"/>
  <c r="AZ154" i="11" s="1"/>
  <c r="BG153" i="11"/>
  <c r="AZ153" i="11" s="1"/>
  <c r="AW183" i="2"/>
  <c r="BC184" i="2"/>
  <c r="BD184" i="2"/>
  <c r="BC185" i="2"/>
  <c r="BD185" i="2"/>
  <c r="BD156" i="11"/>
  <c r="BE156" i="11"/>
  <c r="BD155" i="11"/>
  <c r="BE155" i="11"/>
  <c r="AX184" i="2"/>
  <c r="AX185" i="2"/>
  <c r="BC157" i="11"/>
  <c r="D159" i="11"/>
  <c r="AY159" i="11" s="1"/>
  <c r="BH157" i="11"/>
  <c r="D160" i="11"/>
  <c r="AY160" i="11" s="1"/>
  <c r="BH158" i="11"/>
  <c r="BC158" i="11"/>
  <c r="D186" i="2"/>
  <c r="AN186" i="2" s="1"/>
  <c r="BG184" i="2"/>
  <c r="AW184" i="2" s="1"/>
  <c r="BB184" i="2"/>
  <c r="BF183" i="2"/>
  <c r="AY183" i="2" s="1"/>
  <c r="D187" i="2"/>
  <c r="AN187" i="2" s="1"/>
  <c r="BB185" i="2"/>
  <c r="BG185" i="2"/>
  <c r="BF182" i="2"/>
  <c r="AY182" i="2" s="1"/>
  <c r="BG156" i="11" l="1"/>
  <c r="AZ156" i="11" s="1"/>
  <c r="BG155" i="11"/>
  <c r="AZ155" i="11" s="1"/>
  <c r="AW185" i="2"/>
  <c r="BC187" i="2"/>
  <c r="BD187" i="2"/>
  <c r="BD186" i="2"/>
  <c r="BC186" i="2"/>
  <c r="BD157" i="11"/>
  <c r="BE157" i="11"/>
  <c r="BD158" i="11"/>
  <c r="BE158" i="11"/>
  <c r="AX187" i="2"/>
  <c r="AX186" i="2"/>
  <c r="D161" i="11"/>
  <c r="AY161" i="11" s="1"/>
  <c r="BC159" i="11"/>
  <c r="BH159" i="11"/>
  <c r="BC160" i="11"/>
  <c r="BH160" i="11"/>
  <c r="D162" i="11"/>
  <c r="AY162" i="11" s="1"/>
  <c r="BF185" i="2"/>
  <c r="AY185" i="2" s="1"/>
  <c r="BB186" i="2"/>
  <c r="BG186" i="2"/>
  <c r="AW186" i="2" s="1"/>
  <c r="D188" i="2"/>
  <c r="AN188" i="2" s="1"/>
  <c r="BB187" i="2"/>
  <c r="D189" i="2"/>
  <c r="AN189" i="2" s="1"/>
  <c r="BG187" i="2"/>
  <c r="BF184" i="2"/>
  <c r="AY184" i="2" s="1"/>
  <c r="BG158" i="11" l="1"/>
  <c r="AZ158" i="11" s="1"/>
  <c r="BG157" i="11"/>
  <c r="AZ157" i="11" s="1"/>
  <c r="AW187" i="2"/>
  <c r="BC188" i="2"/>
  <c r="BD188" i="2"/>
  <c r="BD189" i="2"/>
  <c r="BC189" i="2"/>
  <c r="BD160" i="11"/>
  <c r="BG160" i="11" s="1"/>
  <c r="AZ160" i="11" s="1"/>
  <c r="BE160" i="11"/>
  <c r="BD159" i="11"/>
  <c r="BE159" i="11"/>
  <c r="AX188" i="2"/>
  <c r="AX189" i="2"/>
  <c r="BH161" i="11"/>
  <c r="D163" i="11"/>
  <c r="AY163" i="11" s="1"/>
  <c r="BC161" i="11"/>
  <c r="BH162" i="11"/>
  <c r="D164" i="11"/>
  <c r="AY164" i="11" s="1"/>
  <c r="BC162" i="11"/>
  <c r="BF187" i="2"/>
  <c r="AY187" i="2" s="1"/>
  <c r="BF186" i="2"/>
  <c r="AY186" i="2" s="1"/>
  <c r="D191" i="2"/>
  <c r="AN191" i="2" s="1"/>
  <c r="BG189" i="2"/>
  <c r="BB189" i="2"/>
  <c r="D190" i="2"/>
  <c r="AN190" i="2" s="1"/>
  <c r="BB188" i="2"/>
  <c r="BG188" i="2"/>
  <c r="AW188" i="2" s="1"/>
  <c r="BG159" i="11" l="1"/>
  <c r="AZ159" i="11" s="1"/>
  <c r="AW189" i="2"/>
  <c r="BC191" i="2"/>
  <c r="BD191" i="2"/>
  <c r="BC190" i="2"/>
  <c r="BD190" i="2"/>
  <c r="BE162" i="11"/>
  <c r="BD162" i="11"/>
  <c r="BE161" i="11"/>
  <c r="BD161" i="11"/>
  <c r="BG161" i="11" s="1"/>
  <c r="AZ161" i="11" s="1"/>
  <c r="AX190" i="2"/>
  <c r="AX191" i="2"/>
  <c r="D165" i="11"/>
  <c r="AY165" i="11" s="1"/>
  <c r="BC163" i="11"/>
  <c r="BH163" i="11"/>
  <c r="BH164" i="11"/>
  <c r="BC164" i="11"/>
  <c r="D166" i="11"/>
  <c r="AY166" i="11" s="1"/>
  <c r="BF188" i="2"/>
  <c r="AY188" i="2" s="1"/>
  <c r="BG190" i="2"/>
  <c r="AW190" i="2" s="1"/>
  <c r="D192" i="2"/>
  <c r="AN192" i="2" s="1"/>
  <c r="BB190" i="2"/>
  <c r="D193" i="2"/>
  <c r="AN193" i="2" s="1"/>
  <c r="BB191" i="2"/>
  <c r="BG191" i="2"/>
  <c r="BF189" i="2"/>
  <c r="AY189" i="2" s="1"/>
  <c r="BG162" i="11" l="1"/>
  <c r="AZ162" i="11" s="1"/>
  <c r="AW191" i="2"/>
  <c r="BD192" i="2"/>
  <c r="BC192" i="2"/>
  <c r="BC193" i="2"/>
  <c r="BD193" i="2"/>
  <c r="BE164" i="11"/>
  <c r="BD164" i="11"/>
  <c r="BE163" i="11"/>
  <c r="BD163" i="11"/>
  <c r="AX193" i="2"/>
  <c r="AX192" i="2"/>
  <c r="D167" i="11"/>
  <c r="AY167" i="11" s="1"/>
  <c r="BH165" i="11"/>
  <c r="BC165" i="11"/>
  <c r="D168" i="11"/>
  <c r="AY168" i="11" s="1"/>
  <c r="BH166" i="11"/>
  <c r="BC166" i="11"/>
  <c r="BF191" i="2"/>
  <c r="AY191" i="2" s="1"/>
  <c r="BB192" i="2"/>
  <c r="D194" i="2"/>
  <c r="AN194" i="2" s="1"/>
  <c r="BG192" i="2"/>
  <c r="AW192" i="2" s="1"/>
  <c r="BB193" i="2"/>
  <c r="BG193" i="2"/>
  <c r="D195" i="2"/>
  <c r="AN195" i="2" s="1"/>
  <c r="BF190" i="2"/>
  <c r="AY190" i="2" s="1"/>
  <c r="BG164" i="11" l="1"/>
  <c r="AZ164" i="11" s="1"/>
  <c r="BG163" i="11"/>
  <c r="AZ163" i="11" s="1"/>
  <c r="AW193" i="2"/>
  <c r="BD195" i="2"/>
  <c r="BC195" i="2"/>
  <c r="BC194" i="2"/>
  <c r="BD194" i="2"/>
  <c r="BD166" i="11"/>
  <c r="BE166" i="11"/>
  <c r="BE165" i="11"/>
  <c r="BD165" i="11"/>
  <c r="BG165" i="11" s="1"/>
  <c r="AZ165" i="11" s="1"/>
  <c r="AX194" i="2"/>
  <c r="AX195" i="2"/>
  <c r="BH167" i="11"/>
  <c r="BC167" i="11"/>
  <c r="D169" i="11"/>
  <c r="AY169" i="11" s="1"/>
  <c r="BC168" i="11"/>
  <c r="D170" i="11"/>
  <c r="AY170" i="11" s="1"/>
  <c r="BH168" i="11"/>
  <c r="D196" i="2"/>
  <c r="AN196" i="2" s="1"/>
  <c r="BB194" i="2"/>
  <c r="BG194" i="2"/>
  <c r="AW194" i="2" s="1"/>
  <c r="D197" i="2"/>
  <c r="AN197" i="2" s="1"/>
  <c r="BG195" i="2"/>
  <c r="BB195" i="2"/>
  <c r="BF193" i="2"/>
  <c r="AY193" i="2" s="1"/>
  <c r="BF192" i="2"/>
  <c r="AY192" i="2" s="1"/>
  <c r="BG166" i="11" l="1"/>
  <c r="AZ166" i="11" s="1"/>
  <c r="AW195" i="2"/>
  <c r="BC197" i="2"/>
  <c r="BD197" i="2"/>
  <c r="BC196" i="2"/>
  <c r="BD196" i="2"/>
  <c r="BE167" i="11"/>
  <c r="BD167" i="11"/>
  <c r="BD168" i="11"/>
  <c r="BE168" i="11"/>
  <c r="AX196" i="2"/>
  <c r="AX197" i="2"/>
  <c r="BC169" i="11"/>
  <c r="D171" i="11"/>
  <c r="AY171" i="11" s="1"/>
  <c r="BH169" i="11"/>
  <c r="D172" i="11"/>
  <c r="AY172" i="11" s="1"/>
  <c r="BH170" i="11"/>
  <c r="BC170" i="11"/>
  <c r="BF195" i="2"/>
  <c r="AY195" i="2" s="1"/>
  <c r="D198" i="2"/>
  <c r="AN198" i="2" s="1"/>
  <c r="BG196" i="2"/>
  <c r="AW196" i="2" s="1"/>
  <c r="BB196" i="2"/>
  <c r="BF194" i="2"/>
  <c r="AY194" i="2" s="1"/>
  <c r="BB197" i="2"/>
  <c r="BG197" i="2"/>
  <c r="D199" i="2"/>
  <c r="AN199" i="2" s="1"/>
  <c r="BG167" i="11" l="1"/>
  <c r="AZ167" i="11" s="1"/>
  <c r="BG168" i="11"/>
  <c r="AZ168" i="11" s="1"/>
  <c r="AW197" i="2"/>
  <c r="BC199" i="2"/>
  <c r="BD199" i="2"/>
  <c r="BD198" i="2"/>
  <c r="BC198" i="2"/>
  <c r="BD170" i="11"/>
  <c r="BE170" i="11"/>
  <c r="BD169" i="11"/>
  <c r="BE169" i="11"/>
  <c r="AX198" i="2"/>
  <c r="AX199" i="2"/>
  <c r="BH171" i="11"/>
  <c r="BC171" i="11"/>
  <c r="D173" i="11"/>
  <c r="AY173" i="11" s="1"/>
  <c r="BH172" i="11"/>
  <c r="BC172" i="11"/>
  <c r="D174" i="11"/>
  <c r="AY174" i="11" s="1"/>
  <c r="BG198" i="2"/>
  <c r="AW198" i="2" s="1"/>
  <c r="D200" i="2"/>
  <c r="AN200" i="2" s="1"/>
  <c r="BB198" i="2"/>
  <c r="D201" i="2"/>
  <c r="AN201" i="2" s="1"/>
  <c r="BB199" i="2"/>
  <c r="BG199" i="2"/>
  <c r="BF196" i="2"/>
  <c r="AY196" i="2" s="1"/>
  <c r="BF197" i="2"/>
  <c r="AY197" i="2" s="1"/>
  <c r="BG169" i="11" l="1"/>
  <c r="AZ169" i="11" s="1"/>
  <c r="BG170" i="11"/>
  <c r="AZ170" i="11" s="1"/>
  <c r="AW199" i="2"/>
  <c r="BD201" i="2"/>
  <c r="BC201" i="2"/>
  <c r="BC200" i="2"/>
  <c r="BD200" i="2"/>
  <c r="BD172" i="11"/>
  <c r="BE172" i="11"/>
  <c r="BD171" i="11"/>
  <c r="BE171" i="11"/>
  <c r="AX201" i="2"/>
  <c r="AX200" i="2"/>
  <c r="D175" i="11"/>
  <c r="AY175" i="11" s="1"/>
  <c r="BC173" i="11"/>
  <c r="BH173" i="11"/>
  <c r="D176" i="11"/>
  <c r="AY176" i="11" s="1"/>
  <c r="BH174" i="11"/>
  <c r="BC174" i="11"/>
  <c r="BF199" i="2"/>
  <c r="AY199" i="2" s="1"/>
  <c r="BG201" i="2"/>
  <c r="D203" i="2"/>
  <c r="AN203" i="2" s="1"/>
  <c r="BB201" i="2"/>
  <c r="BG200" i="2"/>
  <c r="AW200" i="2" s="1"/>
  <c r="D202" i="2"/>
  <c r="AN202" i="2" s="1"/>
  <c r="BB200" i="2"/>
  <c r="BF198" i="2"/>
  <c r="AY198" i="2" s="1"/>
  <c r="BG171" i="11" l="1"/>
  <c r="AZ171" i="11" s="1"/>
  <c r="BG172" i="11"/>
  <c r="AZ172" i="11" s="1"/>
  <c r="AW201" i="2"/>
  <c r="BC202" i="2"/>
  <c r="BD202" i="2"/>
  <c r="BD203" i="2"/>
  <c r="BC203" i="2"/>
  <c r="BE174" i="11"/>
  <c r="BD174" i="11"/>
  <c r="BE173" i="11"/>
  <c r="BD173" i="11"/>
  <c r="AX203" i="2"/>
  <c r="AX202" i="2"/>
  <c r="BC175" i="11"/>
  <c r="D177" i="11"/>
  <c r="AY177" i="11" s="1"/>
  <c r="BH175" i="11"/>
  <c r="BC176" i="11"/>
  <c r="BH176" i="11"/>
  <c r="D178" i="11"/>
  <c r="AY178" i="11" s="1"/>
  <c r="BB202" i="2"/>
  <c r="BG202" i="2"/>
  <c r="AW202" i="2" s="1"/>
  <c r="D204" i="2"/>
  <c r="AN204" i="2" s="1"/>
  <c r="BG203" i="2"/>
  <c r="AW203" i="2" s="1"/>
  <c r="D205" i="2"/>
  <c r="AN205" i="2" s="1"/>
  <c r="BB203" i="2"/>
  <c r="BF200" i="2"/>
  <c r="AY200" i="2" s="1"/>
  <c r="BF201" i="2"/>
  <c r="AY201" i="2" s="1"/>
  <c r="BG173" i="11" l="1"/>
  <c r="AZ173" i="11" s="1"/>
  <c r="BG174" i="11"/>
  <c r="AZ174" i="11" s="1"/>
  <c r="BC205" i="2"/>
  <c r="BD205" i="2"/>
  <c r="BD204" i="2"/>
  <c r="BC204" i="2"/>
  <c r="BE176" i="11"/>
  <c r="BD176" i="11"/>
  <c r="BE175" i="11"/>
  <c r="BD175" i="11"/>
  <c r="BG175" i="11" s="1"/>
  <c r="AZ175" i="11" s="1"/>
  <c r="AX205" i="2"/>
  <c r="AX204" i="2"/>
  <c r="BC177" i="11"/>
  <c r="D179" i="11"/>
  <c r="AY179" i="11" s="1"/>
  <c r="BH177" i="11"/>
  <c r="D180" i="11"/>
  <c r="AY180" i="11" s="1"/>
  <c r="BH178" i="11"/>
  <c r="BC178" i="11"/>
  <c r="BG204" i="2"/>
  <c r="AW204" i="2" s="1"/>
  <c r="D206" i="2"/>
  <c r="AN206" i="2" s="1"/>
  <c r="BB204" i="2"/>
  <c r="BF202" i="2"/>
  <c r="AY202" i="2" s="1"/>
  <c r="BF203" i="2"/>
  <c r="AY203" i="2" s="1"/>
  <c r="BG205" i="2"/>
  <c r="D207" i="2"/>
  <c r="AN207" i="2" s="1"/>
  <c r="BB205" i="2"/>
  <c r="BG176" i="11" l="1"/>
  <c r="AZ176" i="11" s="1"/>
  <c r="AW205" i="2"/>
  <c r="BC207" i="2"/>
  <c r="BD207" i="2"/>
  <c r="BC206" i="2"/>
  <c r="BD206" i="2"/>
  <c r="BD178" i="11"/>
  <c r="BE178" i="11"/>
  <c r="BE177" i="11"/>
  <c r="BD177" i="11"/>
  <c r="BG177" i="11" s="1"/>
  <c r="AZ177" i="11" s="1"/>
  <c r="AX206" i="2"/>
  <c r="AX207" i="2"/>
  <c r="BG178" i="11"/>
  <c r="AZ178" i="11" s="1"/>
  <c r="D181" i="11"/>
  <c r="AY181" i="11" s="1"/>
  <c r="BC179" i="11"/>
  <c r="BH179" i="11"/>
  <c r="BH180" i="11"/>
  <c r="BC180" i="11"/>
  <c r="D182" i="11"/>
  <c r="AY182" i="11" s="1"/>
  <c r="BF205" i="2"/>
  <c r="AY205" i="2" s="1"/>
  <c r="BB206" i="2"/>
  <c r="BG206" i="2"/>
  <c r="AW206" i="2" s="1"/>
  <c r="D208" i="2"/>
  <c r="AN208" i="2" s="1"/>
  <c r="BG207" i="2"/>
  <c r="D209" i="2"/>
  <c r="AN209" i="2" s="1"/>
  <c r="BB207" i="2"/>
  <c r="BF204" i="2"/>
  <c r="AY204" i="2" s="1"/>
  <c r="AW207" i="2" l="1"/>
  <c r="BD209" i="2"/>
  <c r="BC209" i="2"/>
  <c r="BC208" i="2"/>
  <c r="BD208" i="2"/>
  <c r="BD180" i="11"/>
  <c r="BE180" i="11"/>
  <c r="BD179" i="11"/>
  <c r="BE179" i="11"/>
  <c r="AX208" i="2"/>
  <c r="AX209" i="2"/>
  <c r="D183" i="11"/>
  <c r="AY183" i="11" s="1"/>
  <c r="BH181" i="11"/>
  <c r="BC181" i="11"/>
  <c r="D184" i="11"/>
  <c r="AY184" i="11" s="1"/>
  <c r="BH182" i="11"/>
  <c r="BC182" i="11"/>
  <c r="BF206" i="2"/>
  <c r="AY206" i="2" s="1"/>
  <c r="BF207" i="2"/>
  <c r="AY207" i="2" s="1"/>
  <c r="D210" i="2"/>
  <c r="AN210" i="2" s="1"/>
  <c r="BG208" i="2"/>
  <c r="AW208" i="2" s="1"/>
  <c r="BB208" i="2"/>
  <c r="D211" i="2"/>
  <c r="AN211" i="2" s="1"/>
  <c r="BB209" i="2"/>
  <c r="BG209" i="2"/>
  <c r="BG179" i="11" l="1"/>
  <c r="AZ179" i="11" s="1"/>
  <c r="BG180" i="11"/>
  <c r="AZ180" i="11" s="1"/>
  <c r="AW209" i="2"/>
  <c r="BC211" i="2"/>
  <c r="BD211" i="2"/>
  <c r="BD210" i="2"/>
  <c r="BC210" i="2"/>
  <c r="BD182" i="11"/>
  <c r="BE182" i="11"/>
  <c r="BD181" i="11"/>
  <c r="BE181" i="11"/>
  <c r="AX211" i="2"/>
  <c r="AX210" i="2"/>
  <c r="BH183" i="11"/>
  <c r="BC183" i="11"/>
  <c r="D185" i="11"/>
  <c r="AY185" i="11" s="1"/>
  <c r="BC184" i="11"/>
  <c r="BH184" i="11"/>
  <c r="D186" i="11"/>
  <c r="AY186" i="11" s="1"/>
  <c r="BF209" i="2"/>
  <c r="AY209" i="2" s="1"/>
  <c r="BF208" i="2"/>
  <c r="AY208" i="2" s="1"/>
  <c r="BB210" i="2"/>
  <c r="BG210" i="2"/>
  <c r="AW210" i="2" s="1"/>
  <c r="D212" i="2"/>
  <c r="AN212" i="2" s="1"/>
  <c r="D213" i="2"/>
  <c r="AN213" i="2" s="1"/>
  <c r="BG211" i="2"/>
  <c r="BB211" i="2"/>
  <c r="BG182" i="11" l="1"/>
  <c r="AZ182" i="11" s="1"/>
  <c r="BG181" i="11"/>
  <c r="AZ181" i="11" s="1"/>
  <c r="AW211" i="2"/>
  <c r="BD213" i="2"/>
  <c r="BC213" i="2"/>
  <c r="BC212" i="2"/>
  <c r="BD212" i="2"/>
  <c r="BD184" i="11"/>
  <c r="BE184" i="11"/>
  <c r="BD183" i="11"/>
  <c r="BE183" i="11"/>
  <c r="AX213" i="2"/>
  <c r="AX212" i="2"/>
  <c r="D187" i="11"/>
  <c r="AY187" i="11" s="1"/>
  <c r="BC185" i="11"/>
  <c r="BH185" i="11"/>
  <c r="D188" i="11"/>
  <c r="AY188" i="11" s="1"/>
  <c r="BH186" i="11"/>
  <c r="BC186" i="11"/>
  <c r="BF210" i="2"/>
  <c r="AY210" i="2" s="1"/>
  <c r="BG213" i="2"/>
  <c r="AW213" i="2" s="1"/>
  <c r="D215" i="2"/>
  <c r="AN215" i="2" s="1"/>
  <c r="BB213" i="2"/>
  <c r="BF211" i="2"/>
  <c r="AY211" i="2" s="1"/>
  <c r="BB212" i="2"/>
  <c r="BG212" i="2"/>
  <c r="AW212" i="2" s="1"/>
  <c r="D214" i="2"/>
  <c r="AN214" i="2" s="1"/>
  <c r="BG184" i="11" l="1"/>
  <c r="AZ184" i="11" s="1"/>
  <c r="BG183" i="11"/>
  <c r="AZ183" i="11" s="1"/>
  <c r="BC214" i="2"/>
  <c r="BD214" i="2"/>
  <c r="BD215" i="2"/>
  <c r="BC215" i="2"/>
  <c r="BE186" i="11"/>
  <c r="BD186" i="11"/>
  <c r="BG186" i="11" s="1"/>
  <c r="AZ186" i="11" s="1"/>
  <c r="BE185" i="11"/>
  <c r="BD185" i="11"/>
  <c r="AX214" i="2"/>
  <c r="AX215" i="2"/>
  <c r="D189" i="11"/>
  <c r="AY189" i="11" s="1"/>
  <c r="BC187" i="11"/>
  <c r="BH187" i="11"/>
  <c r="BH188" i="11"/>
  <c r="BC188" i="11"/>
  <c r="D190" i="11"/>
  <c r="AY190" i="11" s="1"/>
  <c r="AZ3" i="11" s="1"/>
  <c r="BF212" i="2"/>
  <c r="AY212" i="2" s="1"/>
  <c r="BB215" i="2"/>
  <c r="BG215" i="2"/>
  <c r="D217" i="2"/>
  <c r="AN217" i="2" s="1"/>
  <c r="D216" i="2"/>
  <c r="AN216" i="2" s="1"/>
  <c r="BB214" i="2"/>
  <c r="BG214" i="2"/>
  <c r="AW214" i="2" s="1"/>
  <c r="BF213" i="2"/>
  <c r="AY213" i="2" s="1"/>
  <c r="AY3" i="11" l="1"/>
  <c r="BG185" i="11"/>
  <c r="AZ185" i="11" s="1"/>
  <c r="AW215" i="2"/>
  <c r="BC217" i="2"/>
  <c r="BD217" i="2"/>
  <c r="BD216" i="2"/>
  <c r="BC216" i="2"/>
  <c r="BE188" i="11"/>
  <c r="BD188" i="11"/>
  <c r="BE187" i="11"/>
  <c r="BD187" i="11"/>
  <c r="BJ9" i="11"/>
  <c r="BK9" i="11"/>
  <c r="AX216" i="2"/>
  <c r="AX217" i="2"/>
  <c r="D191" i="11"/>
  <c r="BH189" i="11"/>
  <c r="BC189" i="11"/>
  <c r="BH190" i="11"/>
  <c r="BC190" i="11"/>
  <c r="D192" i="11"/>
  <c r="BF214" i="2"/>
  <c r="AY214" i="2" s="1"/>
  <c r="BB217" i="2"/>
  <c r="BG217" i="2"/>
  <c r="D219" i="2"/>
  <c r="AN219" i="2" s="1"/>
  <c r="BF215" i="2"/>
  <c r="AY215" i="2" s="1"/>
  <c r="BG216" i="2"/>
  <c r="AW216" i="2" s="1"/>
  <c r="D218" i="2"/>
  <c r="AN218" i="2" s="1"/>
  <c r="BB216" i="2"/>
  <c r="BG187" i="11" l="1"/>
  <c r="AZ187" i="11" s="1"/>
  <c r="BG188" i="11"/>
  <c r="AZ188" i="11" s="1"/>
  <c r="AW217" i="2"/>
  <c r="BC218" i="2"/>
  <c r="BD218" i="2"/>
  <c r="BD219" i="2"/>
  <c r="BC219" i="2"/>
  <c r="BD190" i="11"/>
  <c r="BE190" i="11"/>
  <c r="BH192" i="11"/>
  <c r="BC192" i="11"/>
  <c r="BC191" i="11"/>
  <c r="BH191" i="11"/>
  <c r="BE189" i="11"/>
  <c r="BD189" i="11"/>
  <c r="AX219" i="2"/>
  <c r="AX218" i="2"/>
  <c r="D193" i="11"/>
  <c r="D194" i="11"/>
  <c r="BF216" i="2"/>
  <c r="AY216" i="2" s="1"/>
  <c r="BG218" i="2"/>
  <c r="AW218" i="2" s="1"/>
  <c r="BB218" i="2"/>
  <c r="D220" i="2"/>
  <c r="AN220" i="2" s="1"/>
  <c r="BF217" i="2"/>
  <c r="AY217" i="2" s="1"/>
  <c r="D221" i="2"/>
  <c r="AN221" i="2" s="1"/>
  <c r="BG219" i="2"/>
  <c r="AW219" i="2" s="1"/>
  <c r="BB219" i="2"/>
  <c r="BG190" i="11" l="1"/>
  <c r="AZ190" i="11" s="1"/>
  <c r="BG189" i="11"/>
  <c r="AZ189" i="11" s="1"/>
  <c r="BD221" i="2"/>
  <c r="BC221" i="2"/>
  <c r="BC220" i="2"/>
  <c r="BD220" i="2"/>
  <c r="BD192" i="11"/>
  <c r="BE192" i="11"/>
  <c r="BH194" i="11"/>
  <c r="BC194" i="11"/>
  <c r="BC193" i="11"/>
  <c r="BH193" i="11"/>
  <c r="BD191" i="11"/>
  <c r="BE191" i="11"/>
  <c r="AX220" i="2"/>
  <c r="AX221" i="2"/>
  <c r="D195" i="11"/>
  <c r="D196" i="11"/>
  <c r="BF218" i="2"/>
  <c r="AY218" i="2" s="1"/>
  <c r="BG221" i="2"/>
  <c r="BB221" i="2"/>
  <c r="D223" i="2"/>
  <c r="AN223" i="2" s="1"/>
  <c r="BF219" i="2"/>
  <c r="AY219" i="2" s="1"/>
  <c r="BB220" i="2"/>
  <c r="BG220" i="2"/>
  <c r="AW220" i="2" s="1"/>
  <c r="D222" i="2"/>
  <c r="AN222" i="2" s="1"/>
  <c r="BG192" i="11" l="1"/>
  <c r="BG191" i="11"/>
  <c r="AW221" i="2"/>
  <c r="BD222" i="2"/>
  <c r="BC222" i="2"/>
  <c r="BC223" i="2"/>
  <c r="BD223" i="2"/>
  <c r="BC195" i="11"/>
  <c r="BE193" i="11"/>
  <c r="BD193" i="11"/>
  <c r="BH195" i="11"/>
  <c r="BC196" i="11"/>
  <c r="BH196" i="11"/>
  <c r="BD194" i="11"/>
  <c r="BE194" i="11"/>
  <c r="AX223" i="2"/>
  <c r="AX222" i="2"/>
  <c r="D197" i="11"/>
  <c r="D198" i="11"/>
  <c r="D224" i="2"/>
  <c r="AN224" i="2" s="1"/>
  <c r="BB222" i="2"/>
  <c r="BG222" i="2"/>
  <c r="AW222" i="2" s="1"/>
  <c r="BF221" i="2"/>
  <c r="AY221" i="2" s="1"/>
  <c r="BG223" i="2"/>
  <c r="AW223" i="2" s="1"/>
  <c r="D225" i="2"/>
  <c r="AN225" i="2" s="1"/>
  <c r="BB223" i="2"/>
  <c r="BF220" i="2"/>
  <c r="AY220" i="2" s="1"/>
  <c r="BG193" i="11" l="1"/>
  <c r="BG194" i="11"/>
  <c r="BC224" i="2"/>
  <c r="BD224" i="2"/>
  <c r="BD225" i="2"/>
  <c r="BC225" i="2"/>
  <c r="BC197" i="11"/>
  <c r="BD195" i="11"/>
  <c r="BE195" i="11"/>
  <c r="BH197" i="11"/>
  <c r="BC198" i="11"/>
  <c r="BD196" i="11"/>
  <c r="BH198" i="11"/>
  <c r="BE196" i="11"/>
  <c r="AX225" i="2"/>
  <c r="AX224" i="2"/>
  <c r="D199" i="11"/>
  <c r="D200" i="11"/>
  <c r="BF222" i="2"/>
  <c r="AY222" i="2" s="1"/>
  <c r="D226" i="2"/>
  <c r="AN226" i="2" s="1"/>
  <c r="BB224" i="2"/>
  <c r="BG224" i="2"/>
  <c r="AW224" i="2" s="1"/>
  <c r="BB225" i="2"/>
  <c r="BG225" i="2"/>
  <c r="D227" i="2"/>
  <c r="AN227" i="2" s="1"/>
  <c r="BF223" i="2"/>
  <c r="AY223" i="2" s="1"/>
  <c r="BG196" i="11" l="1"/>
  <c r="BG195" i="11"/>
  <c r="AW225" i="2"/>
  <c r="BC226" i="2"/>
  <c r="BD226" i="2"/>
  <c r="BC227" i="2"/>
  <c r="BD227" i="2"/>
  <c r="BH200" i="11"/>
  <c r="BC200" i="11"/>
  <c r="BD198" i="11"/>
  <c r="BE198" i="11"/>
  <c r="BD197" i="11"/>
  <c r="BE197" i="11"/>
  <c r="BH199" i="11"/>
  <c r="BC199" i="11"/>
  <c r="AX226" i="2"/>
  <c r="AX227" i="2"/>
  <c r="D201" i="11"/>
  <c r="D202" i="11"/>
  <c r="D229" i="2"/>
  <c r="AN229" i="2" s="1"/>
  <c r="BB227" i="2"/>
  <c r="BG227" i="2"/>
  <c r="BF224" i="2"/>
  <c r="AY224" i="2" s="1"/>
  <c r="BF225" i="2"/>
  <c r="AY225" i="2" s="1"/>
  <c r="BG226" i="2"/>
  <c r="AW226" i="2" s="1"/>
  <c r="D228" i="2"/>
  <c r="AN228" i="2" s="1"/>
  <c r="BB226" i="2"/>
  <c r="BG198" i="11" l="1"/>
  <c r="BG197" i="11"/>
  <c r="AW227" i="2"/>
  <c r="BC229" i="2"/>
  <c r="BD229" i="2"/>
  <c r="BD228" i="2"/>
  <c r="BC228" i="2"/>
  <c r="BC202" i="11"/>
  <c r="BH202" i="11"/>
  <c r="BD200" i="11"/>
  <c r="BE200" i="11"/>
  <c r="BE199" i="11"/>
  <c r="BH201" i="11"/>
  <c r="BC201" i="11"/>
  <c r="BD199" i="11"/>
  <c r="AX229" i="2"/>
  <c r="AX228" i="2"/>
  <c r="D203" i="11"/>
  <c r="D204" i="11"/>
  <c r="BF226" i="2"/>
  <c r="AY226" i="2" s="1"/>
  <c r="BF227" i="2"/>
  <c r="AY227" i="2" s="1"/>
  <c r="BG229" i="2"/>
  <c r="AW229" i="2" s="1"/>
  <c r="BB229" i="2"/>
  <c r="D231" i="2"/>
  <c r="AN231" i="2" s="1"/>
  <c r="BB228" i="2"/>
  <c r="D230" i="2"/>
  <c r="AN230" i="2" s="1"/>
  <c r="BG228" i="2"/>
  <c r="AW228" i="2" s="1"/>
  <c r="BG199" i="11" l="1"/>
  <c r="BG200" i="11"/>
  <c r="BC230" i="2"/>
  <c r="BD230" i="2"/>
  <c r="BC231" i="2"/>
  <c r="BD231" i="2"/>
  <c r="BD202" i="11"/>
  <c r="BE202" i="11"/>
  <c r="BG202" i="11" s="1"/>
  <c r="BH204" i="11"/>
  <c r="BC204" i="11"/>
  <c r="BC203" i="11"/>
  <c r="BH203" i="11"/>
  <c r="BD201" i="11"/>
  <c r="BE201" i="11"/>
  <c r="AX230" i="2"/>
  <c r="AX231" i="2"/>
  <c r="D205" i="11"/>
  <c r="D206" i="11"/>
  <c r="BF229" i="2"/>
  <c r="AY229" i="2" s="1"/>
  <c r="BB230" i="2"/>
  <c r="BG230" i="2"/>
  <c r="AW230" i="2" s="1"/>
  <c r="D232" i="2"/>
  <c r="AN232" i="2" s="1"/>
  <c r="BF228" i="2"/>
  <c r="AY228" i="2" s="1"/>
  <c r="D233" i="2"/>
  <c r="BB231" i="2"/>
  <c r="BG231" i="2"/>
  <c r="BG201" i="11" l="1"/>
  <c r="AW231" i="2"/>
  <c r="AN233" i="2"/>
  <c r="AX233" i="2"/>
  <c r="BC232" i="2"/>
  <c r="BD232" i="2"/>
  <c r="BD233" i="2"/>
  <c r="BC233" i="2"/>
  <c r="BD204" i="11"/>
  <c r="BE204" i="11"/>
  <c r="BH206" i="11"/>
  <c r="BC206" i="11"/>
  <c r="BC205" i="11"/>
  <c r="BH205" i="11"/>
  <c r="BD203" i="11"/>
  <c r="BE203" i="11"/>
  <c r="AX232" i="2"/>
  <c r="D207" i="11"/>
  <c r="D208" i="11"/>
  <c r="BF230" i="2"/>
  <c r="AY230" i="2" s="1"/>
  <c r="D234" i="2"/>
  <c r="BB232" i="2"/>
  <c r="BG232" i="2"/>
  <c r="AW232" i="2" s="1"/>
  <c r="D235" i="2"/>
  <c r="BG233" i="2"/>
  <c r="BB233" i="2"/>
  <c r="BF231" i="2"/>
  <c r="AY231" i="2" s="1"/>
  <c r="BG204" i="11" l="1"/>
  <c r="BG203" i="11"/>
  <c r="AW233" i="2"/>
  <c r="AX234" i="2"/>
  <c r="AN234" i="2"/>
  <c r="AN235" i="2"/>
  <c r="BB235" i="2"/>
  <c r="AX235" i="2"/>
  <c r="BC235" i="2"/>
  <c r="BD235" i="2"/>
  <c r="BG235" i="2"/>
  <c r="AW235" i="2" s="1"/>
  <c r="BD234" i="2"/>
  <c r="BC234" i="2"/>
  <c r="BE205" i="11"/>
  <c r="BC207" i="11"/>
  <c r="BD205" i="11"/>
  <c r="BH207" i="11"/>
  <c r="BC208" i="11"/>
  <c r="BH208" i="11"/>
  <c r="BD206" i="11"/>
  <c r="BE206" i="11"/>
  <c r="D209" i="11"/>
  <c r="D210" i="11"/>
  <c r="BF232" i="2"/>
  <c r="AY232" i="2" s="1"/>
  <c r="D237" i="2"/>
  <c r="D236" i="2"/>
  <c r="BG234" i="2"/>
  <c r="AW234" i="2" s="1"/>
  <c r="BB234" i="2"/>
  <c r="BF233" i="2"/>
  <c r="AY233" i="2" s="1"/>
  <c r="BG205" i="11" l="1"/>
  <c r="BG206" i="11"/>
  <c r="BF235" i="2"/>
  <c r="AY235" i="2" s="1"/>
  <c r="AN237" i="2"/>
  <c r="BC237" i="2"/>
  <c r="BD237" i="2"/>
  <c r="BG237" i="2"/>
  <c r="BB237" i="2"/>
  <c r="AX237" i="2"/>
  <c r="AN236" i="2"/>
  <c r="AX236" i="2"/>
  <c r="BB236" i="2"/>
  <c r="BG236" i="2"/>
  <c r="AW236" i="2" s="1"/>
  <c r="BC236" i="2"/>
  <c r="BD236" i="2"/>
  <c r="BC210" i="11"/>
  <c r="BD208" i="11"/>
  <c r="BH210" i="11"/>
  <c r="BE208" i="11"/>
  <c r="BC209" i="11"/>
  <c r="BD207" i="11"/>
  <c r="BE207" i="11"/>
  <c r="BH209" i="11"/>
  <c r="D211" i="11"/>
  <c r="D212" i="11"/>
  <c r="D238" i="2"/>
  <c r="D239" i="2"/>
  <c r="BF234" i="2"/>
  <c r="AY234" i="2" s="1"/>
  <c r="BG208" i="11" l="1"/>
  <c r="BG207" i="11"/>
  <c r="AW237" i="2"/>
  <c r="BF237" i="2"/>
  <c r="AY237" i="2" s="1"/>
  <c r="BF236" i="2"/>
  <c r="AY236" i="2" s="1"/>
  <c r="BG238" i="2"/>
  <c r="AW238" i="2" s="1"/>
  <c r="AX238" i="2"/>
  <c r="BB238" i="2"/>
  <c r="BC238" i="2"/>
  <c r="BD238" i="2"/>
  <c r="AN238" i="2"/>
  <c r="BG239" i="2"/>
  <c r="BB239" i="2"/>
  <c r="BC239" i="2"/>
  <c r="AN239" i="2"/>
  <c r="BD239" i="2"/>
  <c r="AX239" i="2"/>
  <c r="BH212" i="11"/>
  <c r="BD210" i="11"/>
  <c r="BC212" i="11"/>
  <c r="BE210" i="11"/>
  <c r="BD209" i="11"/>
  <c r="BE209" i="11"/>
  <c r="BC211" i="11"/>
  <c r="BH211" i="11"/>
  <c r="D213" i="11"/>
  <c r="D214" i="11"/>
  <c r="D240" i="2"/>
  <c r="D241" i="2"/>
  <c r="BG210" i="11" l="1"/>
  <c r="BG209" i="11"/>
  <c r="AW239" i="2"/>
  <c r="BF238" i="2"/>
  <c r="AY238" i="2" s="1"/>
  <c r="BF239" i="2"/>
  <c r="AY239" i="2" s="1"/>
  <c r="BB241" i="2"/>
  <c r="AX241" i="2"/>
  <c r="BC241" i="2"/>
  <c r="BD241" i="2"/>
  <c r="BG241" i="2"/>
  <c r="AW241" i="2" s="1"/>
  <c r="AN241" i="2"/>
  <c r="BG240" i="2"/>
  <c r="AW240" i="2" s="1"/>
  <c r="AN240" i="2"/>
  <c r="BD240" i="2"/>
  <c r="BB240" i="2"/>
  <c r="BC240" i="2"/>
  <c r="AX240" i="2"/>
  <c r="BC214" i="11"/>
  <c r="BH214" i="11"/>
  <c r="BD212" i="11"/>
  <c r="BE212" i="11"/>
  <c r="BE211" i="11"/>
  <c r="BH213" i="11"/>
  <c r="BC213" i="11"/>
  <c r="BD211" i="11"/>
  <c r="BG211" i="11" s="1"/>
  <c r="D215" i="11"/>
  <c r="D216" i="11"/>
  <c r="D243" i="2"/>
  <c r="D242" i="2"/>
  <c r="BG212" i="11" l="1"/>
  <c r="BF241" i="2"/>
  <c r="AY241" i="2" s="1"/>
  <c r="BF240" i="2"/>
  <c r="AY240" i="2" s="1"/>
  <c r="BG242" i="2"/>
  <c r="AW242" i="2" s="1"/>
  <c r="BB242" i="2"/>
  <c r="BC242" i="2"/>
  <c r="AN242" i="2"/>
  <c r="BD242" i="2"/>
  <c r="AX242" i="2"/>
  <c r="AX243" i="2"/>
  <c r="BG243" i="2"/>
  <c r="AN243" i="2"/>
  <c r="BB243" i="2"/>
  <c r="BC243" i="2"/>
  <c r="BD243" i="2"/>
  <c r="BC215" i="11"/>
  <c r="BH215" i="11"/>
  <c r="BD213" i="11"/>
  <c r="BE213" i="11"/>
  <c r="BD214" i="11"/>
  <c r="BE214" i="11"/>
  <c r="BH216" i="11"/>
  <c r="BC216" i="11"/>
  <c r="BG214" i="11"/>
  <c r="D217" i="11"/>
  <c r="D218" i="11"/>
  <c r="D244" i="2"/>
  <c r="D245" i="2"/>
  <c r="BG213" i="11" l="1"/>
  <c r="AW243" i="2"/>
  <c r="BF242" i="2"/>
  <c r="AY242" i="2" s="1"/>
  <c r="AX245" i="2"/>
  <c r="BB245" i="2"/>
  <c r="AN245" i="2"/>
  <c r="BC245" i="2"/>
  <c r="BD245" i="2"/>
  <c r="BG245" i="2"/>
  <c r="AW245" i="2" s="1"/>
  <c r="BB244" i="2"/>
  <c r="BC244" i="2"/>
  <c r="BD244" i="2"/>
  <c r="AN244" i="2"/>
  <c r="BG244" i="2"/>
  <c r="AW244" i="2" s="1"/>
  <c r="AX244" i="2"/>
  <c r="BF243" i="2"/>
  <c r="AY243" i="2" s="1"/>
  <c r="BC217" i="11"/>
  <c r="BH217" i="11"/>
  <c r="BD215" i="11"/>
  <c r="BG215" i="11" s="1"/>
  <c r="BE215" i="11"/>
  <c r="BD216" i="11"/>
  <c r="BE216" i="11"/>
  <c r="BH218" i="11"/>
  <c r="BC218" i="11"/>
  <c r="D219" i="11"/>
  <c r="D220" i="11"/>
  <c r="D247" i="2"/>
  <c r="D246" i="2"/>
  <c r="BG216" i="11" l="1"/>
  <c r="BF244" i="2"/>
  <c r="AY244" i="2" s="1"/>
  <c r="BC246" i="2"/>
  <c r="AN246" i="2"/>
  <c r="BD246" i="2"/>
  <c r="BG246" i="2"/>
  <c r="AW246" i="2" s="1"/>
  <c r="BB246" i="2"/>
  <c r="AX246" i="2"/>
  <c r="AN247" i="2"/>
  <c r="BB247" i="2"/>
  <c r="BC247" i="2"/>
  <c r="BD247" i="2"/>
  <c r="AX247" i="2"/>
  <c r="BG247" i="2"/>
  <c r="BF245" i="2"/>
  <c r="AY245" i="2" s="1"/>
  <c r="BC220" i="11"/>
  <c r="BH220" i="11"/>
  <c r="BD218" i="11"/>
  <c r="BG218" i="11" s="1"/>
  <c r="BE218" i="11"/>
  <c r="BC219" i="11"/>
  <c r="BE217" i="11"/>
  <c r="BD217" i="11"/>
  <c r="BG217" i="11" s="1"/>
  <c r="BH219" i="11"/>
  <c r="D221" i="11"/>
  <c r="D222" i="11"/>
  <c r="D248" i="2"/>
  <c r="D249" i="2"/>
  <c r="BF246" i="2" l="1"/>
  <c r="AY246" i="2" s="1"/>
  <c r="AW247" i="2"/>
  <c r="BF247" i="2"/>
  <c r="AY247" i="2" s="1"/>
  <c r="BB248" i="2"/>
  <c r="BG248" i="2"/>
  <c r="AW248" i="2" s="1"/>
  <c r="BC248" i="2"/>
  <c r="AN248" i="2"/>
  <c r="BD248" i="2"/>
  <c r="AX248" i="2"/>
  <c r="BD249" i="2"/>
  <c r="BG249" i="2"/>
  <c r="AW249" i="2" s="1"/>
  <c r="AX249" i="2"/>
  <c r="AN249" i="2"/>
  <c r="BB249" i="2"/>
  <c r="BC249" i="2"/>
  <c r="BC222" i="11"/>
  <c r="BD220" i="11"/>
  <c r="BH222" i="11"/>
  <c r="BE220" i="11"/>
  <c r="BC221" i="11"/>
  <c r="BD219" i="11"/>
  <c r="BE219" i="11"/>
  <c r="BH221" i="11"/>
  <c r="D223" i="11"/>
  <c r="D224" i="11"/>
  <c r="D251" i="2"/>
  <c r="D250" i="2"/>
  <c r="BG219" i="11" l="1"/>
  <c r="BG220" i="11"/>
  <c r="BF249" i="2"/>
  <c r="AY249" i="2" s="1"/>
  <c r="BB250" i="2"/>
  <c r="BC250" i="2"/>
  <c r="BD250" i="2"/>
  <c r="BG250" i="2"/>
  <c r="AN250" i="2"/>
  <c r="AX250" i="2"/>
  <c r="AX251" i="2"/>
  <c r="BB251" i="2"/>
  <c r="BG251" i="2"/>
  <c r="AN251" i="2"/>
  <c r="BC251" i="2"/>
  <c r="BD251" i="2"/>
  <c r="BF248" i="2"/>
  <c r="AY248" i="2" s="1"/>
  <c r="BH224" i="11"/>
  <c r="BD222" i="11"/>
  <c r="BC224" i="11"/>
  <c r="BE222" i="11"/>
  <c r="BD221" i="11"/>
  <c r="BE221" i="11"/>
  <c r="BC223" i="11"/>
  <c r="BH223" i="11"/>
  <c r="D225" i="11"/>
  <c r="D226" i="11"/>
  <c r="D252" i="2"/>
  <c r="D253" i="2"/>
  <c r="BG222" i="11" l="1"/>
  <c r="BG221" i="11"/>
  <c r="BF251" i="2"/>
  <c r="AY251" i="2" s="1"/>
  <c r="AW251" i="2"/>
  <c r="AW250" i="2"/>
  <c r="AN253" i="2"/>
  <c r="BB253" i="2"/>
  <c r="BC253" i="2"/>
  <c r="BG253" i="2"/>
  <c r="AW253" i="2" s="1"/>
  <c r="BD253" i="2"/>
  <c r="AX253" i="2"/>
  <c r="BB252" i="2"/>
  <c r="BC252" i="2"/>
  <c r="BD252" i="2"/>
  <c r="BG252" i="2"/>
  <c r="AW252" i="2" s="1"/>
  <c r="AN252" i="2"/>
  <c r="AX252" i="2"/>
  <c r="BF250" i="2"/>
  <c r="AY250" i="2" s="1"/>
  <c r="BE223" i="11"/>
  <c r="BH225" i="11"/>
  <c r="BC225" i="11"/>
  <c r="BD223" i="11"/>
  <c r="BC226" i="11"/>
  <c r="BH226" i="11"/>
  <c r="BD224" i="11"/>
  <c r="BE224" i="11"/>
  <c r="D227" i="11"/>
  <c r="D228" i="11"/>
  <c r="D255" i="2"/>
  <c r="D254" i="2"/>
  <c r="BG224" i="11" l="1"/>
  <c r="BG223" i="11"/>
  <c r="BF252" i="2"/>
  <c r="AY252" i="2" s="1"/>
  <c r="BF253" i="2"/>
  <c r="AY253" i="2" s="1"/>
  <c r="BC254" i="2"/>
  <c r="BD254" i="2"/>
  <c r="AN254" i="2"/>
  <c r="BG254" i="2"/>
  <c r="AW254" i="2" s="1"/>
  <c r="BB254" i="2"/>
  <c r="AX254" i="2"/>
  <c r="AN255" i="2"/>
  <c r="BB255" i="2"/>
  <c r="BC255" i="2"/>
  <c r="BD255" i="2"/>
  <c r="BG255" i="2"/>
  <c r="AX255" i="2"/>
  <c r="BD226" i="11"/>
  <c r="BE226" i="11"/>
  <c r="BH228" i="11"/>
  <c r="BC228" i="11"/>
  <c r="BC227" i="11"/>
  <c r="BH227" i="11"/>
  <c r="BD225" i="11"/>
  <c r="BE225" i="11"/>
  <c r="D229" i="11"/>
  <c r="D230" i="11"/>
  <c r="D256" i="2"/>
  <c r="D257" i="2"/>
  <c r="BG225" i="11" l="1"/>
  <c r="BG226" i="11"/>
  <c r="BF254" i="2"/>
  <c r="AY254" i="2" s="1"/>
  <c r="AW255" i="2"/>
  <c r="BF255" i="2"/>
  <c r="AY255" i="2" s="1"/>
  <c r="BD256" i="2"/>
  <c r="BG256" i="2"/>
  <c r="AW256" i="2" s="1"/>
  <c r="AN256" i="2"/>
  <c r="BB256" i="2"/>
  <c r="BC256" i="2"/>
  <c r="AX256" i="2"/>
  <c r="BB257" i="2"/>
  <c r="BC257" i="2"/>
  <c r="BD257" i="2"/>
  <c r="AN257" i="2"/>
  <c r="BG257" i="2"/>
  <c r="AX257" i="2"/>
  <c r="BD228" i="11"/>
  <c r="BE228" i="11"/>
  <c r="BH230" i="11"/>
  <c r="BC230" i="11"/>
  <c r="BC229" i="11"/>
  <c r="BH229" i="11"/>
  <c r="BD227" i="11"/>
  <c r="BE227" i="11"/>
  <c r="D231" i="11"/>
  <c r="D232" i="11"/>
  <c r="D259" i="2"/>
  <c r="D258" i="2"/>
  <c r="BG227" i="11" l="1"/>
  <c r="BG228" i="11"/>
  <c r="AW257" i="2"/>
  <c r="BF257" i="2"/>
  <c r="AY257" i="2" s="1"/>
  <c r="BG258" i="2"/>
  <c r="AW258" i="2" s="1"/>
  <c r="AN258" i="2"/>
  <c r="BD258" i="2"/>
  <c r="BB258" i="2"/>
  <c r="BC258" i="2"/>
  <c r="AX258" i="2"/>
  <c r="BB259" i="2"/>
  <c r="BC259" i="2"/>
  <c r="BD259" i="2"/>
  <c r="BG259" i="2"/>
  <c r="AW259" i="2" s="1"/>
  <c r="AN259" i="2"/>
  <c r="AX259" i="2"/>
  <c r="BF256" i="2"/>
  <c r="AY256" i="2" s="1"/>
  <c r="BC231" i="11"/>
  <c r="BE229" i="11"/>
  <c r="BD229" i="11"/>
  <c r="BH231" i="11"/>
  <c r="BC232" i="11"/>
  <c r="BH232" i="11"/>
  <c r="BE230" i="11"/>
  <c r="BD230" i="11"/>
  <c r="D233" i="11"/>
  <c r="D234" i="11"/>
  <c r="D260" i="2"/>
  <c r="D261" i="2"/>
  <c r="BG229" i="11" l="1"/>
  <c r="BG230" i="11"/>
  <c r="BF259" i="2"/>
  <c r="AY259" i="2" s="1"/>
  <c r="BF258" i="2"/>
  <c r="AY258" i="2" s="1"/>
  <c r="BB261" i="2"/>
  <c r="BC261" i="2"/>
  <c r="BD261" i="2"/>
  <c r="BG261" i="2"/>
  <c r="AN261" i="2"/>
  <c r="AX261" i="2"/>
  <c r="BD260" i="2"/>
  <c r="BB260" i="2"/>
  <c r="BC260" i="2"/>
  <c r="AN260" i="2"/>
  <c r="BG260" i="2"/>
  <c r="AW260" i="2" s="1"/>
  <c r="AX260" i="2"/>
  <c r="BC234" i="11"/>
  <c r="BD232" i="11"/>
  <c r="BH234" i="11"/>
  <c r="BE232" i="11"/>
  <c r="BC233" i="11"/>
  <c r="BD231" i="11"/>
  <c r="BE231" i="11"/>
  <c r="BH233" i="11"/>
  <c r="D235" i="11"/>
  <c r="D236" i="11"/>
  <c r="D263" i="2"/>
  <c r="D262" i="2"/>
  <c r="BG232" i="11" l="1"/>
  <c r="BG231" i="11"/>
  <c r="AW261" i="2"/>
  <c r="BB262" i="2"/>
  <c r="BC262" i="2"/>
  <c r="BD262" i="2"/>
  <c r="AN262" i="2"/>
  <c r="BG262" i="2"/>
  <c r="AW262" i="2" s="1"/>
  <c r="AX262" i="2"/>
  <c r="BC263" i="2"/>
  <c r="BD263" i="2"/>
  <c r="BG263" i="2"/>
  <c r="AN263" i="2"/>
  <c r="BB263" i="2"/>
  <c r="AX263" i="2"/>
  <c r="BF260" i="2"/>
  <c r="AY260" i="2" s="1"/>
  <c r="BF261" i="2"/>
  <c r="AY261" i="2" s="1"/>
  <c r="BH236" i="11"/>
  <c r="BD234" i="11"/>
  <c r="BC236" i="11"/>
  <c r="BE234" i="11"/>
  <c r="BD233" i="11"/>
  <c r="BE233" i="11"/>
  <c r="BC235" i="11"/>
  <c r="BH235" i="11"/>
  <c r="D237" i="11"/>
  <c r="D238" i="11"/>
  <c r="D264" i="2"/>
  <c r="D265" i="2"/>
  <c r="BG234" i="11" l="1"/>
  <c r="BG233" i="11"/>
  <c r="AW263" i="2"/>
  <c r="BD265" i="2"/>
  <c r="AN265" i="2"/>
  <c r="BG265" i="2"/>
  <c r="BB265" i="2"/>
  <c r="BC265" i="2"/>
  <c r="AX265" i="2"/>
  <c r="BB264" i="2"/>
  <c r="BC264" i="2"/>
  <c r="BG264" i="2"/>
  <c r="AW264" i="2" s="1"/>
  <c r="AN264" i="2"/>
  <c r="BD264" i="2"/>
  <c r="AX264" i="2"/>
  <c r="BF262" i="2"/>
  <c r="AY262" i="2" s="1"/>
  <c r="BF263" i="2"/>
  <c r="AY263" i="2" s="1"/>
  <c r="BE235" i="11"/>
  <c r="BH237" i="11"/>
  <c r="BC237" i="11"/>
  <c r="BD235" i="11"/>
  <c r="BC238" i="11"/>
  <c r="BH238" i="11"/>
  <c r="BD236" i="11"/>
  <c r="BE236" i="11"/>
  <c r="D239" i="11"/>
  <c r="D240" i="11"/>
  <c r="D267" i="2"/>
  <c r="D266" i="2"/>
  <c r="BG235" i="11" l="1"/>
  <c r="BG236" i="11"/>
  <c r="BF264" i="2"/>
  <c r="AY264" i="2" s="1"/>
  <c r="BF265" i="2"/>
  <c r="AY265" i="2" s="1"/>
  <c r="AN266" i="2"/>
  <c r="BB266" i="2"/>
  <c r="BC266" i="2"/>
  <c r="BD266" i="2"/>
  <c r="BG266" i="2"/>
  <c r="AW266" i="2" s="1"/>
  <c r="AX266" i="2"/>
  <c r="AW265" i="2"/>
  <c r="BG267" i="2"/>
  <c r="AW267" i="2" s="1"/>
  <c r="AN267" i="2"/>
  <c r="BC267" i="2"/>
  <c r="BB267" i="2"/>
  <c r="BD267" i="2"/>
  <c r="AX267" i="2"/>
  <c r="BD238" i="11"/>
  <c r="BE238" i="11"/>
  <c r="BH240" i="11"/>
  <c r="BC240" i="11"/>
  <c r="BG240" i="11" s="1"/>
  <c r="BC239" i="11"/>
  <c r="BH239" i="11"/>
  <c r="BD237" i="11"/>
  <c r="BE237" i="11"/>
  <c r="D241" i="11"/>
  <c r="D268" i="2"/>
  <c r="D269" i="2"/>
  <c r="BG237" i="11" l="1"/>
  <c r="BG238" i="11"/>
  <c r="BF266" i="2"/>
  <c r="AY266" i="2" s="1"/>
  <c r="BG269" i="2"/>
  <c r="AN269" i="2"/>
  <c r="BC269" i="2"/>
  <c r="BD269" i="2"/>
  <c r="BB269" i="2"/>
  <c r="AX269" i="2"/>
  <c r="BB268" i="2"/>
  <c r="BC268" i="2"/>
  <c r="AN268" i="2"/>
  <c r="BD268" i="2"/>
  <c r="BG268" i="2"/>
  <c r="AW268" i="2" s="1"/>
  <c r="AX268" i="2"/>
  <c r="BF267" i="2"/>
  <c r="AY267" i="2" s="1"/>
  <c r="BC241" i="11"/>
  <c r="BG241" i="11" s="1"/>
  <c r="BH241" i="11"/>
  <c r="BD239" i="11"/>
  <c r="BE239" i="11"/>
  <c r="D271" i="2"/>
  <c r="D270" i="2"/>
  <c r="BG239" i="11" l="1"/>
  <c r="BF269" i="2"/>
  <c r="AY269" i="2" s="1"/>
  <c r="AW269" i="2"/>
  <c r="BB270" i="2"/>
  <c r="BC270" i="2"/>
  <c r="BD270" i="2"/>
  <c r="AN270" i="2"/>
  <c r="BG270" i="2"/>
  <c r="AW270" i="2" s="1"/>
  <c r="AX270" i="2"/>
  <c r="BG271" i="2"/>
  <c r="AW271" i="2" s="1"/>
  <c r="AN271" i="2"/>
  <c r="BC271" i="2"/>
  <c r="BB271" i="2"/>
  <c r="BD271" i="2"/>
  <c r="AX271" i="2"/>
  <c r="BF268" i="2"/>
  <c r="AY268" i="2" s="1"/>
  <c r="D272" i="2"/>
  <c r="D273" i="2"/>
  <c r="BF271" i="2" l="1"/>
  <c r="AY271" i="2" s="1"/>
  <c r="BB272" i="2"/>
  <c r="BC272" i="2"/>
  <c r="BD272" i="2"/>
  <c r="BG272" i="2"/>
  <c r="AW272" i="2" s="1"/>
  <c r="AN272" i="2"/>
  <c r="AX272" i="2"/>
  <c r="BG273" i="2"/>
  <c r="AW273" i="2" s="1"/>
  <c r="BB273" i="2"/>
  <c r="BC273" i="2"/>
  <c r="BD273" i="2"/>
  <c r="AN273" i="2"/>
  <c r="AX273" i="2"/>
  <c r="BF270" i="2"/>
  <c r="AY270" i="2" s="1"/>
  <c r="D275" i="2"/>
  <c r="BG275" i="2" s="1"/>
  <c r="D274" i="2"/>
  <c r="BF273" i="2" l="1"/>
  <c r="AY273" i="2" s="1"/>
  <c r="AN275" i="2"/>
  <c r="AY275" i="2"/>
  <c r="AX275" i="2"/>
  <c r="AN274" i="2"/>
  <c r="BC274" i="2"/>
  <c r="BD274" i="2"/>
  <c r="BG274" i="2"/>
  <c r="AW275" i="2" s="1"/>
  <c r="BB274" i="2"/>
  <c r="AX274" i="2"/>
  <c r="BF272" i="2"/>
  <c r="AY272" i="2" s="1"/>
  <c r="D276" i="2"/>
  <c r="BG276" i="2" s="1"/>
  <c r="D277" i="2"/>
  <c r="BG277" i="2" s="1"/>
  <c r="BF274" i="2" l="1"/>
  <c r="AY274" i="2" s="1"/>
  <c r="AW277" i="2"/>
  <c r="AW276" i="2"/>
  <c r="AN277" i="2"/>
  <c r="AY277" i="2"/>
  <c r="AX277" i="2"/>
  <c r="AN276" i="2"/>
  <c r="AY276" i="2"/>
  <c r="AX276" i="2"/>
  <c r="AW274" i="2"/>
  <c r="D279" i="2"/>
  <c r="BG279" i="2" s="1"/>
  <c r="D278" i="2"/>
  <c r="BG278" i="2" s="1"/>
  <c r="AW278" i="2" s="1"/>
  <c r="AW279" i="2" l="1"/>
  <c r="AN278" i="2"/>
  <c r="AY278" i="2"/>
  <c r="AX278" i="2"/>
  <c r="AN279" i="2"/>
  <c r="AY279" i="2"/>
  <c r="AX279" i="2"/>
  <c r="D280" i="2"/>
  <c r="BG280" i="2" s="1"/>
  <c r="AW280" i="2" s="1"/>
  <c r="D281" i="2"/>
  <c r="BG281" i="2" s="1"/>
  <c r="AW281" i="2" l="1"/>
  <c r="AN281" i="2"/>
  <c r="AY281" i="2"/>
  <c r="AX281" i="2"/>
  <c r="AN280" i="2"/>
  <c r="AY280" i="2"/>
  <c r="AX280" i="2"/>
  <c r="D283" i="2"/>
  <c r="D282" i="2"/>
  <c r="BG282" i="2" l="1"/>
  <c r="AW282" i="2" s="1"/>
  <c r="AY282" i="2"/>
  <c r="AX282" i="2"/>
  <c r="BG283" i="2"/>
  <c r="AW283" i="2" s="1"/>
  <c r="AY283" i="2"/>
  <c r="AX283" i="2"/>
  <c r="AN282" i="2"/>
  <c r="AN283" i="2"/>
  <c r="D284" i="2"/>
  <c r="D285" i="2"/>
  <c r="BG285" i="2" l="1"/>
  <c r="D287" i="2"/>
  <c r="AY285" i="2"/>
  <c r="AX285" i="2"/>
  <c r="BG284" i="2"/>
  <c r="AW284" i="2" s="1"/>
  <c r="AY284" i="2"/>
  <c r="D286" i="2"/>
  <c r="AX284" i="2"/>
  <c r="AN285" i="2"/>
  <c r="AN284" i="2"/>
  <c r="G47" i="18"/>
  <c r="D288" i="2" l="1"/>
  <c r="BG286" i="2"/>
  <c r="AN286" i="2"/>
  <c r="AY286" i="2"/>
  <c r="AX286" i="2"/>
  <c r="D289" i="2"/>
  <c r="BG287" i="2"/>
  <c r="AW287" i="2" s="1"/>
  <c r="AY287" i="2"/>
  <c r="AN287" i="2"/>
  <c r="AX287" i="2"/>
  <c r="AW285" i="2"/>
  <c r="BG289" i="2" l="1"/>
  <c r="AY289" i="2"/>
  <c r="D291" i="2"/>
  <c r="AN289" i="2"/>
  <c r="AX289" i="2"/>
  <c r="AW286" i="2"/>
  <c r="BG288" i="2"/>
  <c r="AW288" i="2" s="1"/>
  <c r="AY288" i="2"/>
  <c r="D290" i="2"/>
  <c r="AN288" i="2"/>
  <c r="AX288" i="2"/>
  <c r="BG290" i="2" l="1"/>
  <c r="AW290" i="2" s="1"/>
  <c r="AY290" i="2"/>
  <c r="AN290" i="2"/>
  <c r="D292" i="2"/>
  <c r="AX290" i="2"/>
  <c r="BG291" i="2"/>
  <c r="AW291" i="2" s="1"/>
  <c r="AY291" i="2"/>
  <c r="AX291" i="2"/>
  <c r="D293" i="2"/>
  <c r="AN291" i="2"/>
  <c r="AW289" i="2"/>
  <c r="BG292" i="2" l="1"/>
  <c r="AW292" i="2" s="1"/>
  <c r="AY292" i="2"/>
  <c r="AX292" i="2"/>
  <c r="D294" i="2"/>
  <c r="AN292" i="2"/>
  <c r="BG293" i="2"/>
  <c r="AW293" i="2" s="1"/>
  <c r="AY293" i="2"/>
  <c r="AN293" i="2"/>
  <c r="D295" i="2"/>
  <c r="AX293" i="2"/>
  <c r="BG294" i="2" l="1"/>
  <c r="AW294" i="2" s="1"/>
  <c r="AY294" i="2"/>
  <c r="D296" i="2"/>
  <c r="AN294" i="2"/>
  <c r="AX294" i="2"/>
  <c r="BG295" i="2"/>
  <c r="AW295" i="2" s="1"/>
  <c r="D297" i="2"/>
  <c r="AY295" i="2"/>
  <c r="AN295" i="2"/>
  <c r="AX295" i="2"/>
  <c r="BG296" i="2" l="1"/>
  <c r="AW296" i="2" s="1"/>
  <c r="D298" i="2"/>
  <c r="AX296" i="2"/>
  <c r="AN296" i="2"/>
  <c r="AY296" i="2"/>
  <c r="AN297" i="2"/>
  <c r="BG297" i="2"/>
  <c r="AW297" i="2" s="1"/>
  <c r="AX297" i="2"/>
  <c r="D299" i="2"/>
  <c r="AY297" i="2"/>
  <c r="D301" i="2" l="1"/>
  <c r="BG299" i="2"/>
  <c r="AN299" i="2"/>
  <c r="AX299" i="2"/>
  <c r="AY299" i="2"/>
  <c r="AY298" i="2"/>
  <c r="BG298" i="2"/>
  <c r="AW298" i="2" s="1"/>
  <c r="AX298" i="2"/>
  <c r="AN298" i="2"/>
  <c r="D300" i="2"/>
  <c r="AW299" i="2" l="1"/>
  <c r="BG300" i="2"/>
  <c r="AW300" i="2" s="1"/>
  <c r="AY300" i="2"/>
  <c r="AN300" i="2"/>
  <c r="AX300" i="2"/>
  <c r="D302" i="2"/>
  <c r="BG301" i="2"/>
  <c r="AW301" i="2" s="1"/>
  <c r="AX301" i="2"/>
  <c r="D303" i="2"/>
  <c r="AY301" i="2"/>
  <c r="AN301" i="2"/>
  <c r="BG303" i="2" l="1"/>
  <c r="AN303" i="2"/>
  <c r="AY303" i="2"/>
  <c r="D305" i="2"/>
  <c r="AX303" i="2"/>
  <c r="BG302" i="2"/>
  <c r="AW302" i="2" s="1"/>
  <c r="D304" i="2"/>
  <c r="AN302" i="2"/>
  <c r="AX302" i="2"/>
  <c r="AY302" i="2"/>
  <c r="AW303" i="2" l="1"/>
  <c r="BG304" i="2"/>
  <c r="AW304" i="2" s="1"/>
  <c r="D306" i="2"/>
  <c r="AN304" i="2"/>
  <c r="AX304" i="2"/>
  <c r="AY304" i="2"/>
  <c r="BG305" i="2"/>
  <c r="AW305" i="2" s="1"/>
  <c r="D307" i="2"/>
  <c r="AY305" i="2"/>
  <c r="AN305" i="2"/>
  <c r="AX305" i="2"/>
  <c r="BG307" i="2" l="1"/>
  <c r="D309" i="2"/>
  <c r="AX307" i="2"/>
  <c r="AY307" i="2"/>
  <c r="AN307" i="2"/>
  <c r="BG306" i="2"/>
  <c r="AW306" i="2" s="1"/>
  <c r="AX306" i="2"/>
  <c r="D308" i="2"/>
  <c r="D310" i="2" s="1"/>
  <c r="BG310" i="2" s="1"/>
  <c r="AN306" i="2"/>
  <c r="AY306" i="2"/>
  <c r="AN310" i="2" l="1"/>
  <c r="AY310" i="2"/>
  <c r="AX310" i="2"/>
  <c r="D312" i="2"/>
  <c r="BG312" i="2" s="1"/>
  <c r="D311" i="2"/>
  <c r="BG311" i="2" s="1"/>
  <c r="AN309" i="2"/>
  <c r="AW307" i="2"/>
  <c r="AY308" i="2"/>
  <c r="BG308" i="2"/>
  <c r="AW308" i="2" s="1"/>
  <c r="AX308" i="2"/>
  <c r="AN308" i="2"/>
  <c r="AX309" i="2"/>
  <c r="BG309" i="2"/>
  <c r="AY309" i="2"/>
  <c r="AY311" i="2" l="1"/>
  <c r="AN311" i="2"/>
  <c r="AX311" i="2"/>
  <c r="D313" i="2"/>
  <c r="BG313" i="2" s="1"/>
  <c r="AW313" i="2" s="1"/>
  <c r="AX312" i="2"/>
  <c r="AY312" i="2"/>
  <c r="AN312" i="2"/>
  <c r="D314" i="2"/>
  <c r="AW309" i="2"/>
  <c r="AW310" i="2"/>
  <c r="AW312" i="2"/>
  <c r="AW311" i="2"/>
  <c r="D316" i="2" l="1"/>
  <c r="AX314" i="2"/>
  <c r="AY314" i="2"/>
  <c r="AN314" i="2"/>
  <c r="BG314" i="2"/>
  <c r="AW314" i="2" s="1"/>
  <c r="AX313" i="2"/>
  <c r="AN313" i="2"/>
  <c r="D315" i="2"/>
  <c r="AY313" i="2"/>
  <c r="D317" i="2" l="1"/>
  <c r="AY315" i="2"/>
  <c r="AN315" i="2"/>
  <c r="AX315" i="2"/>
  <c r="BG315" i="2"/>
  <c r="AW315" i="2" s="1"/>
  <c r="D318" i="2"/>
  <c r="AX316" i="2"/>
  <c r="BG316" i="2"/>
  <c r="AW316" i="2" s="1"/>
  <c r="AY316" i="2"/>
  <c r="AN316" i="2"/>
  <c r="D320" i="2" l="1"/>
  <c r="AX318" i="2"/>
  <c r="BG318" i="2"/>
  <c r="AY318" i="2"/>
  <c r="AN318" i="2"/>
  <c r="AY317" i="2"/>
  <c r="BG317" i="2"/>
  <c r="AW317" i="2" s="1"/>
  <c r="AX317" i="2"/>
  <c r="D319" i="2"/>
  <c r="AN317" i="2"/>
  <c r="D321" i="2" l="1"/>
  <c r="BG319" i="2"/>
  <c r="AW319" i="2" s="1"/>
  <c r="AX319" i="2"/>
  <c r="AY319" i="2"/>
  <c r="AN319" i="2"/>
  <c r="AW318" i="2"/>
  <c r="AY320" i="2"/>
  <c r="AN320" i="2"/>
  <c r="AX320" i="2"/>
  <c r="D322" i="2"/>
  <c r="BG320" i="2"/>
  <c r="AW320" i="2" s="1"/>
  <c r="D324" i="2" l="1"/>
  <c r="BG322" i="2"/>
  <c r="AN322" i="2"/>
  <c r="AY322" i="2"/>
  <c r="AX322" i="2"/>
  <c r="D323" i="2"/>
  <c r="AX321" i="2"/>
  <c r="AY321" i="2"/>
  <c r="AN321" i="2"/>
  <c r="BG321" i="2"/>
  <c r="AW321" i="2" s="1"/>
  <c r="AW322" i="2" l="1"/>
  <c r="AY323" i="2"/>
  <c r="BG323" i="2"/>
  <c r="AW323" i="2" s="1"/>
  <c r="AN323" i="2"/>
  <c r="AX323" i="2"/>
  <c r="AN324" i="2"/>
  <c r="AX324" i="2"/>
  <c r="AY324" i="2"/>
  <c r="BG324" i="2"/>
  <c r="AW324" i="2" s="1"/>
  <c r="AX3" i="2" l="1"/>
  <c r="AY3" i="2"/>
  <c r="AW32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tc={92757D54-6FB3-4CF6-B42B-677AE877132F}</author>
    <author>tc={67F63330-48C6-4C2E-996D-A878E79FCCB0}</author>
    <author>tc={D5A89665-001C-4EB3-A2ED-A97FEFEB0E5A}</author>
    <author>tc={0765F5C8-7AEB-42E3-B0A1-5AF0665DA14C}</author>
    <author>tc={9B450259-319E-430B-84E8-39F533F3EB8D}</author>
    <author>tc={0C72AD0B-5610-4076-BD10-D909FE3EBFAF}</author>
  </authors>
  <commentList>
    <comment ref="E1" authorId="0" shapeId="0" xr:uid="{92757D54-6FB3-4CF6-B42B-677AE877132F}">
      <text>
        <t xml:space="preserve">[Threaded comment]
Your version of Excel allows you to read this threaded comment; however, any edits to it will get removed if the file is opened in a newer version of Excel. Learn more: https://go.microsoft.com/fwlink/?linkid=870924
Comment:
    New Tab adapted from other sheet, please fill out. </t>
      </text>
    </comment>
    <comment ref="EC6" authorId="1" shapeId="0" xr:uid="{67F63330-48C6-4C2E-996D-A878E79FCCB0}">
      <text>
        <t>[Threaded comment]
Your version of Excel allows you to read this threaded comment; however, any edits to it will get removed if the file is opened in a newer version of Excel. Learn more: https://go.microsoft.com/fwlink/?linkid=870924
Comment:
    Single shifting</t>
      </text>
    </comment>
    <comment ref="BA7" authorId="2" shapeId="0" xr:uid="{D5A89665-001C-4EB3-A2ED-A97FEFEB0E5A}">
      <text>
        <t xml:space="preserve">[Threaded comment]
Your version of Excel allows you to read this threaded comment; however, any edits to it will get removed if the file is opened in a newer version of Excel. Learn more: https://go.microsoft.com/fwlink/?linkid=870924
Comment:
    Text and formulas are a bad mix. This affects the calculations at the bottom of the sheet. I have added a macro to outline todays date to help user narrow in on column of interest. </t>
      </text>
    </comment>
    <comment ref="BC15" authorId="3" shapeId="0" xr:uid="{0765F5C8-7AEB-42E3-B0A1-5AF0665DA14C}">
      <text>
        <t xml:space="preserve">[Threaded comment]
Your version of Excel allows you to read this threaded comment; however, any edits to it will get removed if the file is opened in a newer version of Excel. Learn more: https://go.microsoft.com/fwlink/?linkid=870924
Comment:
    Text and formulas are a bad mix. This affects the calculations at the bottom of the sheet. I have added a macro to outline todays date to help user narrow in on column of interest. </t>
      </text>
    </comment>
    <comment ref="BD15" authorId="4" shapeId="0" xr:uid="{9B450259-319E-430B-84E8-39F533F3EB8D}">
      <text>
        <t xml:space="preserve">[Threaded comment]
Your version of Excel allows you to read this threaded comment; however, any edits to it will get removed if the file is opened in a newer version of Excel. Learn more: https://go.microsoft.com/fwlink/?linkid=870924
Comment:
    Text and formulas are a bad mix. This affects the calculations at the bottom of the sheet. I have added a macro to outline todays date to help user narrow in on column of interest. </t>
      </text>
    </comment>
    <comment ref="BI31" authorId="5" shapeId="0" xr:uid="{0C72AD0B-5610-4076-BD10-D909FE3EBFAF}">
      <text>
        <t xml:space="preserve">[Threaded comment]
Your version of Excel allows you to read this threaded comment; however, any edits to it will get removed if the file is opened in a newer version of Excel. Learn more: https://go.microsoft.com/fwlink/?linkid=870924
Comment:
    Text and formulas are a bad mix. This affects the calculations at the bottom of the sheet. I have added a macro to outline todays date to help user narrow in on column of interest.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 Pilote</author>
    <author>tc={BE5A6C25-3588-43F0-87AF-4FDC521E5720}</author>
  </authors>
  <commentList>
    <comment ref="N1" authorId="0" shapeId="0" xr:uid="{635A4C1E-D142-4E93-A4EB-E477006AA568}">
      <text>
        <r>
          <rPr>
            <b/>
            <sz val="9"/>
            <color indexed="81"/>
            <rFont val="Tahoma"/>
            <family val="2"/>
          </rPr>
          <t>Thomas Pilote:</t>
        </r>
        <r>
          <rPr>
            <sz val="9"/>
            <color indexed="81"/>
            <rFont val="Tahoma"/>
            <family val="2"/>
          </rPr>
          <t xml:space="preserve">
Won't charge us extra for the triple tube
</t>
        </r>
      </text>
    </comment>
    <comment ref="T1" authorId="0" shapeId="0" xr:uid="{8DC00E0C-78D3-46B0-8FDC-59748650E260}">
      <text>
        <r>
          <rPr>
            <b/>
            <sz val="9"/>
            <color indexed="81"/>
            <rFont val="Tahoma"/>
            <family val="2"/>
          </rPr>
          <t>Thomas Pilote:</t>
        </r>
        <r>
          <rPr>
            <sz val="9"/>
            <color indexed="81"/>
            <rFont val="Tahoma"/>
            <family val="2"/>
          </rPr>
          <t xml:space="preserve">
Won't charge us extra for the triple tube
</t>
        </r>
      </text>
    </comment>
    <comment ref="Y2" authorId="1" shapeId="0" xr:uid="{BE5A6C25-3588-43F0-87AF-4FDC521E5720}">
      <text>
        <t>[Threaded comment]
Your version of Excel allows you to read this threaded comment; however, any edits to it will get removed if the file is opened in a newer version of Excel. Learn more: https://go.microsoft.com/fwlink/?linkid=870924
Comment:
    make sure you fill down. check the cost against coreplan.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 Pilote</author>
    <author>tc={77E78FF3-997F-44C9-807D-9184CC3ED767}</author>
    <author>tc={5A6A296A-6613-4ECD-A7DA-C9A6B4D9AEF7}</author>
    <author>tc={A04DE335-C7A1-4044-A680-9FB5B8C95085}</author>
  </authors>
  <commentList>
    <comment ref="P2" authorId="0" shapeId="0" xr:uid="{90DA687C-5801-4D9C-B429-C002243EC725}">
      <text>
        <r>
          <rPr>
            <b/>
            <sz val="9"/>
            <color indexed="81"/>
            <rFont val="Tahoma"/>
            <family val="2"/>
          </rPr>
          <t>Thomas Pilote:</t>
        </r>
        <r>
          <rPr>
            <sz val="9"/>
            <color indexed="81"/>
            <rFont val="Tahoma"/>
            <family val="2"/>
          </rPr>
          <t xml:space="preserve">
Won't charge us extra for the triple tube
</t>
        </r>
      </text>
    </comment>
    <comment ref="V2" authorId="0" shapeId="0" xr:uid="{F34B57C8-804C-4277-B509-703E770846E1}">
      <text>
        <r>
          <rPr>
            <b/>
            <sz val="9"/>
            <color indexed="81"/>
            <rFont val="Tahoma"/>
            <family val="2"/>
          </rPr>
          <t>Thomas Pilote:</t>
        </r>
        <r>
          <rPr>
            <sz val="9"/>
            <color indexed="81"/>
            <rFont val="Tahoma"/>
            <family val="2"/>
          </rPr>
          <t xml:space="preserve">
Won't charge us extra for the triple tube
</t>
        </r>
      </text>
    </comment>
    <comment ref="AO2" authorId="1" shapeId="0" xr:uid="{77E78FF3-997F-44C9-807D-9184CC3ED767}">
      <text>
        <t xml:space="preserve">[Threaded comment]
Your version of Excel allows you to read this threaded comment; however, any edits to it will get removed if the file is opened in a newer version of Excel. Learn more: https://go.microsoft.com/fwlink/?linkid=870924
Comment:
    NEW Column, please fill
</t>
      </text>
    </comment>
    <comment ref="Y3" authorId="2" shapeId="0" xr:uid="{5A6A296A-6613-4ECD-A7DA-C9A6B4D9AEF7}">
      <text>
        <t>[Threaded comment]
Your version of Excel allows you to read this threaded comment; however, any edits to it will get removed if the file is opened in a newer version of Excel. Learn more: https://go.microsoft.com/fwlink/?linkid=870924
Comment:
    make sure you fill down. check the cost against coreplan.</t>
      </text>
    </comment>
    <comment ref="C5" authorId="3" shapeId="0" xr:uid="{A04DE335-C7A1-4044-A680-9FB5B8C95085}">
      <text>
        <t>[Threaded comment]
Your version of Excel allows you to read this threaded comment; however, any edits to it will get removed if the file is opened in a newer version of Excel. Learn more: https://go.microsoft.com/fwlink/?linkid=870924
Comment:
    Just enter hole type on the row when the hole is finished drilling. We want them to equal the amount of completed holes of that type.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 Pilote</author>
    <author>tc={4D8F719B-4F52-42F7-A31B-E5761DFCE6E8}</author>
    <author>tc={7BC64E99-5435-6141-8F9D-85AF8137B630}</author>
    <author>tc={DB72957D-3F28-FD41-A2C2-E39CDC6D3E0B}</author>
    <author>tc={BDE79B22-D3D7-4C77-8FB3-BEC7F4DA70D5}</author>
    <author>tc={41CBE913-3656-4C9D-B529-718B374E15B8}</author>
    <author>tc={C1534CCD-CCE8-4B5C-BBCB-926563828650}</author>
    <author>tc={BE31F2AF-0A40-4F2B-B8FC-DA845DAB099B}</author>
    <author>tc={39C875A1-CDD9-48D3-BDDF-6DF202C2CAF4}</author>
    <author>tc={A8F4719D-0DDD-4EB9-A8D5-988A958E5177}</author>
    <author>tc={EBA46BE7-75DC-4A7A-B70A-EB1438595329}</author>
    <author>tc={F8BC4942-C9DF-4464-BEB0-E4063A931578}</author>
  </authors>
  <commentList>
    <comment ref="P2" authorId="0" shapeId="0" xr:uid="{1708CCEB-260F-484A-8336-CE03F168EFAA}">
      <text>
        <r>
          <rPr>
            <b/>
            <sz val="9"/>
            <color indexed="81"/>
            <rFont val="Tahoma"/>
            <family val="2"/>
          </rPr>
          <t>Thomas Pilote:</t>
        </r>
        <r>
          <rPr>
            <sz val="9"/>
            <color indexed="81"/>
            <rFont val="Tahoma"/>
            <family val="2"/>
          </rPr>
          <t xml:space="preserve">
Won't charge us extra for the triple tube
</t>
        </r>
      </text>
    </comment>
    <comment ref="V2" authorId="0" shapeId="0" xr:uid="{9EE6871A-168B-4305-9809-C2382DAF2995}">
      <text>
        <r>
          <rPr>
            <b/>
            <sz val="9"/>
            <color indexed="81"/>
            <rFont val="Tahoma"/>
            <family val="2"/>
          </rPr>
          <t>Thomas Pilote:</t>
        </r>
        <r>
          <rPr>
            <sz val="9"/>
            <color indexed="81"/>
            <rFont val="Tahoma"/>
            <family val="2"/>
          </rPr>
          <t xml:space="preserve">
Won't charge us extra for the triple tube
</t>
        </r>
      </text>
    </comment>
    <comment ref="AO2" authorId="1" shapeId="0" xr:uid="{4D8F719B-4F52-42F7-A31B-E5761DFCE6E8}">
      <text>
        <t xml:space="preserve">[Threaded comment]
Your version of Excel allows you to read this threaded comment; however, any edits to it will get removed if the file is opened in a newer version of Excel. Learn more: https://go.microsoft.com/fwlink/?linkid=870924
Comment:
    NEW Column, please fill
</t>
      </text>
    </comment>
    <comment ref="Y3" authorId="2" shapeId="0" xr:uid="{7BC64E99-5435-6141-8F9D-85AF8137B630}">
      <text>
        <t>[Threaded comment]
Your version of Excel allows you to read this threaded comment; however, any edits to it will get removed if the file is opened in a newer version of Excel. Learn more: https://go.microsoft.com/fwlink/?linkid=870924
Comment:
    make sure you fill down. check the cost against coreplan.</t>
      </text>
    </comment>
    <comment ref="AT10" authorId="0" shapeId="0" xr:uid="{CC67C4B1-31DA-4081-9C3B-9C753B9AC242}">
      <text>
        <r>
          <rPr>
            <b/>
            <sz val="9"/>
            <color indexed="81"/>
            <rFont val="Tahoma"/>
            <family val="2"/>
          </rPr>
          <t>Thomas Pilote:</t>
        </r>
        <r>
          <rPr>
            <sz val="9"/>
            <color indexed="81"/>
            <rFont val="Tahoma"/>
            <family val="2"/>
          </rPr>
          <t xml:space="preserve">
PQ TOOL WAS NOT INCLUDED HENCE DISPARITY EVERY DS
</t>
        </r>
      </text>
    </comment>
    <comment ref="AH13" authorId="3" shapeId="0" xr:uid="{DB72957D-3F28-FD41-A2C2-E39CDC6D3E0B}">
      <text>
        <t>[Threaded comment]
Your version of Excel allows you to read this threaded comment; however, any edits to it will get removed if the file is opened in a newer version of Excel. Learn more: https://go.microsoft.com/fwlink/?linkid=870924
Comment:
    ensure you seperate out inactive hours (ie non drilling but productive) vs standby (ie non drilling and unproductive)</t>
      </text>
    </comment>
    <comment ref="I14" authorId="4" shapeId="0" xr:uid="{BDE79B22-D3D7-4C77-8FB3-BEC7F4DA70D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@Stephen Walsh The cut sheet says there should be 6 people under accom we are getting charged 7. Please advise.</t>
      </text>
    </comment>
    <comment ref="F16" authorId="5" shapeId="0" xr:uid="{41CBE913-3656-4C9D-B529-718B374E15B8}">
      <text>
        <t xml:space="preserve">[Threaded comment]
Your version of Excel allows you to read this threaded comment; however, any edits to it will get removed if the file is opened in a newer version of Excel. Learn more: https://go.microsoft.com/fwlink/?linkid=870924
Comment:
    I think we should change the hole ID to SPF for when we drill at Sandover </t>
      </text>
    </comment>
    <comment ref="AI21" authorId="6" shapeId="0" xr:uid="{C1534CCD-CCE8-4B5C-BBCB-926563828650}">
      <text>
        <t xml:space="preserve">[Threaded comment]
Your version of Excel allows you to read this threaded comment; however, any edits to it will get removed if the file is opened in a newer version of Excel. Learn more: https://go.microsoft.com/fwlink/?linkid=870924
Comment:
    @Matthew Draddy What is this standby for? Hole move at night? Please fill out corresponding column
</t>
      </text>
    </comment>
    <comment ref="AI37" authorId="7" shapeId="0" xr:uid="{BE31F2AF-0A40-4F2B-B8FC-DA845DAB099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@Stephen Walsh @Jeremy Simpson  This 6 hours relate to standby due to no rig moves at night? Is this a new condition I was not aware of? Are we able to move rig at night if all controls (i.e. lighting) are inplace?
Reply:
    @Matthew Draddy can you provide clarity on this?</t>
      </text>
    </comment>
    <comment ref="AI41" authorId="8" shapeId="0" xr:uid="{39C875A1-CDD9-48D3-BDDF-6DF202C2CAF4}">
      <text>
        <t>[Threaded comment]
Your version of Excel allows you to read this threaded comment; however, any edits to it will get removed if the file is opened in a newer version of Excel. Learn more: https://go.microsoft.com/fwlink/?linkid=870924
Comment:
    @George Manton @Matthew Draddy Please provide clarity here</t>
      </text>
    </comment>
    <comment ref="F42" authorId="9" shapeId="0" xr:uid="{A8F4719D-0DDD-4EB9-A8D5-988A958E5177}">
      <text>
        <t xml:space="preserve">[Threaded comment]
Your version of Excel allows you to read this threaded comment; however, any edits to it will get removed if the file is opened in a newer version of Excel. Learn more: https://go.microsoft.com/fwlink/?linkid=870924
Comment:
    @Felix Moore Please get familiar with this tracker and fill out to align with Core plan. Link to CP in column AQ. Let me know if you have trouble with access.
</t>
      </text>
    </comment>
    <comment ref="AT103" authorId="0" shapeId="0" xr:uid="{8F80E91E-1D79-4607-8DEC-C7B78A804046}">
      <text>
        <r>
          <rPr>
            <b/>
            <sz val="9"/>
            <color indexed="81"/>
            <rFont val="Tahoma"/>
            <family val="2"/>
          </rPr>
          <t>Thomas Pilote:</t>
        </r>
        <r>
          <rPr>
            <sz val="9"/>
            <color indexed="81"/>
            <rFont val="Tahoma"/>
            <family val="2"/>
          </rPr>
          <t xml:space="preserve">
Ignore please, spread the cost across rows for cost of PQ tooling
</t>
        </r>
      </text>
    </comment>
    <comment ref="Y141" authorId="10" shapeId="0" xr:uid="{EBA46BE7-75DC-4A7A-B70A-EB1438595329}">
      <text>
        <t>[Threaded comment]
Your version of Excel allows you to read this threaded comment; however, any edits to it will get removed if the file is opened in a newer version of Excel. Learn more: https://go.microsoft.com/fwlink/?linkid=870924
Comment:
    Rate changes to $150/m past 200m</t>
      </text>
    </comment>
    <comment ref="Y142" authorId="11" shapeId="0" xr:uid="{F8BC4942-C9DF-4464-BEB0-E4063A931578}">
      <text>
        <t>[Threaded comment]
Your version of Excel allows you to read this threaded comment; however, any edits to it will get removed if the file is opened in a newer version of Excel. Learn more: https://go.microsoft.com/fwlink/?linkid=870924
Comment:
    Rate changes to $150/m past 200m</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Aaron Stowe</author>
    <author>tc={39ED96B8-A30E-4A53-B359-B99BB529681A}</author>
    <author>Thomas Pilote</author>
  </authors>
  <commentList>
    <comment ref="AA3" authorId="0" shapeId="0" xr:uid="{8E547C40-40E5-44FB-A509-0A4DF2EE6A5F}">
      <text>
        <r>
          <rPr>
            <b/>
            <sz val="9"/>
            <color indexed="81"/>
            <rFont val="Tahoma"/>
            <family val="2"/>
          </rPr>
          <t>Aaron Stowe:</t>
        </r>
        <r>
          <rPr>
            <sz val="9"/>
            <color indexed="81"/>
            <rFont val="Tahoma"/>
            <family val="2"/>
          </rPr>
          <t xml:space="preserve">
$460 rate doesn't show up on Strikes contract within Coreplan - it's either $360-$575 or $0</t>
        </r>
      </text>
    </comment>
    <comment ref="AK4" authorId="1" shapeId="0" xr:uid="{39ED96B8-A30E-4A53-B359-B99BB529681A}">
      <text>
        <t xml:space="preserve">[Threaded comment]
Your version of Excel allows you to read this threaded comment; however, any edits to it will get removed if the file is opened in a newer version of Excel. Learn more: https://go.microsoft.com/fwlink/?linkid=870924
Comment:
    Type total consumable costs here and will automatically deduct accom costs and output cost on adjacent column
</t>
      </text>
    </comment>
    <comment ref="AK13" authorId="2" shapeId="0" xr:uid="{2ABAC9FE-1F21-4F96-B5A8-AAB705F4D34E}">
      <text>
        <r>
          <rPr>
            <b/>
            <sz val="9"/>
            <color indexed="81"/>
            <rFont val="Tahoma"/>
            <family val="2"/>
          </rPr>
          <t>Thomas Pilote:</t>
        </r>
        <r>
          <rPr>
            <sz val="9"/>
            <color indexed="81"/>
            <rFont val="Tahoma"/>
            <family val="2"/>
          </rPr>
          <t xml:space="preserve">
Low Loader (float) cost on this day - Part of Mob Cost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tc={B8BE0AA1-4B9C-4D4F-A560-290E34EA67FA}</author>
    <author>tc={B6BDA8E0-7CA4-43A1-A450-E82DC50881E3}</author>
    <author>Richard Cheal</author>
    <author>tc={B02D85BE-3462-4FE5-9B89-38A2D047F23D}</author>
  </authors>
  <commentList>
    <comment ref="T3" authorId="0" shapeId="0" xr:uid="{B8BE0AA1-4B9C-4D4F-A560-290E34EA67FA}">
      <text>
        <t xml:space="preserve">[Threaded comment]
Your version of Excel allows you to read this threaded comment; however, any edits to it will get removed if the file is opened in a newer version of Excel. Learn more: https://go.microsoft.com/fwlink/?linkid=870924
Comment:
    rcheal@srk.com.au 
Reply:
    Could you please check rates?
</t>
      </text>
    </comment>
    <comment ref="AQ3" authorId="1" shapeId="0" xr:uid="{B6BDA8E0-7CA4-43A1-A450-E82DC50881E3}">
      <text>
        <t>[Threaded comment]
Your version of Excel allows you to read this threaded comment; however, any edits to it will get removed if the file is opened in a newer version of Excel. Learn more: https://go.microsoft.com/fwlink/?linkid=870924
Comment:
    Check rate</t>
      </text>
    </comment>
    <comment ref="I4" authorId="2" shapeId="0" xr:uid="{0853B005-EB89-448C-8469-C3B0CB773BAA}">
      <text>
        <r>
          <rPr>
            <b/>
            <sz val="9"/>
            <color indexed="81"/>
            <rFont val="Tahoma"/>
            <family val="2"/>
          </rPr>
          <t>Richard Cheal:</t>
        </r>
        <r>
          <rPr>
            <sz val="9"/>
            <color indexed="81"/>
            <rFont val="Tahoma"/>
            <family val="2"/>
          </rPr>
          <t xml:space="preserve">
Includes 1 x SRK field Hydro staying in iDrilling camp
</t>
        </r>
      </text>
    </comment>
    <comment ref="AM4" authorId="3" shapeId="0" xr:uid="{B02D85BE-3462-4FE5-9B89-38A2D047F23D}">
      <text>
        <t>[Threaded comment]
Your version of Excel allows you to read this threaded comment; however, any edits to it will get removed if the file is opened in a newer version of Excel. Learn more: https://go.microsoft.com/fwlink/?linkid=870924
Comment:
    Check rate, we are using 1m3 gravel bags</t>
      </text>
    </comment>
    <comment ref="C19" authorId="2" shapeId="0" xr:uid="{A0B3D9B8-8123-4373-A567-1F400C18F133}">
      <text>
        <r>
          <rPr>
            <b/>
            <sz val="9"/>
            <color indexed="81"/>
            <rFont val="Tahoma"/>
            <family val="2"/>
          </rPr>
          <t>Richard Cheal:</t>
        </r>
        <r>
          <rPr>
            <sz val="9"/>
            <color indexed="81"/>
            <rFont val="Tahoma"/>
            <family val="2"/>
          </rPr>
          <t xml:space="preserve">
set up on pad</t>
        </r>
      </text>
    </comment>
    <comment ref="C20" authorId="2" shapeId="0" xr:uid="{4923B507-FF24-4BB3-8CDA-23829BC2083A}">
      <text>
        <r>
          <rPr>
            <b/>
            <sz val="9"/>
            <color indexed="81"/>
            <rFont val="Tahoma"/>
            <family val="2"/>
          </rPr>
          <t>Richard Cheal:</t>
        </r>
        <r>
          <rPr>
            <sz val="9"/>
            <color indexed="81"/>
            <rFont val="Tahoma"/>
            <family val="2"/>
          </rPr>
          <t xml:space="preserve">
collar only</t>
        </r>
      </text>
    </comment>
    <comment ref="C23" authorId="2" shapeId="0" xr:uid="{6F2CF7F2-0D04-4AA9-B22D-02FBAAA800D6}">
      <text>
        <r>
          <rPr>
            <b/>
            <sz val="9"/>
            <color indexed="81"/>
            <rFont val="Tahoma"/>
            <family val="2"/>
          </rPr>
          <t>Richard Cheal:</t>
        </r>
        <r>
          <rPr>
            <sz val="9"/>
            <color indexed="81"/>
            <rFont val="Tahoma"/>
            <family val="2"/>
          </rPr>
          <t xml:space="preserve">
set up on pad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tc={9A824653-D571-468B-BA6D-6A8E8FF7C461}</author>
    <author>tc={A3A5259C-BADA-4698-993A-7B756EDD0203}</author>
    <author>tc={14CC8A62-5B47-4582-A641-E79D86462139}</author>
    <author>tc={19E3F6E6-A36D-4971-9E2E-A9F26C061029}</author>
    <author>tc={7CE5C338-0CAA-4ED2-BEEB-DC90A324C70F}</author>
    <author>Richard Cheal</author>
    <author>tc={AE615B8D-3B2A-439A-B2BF-69AB5F5B6332}</author>
  </authors>
  <commentList>
    <comment ref="AF3" authorId="0" shapeId="0" xr:uid="{9A824653-D571-468B-BA6D-6A8E8FF7C461}">
      <text>
        <t>[Threaded comment]
Your version of Excel allows you to read this threaded comment; however, any edits to it will get removed if the file is opened in a newer version of Excel. Learn more: https://go.microsoft.com/fwlink/?linkid=870924
Comment:
    check rate</t>
      </text>
    </comment>
    <comment ref="AG3" authorId="1" shapeId="0" xr:uid="{A3A5259C-BADA-4698-993A-7B756EDD0203}">
      <text>
        <t xml:space="preserve">[Threaded comment]
Your version of Excel allows you to read this threaded comment; however, any edits to it will get removed if the file is opened in a newer version of Excel. Learn more: https://go.microsoft.com/fwlink/?linkid=870924
Comment:
    check rate
</t>
      </text>
    </comment>
    <comment ref="AK3" authorId="2" shapeId="0" xr:uid="{14CC8A62-5B47-4582-A641-E79D86462139}">
      <text>
        <t xml:space="preserve">[Threaded comment]
Your version of Excel allows you to read this threaded comment; however, any edits to it will get removed if the file is opened in a newer version of Excel. Learn more: https://go.microsoft.com/fwlink/?linkid=870924
Comment:
    check rate
</t>
      </text>
    </comment>
    <comment ref="AL3" authorId="3" shapeId="0" xr:uid="{19E3F6E6-A36D-4971-9E2E-A9F26C061029}">
      <text>
        <t xml:space="preserve">[Threaded comment]
Your version of Excel allows you to read this threaded comment; however, any edits to it will get removed if the file is opened in a newer version of Excel. Learn more: https://go.microsoft.com/fwlink/?linkid=870924
Comment:
    check rate
</t>
      </text>
    </comment>
    <comment ref="AH8" authorId="4" shapeId="0" xr:uid="{7CE5C338-0CAA-4ED2-BEEB-DC90A324C70F}">
      <text>
        <t>[Threaded comment]
Your version of Excel allows you to read this threaded comment; however, any edits to it will get removed if the file is opened in a newer version of Excel. Learn more: https://go.microsoft.com/fwlink/?linkid=870924
Comment:
    HYD25-006A</t>
      </text>
    </comment>
    <comment ref="L10" authorId="5" shapeId="0" xr:uid="{48B2E6C4-EAF0-4017-A9F0-B7B52D4496C2}">
      <text>
        <r>
          <rPr>
            <b/>
            <sz val="9"/>
            <color indexed="81"/>
            <rFont val="Tahoma"/>
            <family val="2"/>
          </rPr>
          <t xml:space="preserve">Richard Cheal:
Drilled with 12in.  Charged at 9.5in
</t>
        </r>
      </text>
    </comment>
    <comment ref="AH10" authorId="6" shapeId="0" xr:uid="{AE615B8D-3B2A-439A-B2BF-69AB5F5B6332}">
      <text>
        <t>[Threaded comment]
Your version of Excel allows you to read this threaded comment; however, any edits to it will get removed if the file is opened in a newer version of Excel. Learn more: https://go.microsoft.com/fwlink/?linkid=870924
Comment:
    HYD25-010B</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A045CC-68B8-47F1-ADD0-145F514E4A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B9EFB90-AC80-40D6-9CB5-C3565EB6DB7F}" name="WorksheetConnection_Drill Cost Tracker Updated.xlsx!Planned" type="102" refreshedVersion="8" minRefreshableVersion="5">
    <extLst>
      <ext xmlns:x15="http://schemas.microsoft.com/office/spreadsheetml/2010/11/main" uri="{DE250136-89BD-433C-8126-D09CA5730AF9}">
        <x15:connection id="Planned">
          <x15:rangePr sourceName="_xlcn.WorksheetConnection_DrillCostTrackerUpdated.xlsxPlanned1"/>
        </x15:connection>
      </ext>
    </extLst>
  </connection>
  <connection id="3" xr16:uid="{3047D0F0-DD5E-4FDC-B19B-6FC35D9592AC}" name="WorksheetConnection_Drill Cost Tracker Updated.xlsx!Table3" type="102" refreshedVersion="8" minRefreshableVersion="5">
    <extLst>
      <ext xmlns:x15="http://schemas.microsoft.com/office/spreadsheetml/2010/11/main" uri="{DE250136-89BD-433C-8126-D09CA5730AF9}">
        <x15:connection id="Table3" autoDelete="1">
          <x15:rangePr sourceName="_xlcn.WorksheetConnection_DrillCostTrackerUpdated.xlsxTable3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<sst xmlns="http://schemas.openxmlformats.org/spreadsheetml/2006/main" count="13150" uniqueCount="1424">
  <si>
    <t>Drilling to Date</t>
  </si>
  <si>
    <t>DD</t>
  </si>
  <si>
    <t>RC</t>
  </si>
  <si>
    <t>Rig 38</t>
  </si>
  <si>
    <t>Row Labels</t>
  </si>
  <si>
    <t>Sum of Total Costs</t>
  </si>
  <si>
    <t>Type</t>
  </si>
  <si>
    <t>Total Cost</t>
  </si>
  <si>
    <t>DDRD</t>
  </si>
  <si>
    <t>GT</t>
  </si>
  <si>
    <t>Index</t>
  </si>
  <si>
    <t>MET</t>
  </si>
  <si>
    <t>INF</t>
  </si>
  <si>
    <t>(blank)</t>
  </si>
  <si>
    <t>EXT</t>
  </si>
  <si>
    <t>Grand Total</t>
  </si>
  <si>
    <t>Total</t>
  </si>
  <si>
    <t>Rig 41</t>
  </si>
  <si>
    <t>Strike</t>
  </si>
  <si>
    <t>Schedule</t>
  </si>
  <si>
    <t>Adequate?</t>
  </si>
  <si>
    <t>Planned</t>
  </si>
  <si>
    <t>Actual</t>
  </si>
  <si>
    <t>Activity Type</t>
  </si>
  <si>
    <t>Rig</t>
  </si>
  <si>
    <t>Notes</t>
  </si>
  <si>
    <t>GENERAL EARTH WORKS</t>
  </si>
  <si>
    <t>Task 1 - ACCESS</t>
  </si>
  <si>
    <t>Task 2 - RingRoad</t>
  </si>
  <si>
    <t>Task 3  - Station Link</t>
  </si>
  <si>
    <t>Task 5 - Test Pits</t>
  </si>
  <si>
    <t>Task 7 - Rehab</t>
  </si>
  <si>
    <t>Survey</t>
  </si>
  <si>
    <t>Initial Survey</t>
  </si>
  <si>
    <t>Collar Survey</t>
  </si>
  <si>
    <t>DDR1</t>
  </si>
  <si>
    <t xml:space="preserve">Drilling Phase </t>
  </si>
  <si>
    <t xml:space="preserve">Met </t>
  </si>
  <si>
    <t>GeoT*</t>
  </si>
  <si>
    <t>Inf</t>
  </si>
  <si>
    <t>ExtG</t>
  </si>
  <si>
    <t xml:space="preserve">Additonal Met </t>
  </si>
  <si>
    <t>Drilling</t>
  </si>
  <si>
    <t>DD PQ -&gt; HQ</t>
  </si>
  <si>
    <t>Predicted</t>
  </si>
  <si>
    <t>DR41</t>
  </si>
  <si>
    <t>Difference</t>
  </si>
  <si>
    <t>Cumulative Difference</t>
  </si>
  <si>
    <t>7 Day rolling average</t>
  </si>
  <si>
    <t>Enabling Earthwork's Task</t>
  </si>
  <si>
    <t>Task 4.1 - Prelim Pad Prep</t>
  </si>
  <si>
    <t>Earthworks</t>
  </si>
  <si>
    <t xml:space="preserve">task 7 </t>
  </si>
  <si>
    <t xml:space="preserve">DDR2 </t>
  </si>
  <si>
    <t>GeoT *</t>
  </si>
  <si>
    <t>Met</t>
  </si>
  <si>
    <t>ExtA</t>
  </si>
  <si>
    <t>DD HQ</t>
  </si>
  <si>
    <t>DR38</t>
  </si>
  <si>
    <t>DEMOB</t>
  </si>
  <si>
    <t>Task 4.2 - Complete Pad Prep</t>
  </si>
  <si>
    <t>RCD1</t>
  </si>
  <si>
    <t>Dingo</t>
  </si>
  <si>
    <t>RC 1</t>
  </si>
  <si>
    <t>RCD2</t>
  </si>
  <si>
    <t>South</t>
  </si>
  <si>
    <t>RC 2</t>
  </si>
  <si>
    <t>HYD1</t>
  </si>
  <si>
    <t>Bores</t>
  </si>
  <si>
    <t>Rig 18</t>
  </si>
  <si>
    <t xml:space="preserve"> Predicted</t>
  </si>
  <si>
    <t xml:space="preserve">7 day rolling average </t>
  </si>
  <si>
    <t>Building</t>
  </si>
  <si>
    <t>Rig 16</t>
  </si>
  <si>
    <t>Sample Dispatch</t>
  </si>
  <si>
    <t>Pick up</t>
  </si>
  <si>
    <t>Weight</t>
  </si>
  <si>
    <t>Number of Pallets</t>
  </si>
  <si>
    <t>Total Weight (t)</t>
  </si>
  <si>
    <t xml:space="preserve">Total Pallets </t>
  </si>
  <si>
    <t>Logged and Processed</t>
  </si>
  <si>
    <t>Metres RC</t>
  </si>
  <si>
    <t>Pad build rate</t>
  </si>
  <si>
    <t>Task 4.1</t>
  </si>
  <si>
    <t>Metres PQ3</t>
  </si>
  <si>
    <t>Task 4.2</t>
  </si>
  <si>
    <t>Metres HQ3</t>
  </si>
  <si>
    <t>*</t>
  </si>
  <si>
    <t>Geotech core will need to have a special packaging protocol</t>
  </si>
  <si>
    <t>Target</t>
  </si>
  <si>
    <t>Meters</t>
  </si>
  <si>
    <t>Met Drilling (DFS)</t>
  </si>
  <si>
    <t>Infill Drilling</t>
  </si>
  <si>
    <t>Dingo Vein 1st Pass</t>
  </si>
  <si>
    <t>Southern Extension Exploration</t>
  </si>
  <si>
    <t>asda</t>
  </si>
  <si>
    <t>RIG38</t>
  </si>
  <si>
    <t>Sum of Completed Holes</t>
  </si>
  <si>
    <t>Sum of Total Length PQ</t>
  </si>
  <si>
    <t>Sum of Total Length HQ</t>
  </si>
  <si>
    <t>Sum of Charged Drilling Cost</t>
  </si>
  <si>
    <t>Sum of Active Hours total Cost</t>
  </si>
  <si>
    <t>Sum of Standby &amp; Inactive Total Cost</t>
  </si>
  <si>
    <t>Sum of Tool Hire Cost</t>
  </si>
  <si>
    <t>Sum of Total Activity Hours Cost</t>
  </si>
  <si>
    <t>Sum of ***Insert Total Consumable Costs***</t>
  </si>
  <si>
    <t>Sum of Planned Holes</t>
  </si>
  <si>
    <t>Sum of Planned Metres</t>
  </si>
  <si>
    <t>A-Vein Resource Extension</t>
  </si>
  <si>
    <t>RD</t>
  </si>
  <si>
    <t>DFS Met Sample collection (24 no. Holes, 2,045m)</t>
  </si>
  <si>
    <t>Dingo Vein Exploration</t>
  </si>
  <si>
    <t>EXP</t>
  </si>
  <si>
    <t>Geotechnical drilling (12 no. HQ Holes, 1040m)</t>
  </si>
  <si>
    <t>G-Vein Resource Extension</t>
  </si>
  <si>
    <t>Southern Veins Exploration</t>
  </si>
  <si>
    <t>RIG 38</t>
  </si>
  <si>
    <t>Rate</t>
  </si>
  <si>
    <t>Hole 1</t>
  </si>
  <si>
    <t>Hole 2</t>
  </si>
  <si>
    <t>PQ3</t>
  </si>
  <si>
    <t>HQ3</t>
  </si>
  <si>
    <t>Slow Pen rate Normalised</t>
  </si>
  <si>
    <t>Hole Type</t>
  </si>
  <si>
    <t>Completion</t>
  </si>
  <si>
    <t>Date</t>
  </si>
  <si>
    <t>Shift</t>
  </si>
  <si>
    <t>Hole ID</t>
  </si>
  <si>
    <t>Hole ID2</t>
  </si>
  <si>
    <t xml:space="preserve">Personel (incl driller) </t>
  </si>
  <si>
    <t>Accom Cost</t>
  </si>
  <si>
    <t>Depth From</t>
  </si>
  <si>
    <t>Depth To</t>
  </si>
  <si>
    <t>Length</t>
  </si>
  <si>
    <t>Depth From3</t>
  </si>
  <si>
    <t>Depth To4</t>
  </si>
  <si>
    <t>Length5</t>
  </si>
  <si>
    <t>Depth From6</t>
  </si>
  <si>
    <t>Depth To7</t>
  </si>
  <si>
    <t>Length8</t>
  </si>
  <si>
    <t>Depth From9</t>
  </si>
  <si>
    <t>Depth To10</t>
  </si>
  <si>
    <t>Length11</t>
  </si>
  <si>
    <t>Total Length PQ</t>
  </si>
  <si>
    <t>Total Length HQ</t>
  </si>
  <si>
    <t>Total Length</t>
  </si>
  <si>
    <t>Drilling Cost</t>
  </si>
  <si>
    <t>Charged Drilling Cost</t>
  </si>
  <si>
    <t>PQ Ori Tool</t>
  </si>
  <si>
    <t>HQ Ori Tool</t>
  </si>
  <si>
    <t>Gyro Tool</t>
  </si>
  <si>
    <t>Tool ID</t>
  </si>
  <si>
    <t>Tool Hire Cost</t>
  </si>
  <si>
    <t>Drill Time</t>
  </si>
  <si>
    <t>Active hours (Other than drilling)</t>
  </si>
  <si>
    <t>Active Hours total Cost</t>
  </si>
  <si>
    <t>Inactive Hours (Other than client standby)</t>
  </si>
  <si>
    <t>Standby Total Hours</t>
  </si>
  <si>
    <t>Standby &amp; Inactive Total Cost</t>
  </si>
  <si>
    <t>Uncharged Hours</t>
  </si>
  <si>
    <t>Maintenance</t>
  </si>
  <si>
    <t>Total Daily Hours</t>
  </si>
  <si>
    <t>Total Activity Hours Cost</t>
  </si>
  <si>
    <t>***Insert Total Consumable Costs***</t>
  </si>
  <si>
    <t>Total Consumables Cost (-accom)</t>
  </si>
  <si>
    <t>Total Costs</t>
  </si>
  <si>
    <t>Plod Cost (Comparison)</t>
  </si>
  <si>
    <t>Cummulative Cost</t>
  </si>
  <si>
    <t>Month</t>
  </si>
  <si>
    <t>Day</t>
  </si>
  <si>
    <t>Shift Shorthand</t>
  </si>
  <si>
    <t>DS 5am</t>
  </si>
  <si>
    <t>NS 5pm</t>
  </si>
  <si>
    <t>SF25_DMET023</t>
  </si>
  <si>
    <t>SF25_DMET022</t>
  </si>
  <si>
    <t>SF25_DMET021</t>
  </si>
  <si>
    <t>SF25_DMET020</t>
  </si>
  <si>
    <t>SF25_DMET010</t>
  </si>
  <si>
    <t>SF25_DDGT012</t>
  </si>
  <si>
    <t>SF25_DMET024</t>
  </si>
  <si>
    <t>SF25_DDGT006</t>
  </si>
  <si>
    <t>SF25_DDGT005</t>
  </si>
  <si>
    <t>SF25_DDGT011</t>
  </si>
  <si>
    <t>SF25_DDGT002</t>
  </si>
  <si>
    <t>SF25_DMET018</t>
  </si>
  <si>
    <t>SF25_DDGT010</t>
  </si>
  <si>
    <t>SF25_DMET017</t>
  </si>
  <si>
    <t>SF25_DMET019</t>
  </si>
  <si>
    <t>SF25_DDRD001</t>
  </si>
  <si>
    <t>SF25_DDGT001</t>
  </si>
  <si>
    <t>END OF SHEET</t>
  </si>
  <si>
    <t>Holes Completed:</t>
  </si>
  <si>
    <t>Accom</t>
  </si>
  <si>
    <t>Sum PQ</t>
  </si>
  <si>
    <t>Sum HQ</t>
  </si>
  <si>
    <t>Tool Cost</t>
  </si>
  <si>
    <t>Total Activity Costs</t>
  </si>
  <si>
    <t>Total Consumable Costs</t>
  </si>
  <si>
    <t>Purpose</t>
  </si>
  <si>
    <t xml:space="preserve">Driller Name </t>
  </si>
  <si>
    <t>Comment (IF less than 10hours EXPLAIN)</t>
  </si>
  <si>
    <t>Comment (IF more than 2 hours EXPLAIN)</t>
  </si>
  <si>
    <t>Comments</t>
  </si>
  <si>
    <t>Comments (IF not 12hrs EXPLAIN)</t>
  </si>
  <si>
    <t>EOM Cummulative Cost</t>
  </si>
  <si>
    <t>All in Cost Per Metre</t>
  </si>
  <si>
    <t>PLOD LINK</t>
  </si>
  <si>
    <t>Stem</t>
  </si>
  <si>
    <t>Year</t>
  </si>
  <si>
    <t>Unpacking rig after mobilisation</t>
  </si>
  <si>
    <t>Mobilising from timber creek to doon doon road house, unload caravans and the road train at the road house, move gear to site, unload lay down at site, site inspections, travel back to doon doon for accommodation.</t>
  </si>
  <si>
    <t>https://www.coreplan.io/app/ddh1-drilling/speewah-mining-speewah-fluorite-project-wa/plods/1663-</t>
  </si>
  <si>
    <t>No NS</t>
  </si>
  <si>
    <t>Melville, Dean</t>
  </si>
  <si>
    <t>travel to site from doon doon, unload trucks at laydown, brad meikle/ carl jonas travel to kununurra to pick up bed vans, pack gear for rig, move rig and gear onto drill pad, set up rig on azi, mast shot survey, start setting up drill site, run poly to drill pad, start filling sumps.</t>
  </si>
  <si>
    <t>Zeke Shackelton</t>
  </si>
  <si>
    <t>Matthew Sing</t>
  </si>
  <si>
    <t>Crew change, Pre-shift meeting, Pre-start all equipment, continue to dill PQ3 through broken ground, condition hole</t>
  </si>
  <si>
    <t>Ben Payton</t>
  </si>
  <si>
    <t>Change bit - dropped PVC casing down hole.</t>
  </si>
  <si>
    <t xml:space="preserve">Move hole </t>
  </si>
  <si>
    <t>Setting up pad</t>
  </si>
  <si>
    <t>rig move</t>
  </si>
  <si>
    <t>Pre-shift meeting, Pre-start all equipment, continue to drill PQ3, survey @ 108m and 117m, drill to EOH @ 120.7m, move equipment to bring in ST and pull out barrel, mast down, pack up site and move equipment to next hole, mast up and take mast shot, start setting up site</t>
  </si>
  <si>
    <t>Pre-shift meeting / Pre-start all equipment / Set up site / Drill PQ3 from surface / Ream 6.0m of PWT casing in hole as ground too hard from surface for Rock roller &amp; PVC / Flush Hole clean / Drill on PQ3 DR38, RT38, LP10, ST25, LT95, DDH1 DL219</t>
  </si>
  <si>
    <t xml:space="preserve">Continue to drill PQ3, survey @ 18m &amp; 36m, pull out and run in softer bit, condition hole throughout shift </t>
  </si>
  <si>
    <t>Drill PQ3, 54m &amp; 72m surveys of hole, bit change due to worn bit, run back in, Drill on PQ3</t>
  </si>
  <si>
    <t>Continue to drill PQ3, survey @ 87m, drill to EOH, move equipment to bring in ST, pull out barrel, pull out casing, mast down and move rig, mast up and take mast shot, commence drilling PQ3 from surface</t>
  </si>
  <si>
    <t xml:space="preserve">Open out hole with rock roller. Grout 6.0m 150mm PVC in place. Wait on grout to cure. Flush back to bottom,  Drill on PQ3, Change out worn bit and front reamer, Survey @ 18m </t>
  </si>
  <si>
    <t>continue to drill PQ3, survey @ 36m, lost water return @ 51.4m, bombed hole with no success, condition hole throughout shift, replace torn poly twice during shift</t>
  </si>
  <si>
    <t xml:space="preserve">Pull Rods for dead bit, Change out worn bit and both reamer / Ream barrel back to bottom of hole / Drill on PQ3 / Survey @ 54 &amp; 72m </t>
  </si>
  <si>
    <t xml:space="preserve">continue to drill PQ3, drill to EOH, survey @ 87m, move equipment to bring in ST, pull out barrel, mast down, pack up site, inspect next pads with client, move rig and equipment to next pad, setup site. </t>
  </si>
  <si>
    <t>Finish setting up site on tight drill pad. Wait on water supply due to being in use already. Drill PQ3 from surface. Open out hole with rock roller, Grout 6.0m 150mm PVC in place. Wait on grout to cure, Flush back to bottom</t>
  </si>
  <si>
    <t xml:space="preserve">continue to drill PQ3, survey @ 18m &amp; 36m, condition hole throughout shift. </t>
  </si>
  <si>
    <t>Drill on PQ3 / Survey hole @ 54m / Pull rods and change worn bit, Run back in / Drill on PQ3</t>
  </si>
  <si>
    <t>Drill to EOH, survey @ 78m, pad to small to pull rods straight onto ST, pull out rods and manual handle rods to truck, pack up site, move equipment to next drill pad, mast up, mast shot, setup site, commence drilling HQ3 from surface, toolbox meeting</t>
  </si>
  <si>
    <t xml:space="preserve">Drill on HQ3 to competent ground / Open out hole with rock roller / Grout 6.0m 150mm PVC in place / Wait on grout to cure / Flush back to bottom with HQ3 barrel / Ream HWT over HQ to 15m / Flush hole </t>
  </si>
  <si>
    <t>Continue to drill HQ3 through broken ground/short runs, survey @ 18m and 36m, condition hole throughout shift</t>
  </si>
  <si>
    <t xml:space="preserve">Drill on HQ3 / Broken formation/Short runs with some soft sections / Survey hole @ 54m </t>
  </si>
  <si>
    <t>Continue to drill HQ3 through broken ground/short runs to EOH, survey @ 66m, move equipment to bring in ST, pull out barrel, hook up flush casing, work stuck casing, pull out casing, packup site, move to next pad, mast up, mast shot, setup site, commence drilling PQ3 from surface</t>
  </si>
  <si>
    <t>Crew Change</t>
  </si>
  <si>
    <t>Drill on PQ3 / Open out hole with rock roller / Grout 6.0m 150mm PVC in place / Wait on grout to cure / Flush back to bottom / Drill on PQ3/ crew packed up early to fly out</t>
  </si>
  <si>
    <t>crew change</t>
  </si>
  <si>
    <t xml:space="preserve">Crew Change pick up stores/ dump rubbish/ pick up food order/Pre-shift meeting / Pre-start all equipment / Drill on PQ3 </t>
  </si>
  <si>
    <t>continue to drill PQ3, survey @ 36m, pull out of hole for bit change, run back in and continue to drill PQ3, condition hole throughout shift.</t>
  </si>
  <si>
    <t xml:space="preserve">Drill on PQ3 / lost water at 69m pumped three lc stop plugs with SureSeal still losing a lot of water / fixed key start on pump / survey hole at 54m 72 m / housekeeping and maintenance </t>
  </si>
  <si>
    <t>continue to drill PQ3, survey @ 90m and 96m, drill to EOH, move equipment to bring in ST, pull out barrel, pack up site, condition hole throughout shift</t>
  </si>
  <si>
    <t>delay getting water to rig at TSF</t>
  </si>
  <si>
    <t>move to site, set up site, set up spt and Shelby sampling, standby for water delays due to no water supply close to pad.</t>
  </si>
  <si>
    <t>continue with geo tech, shelby tube refusal at 6m, continue to drill HQ3 to 15m as per hole plan notes, broken ground/short runs, water delays throughout shift.</t>
  </si>
  <si>
    <t>Stuck rods due to water delay, reamed over barrel free up rods, continued drill hq3, pull out barrel, pull out casing, pack up site, move rig and equipment to next pad, mast up, Set up site for spt and Shelby sampling, commence sampling from surface</t>
  </si>
  <si>
    <t>hydro rig in the way of moving to next pad</t>
  </si>
  <si>
    <t>continue with geo tech sampling, Shelby tube refusal at 2m - 2.5m, continue to HQ3 coring to 15m as per hole plan, survey EOH, pull out barrel, pack up site, went to move rig and equipment to next pad however another rig blocking access.</t>
  </si>
  <si>
    <t>standby waiting for hydro rig to move off access point to next pad</t>
  </si>
  <si>
    <t>pull out barrel, pull out casing, pack up site, move rig and equipment to next pad, mast up, Set up site, toolbox at EOS</t>
  </si>
  <si>
    <t>Toolbox meeting at SOS, continue site setup, commence drilling HQ3 from surface, drilling shorter runs with basket lifters to reduce core loss, pull out barrel and run in rock roller, install PVC collar, run in 9m HWT casing, continue to drill HQ3, condition hole throughout shift</t>
  </si>
  <si>
    <t>Pre-shift meeting, Pre-start all equipment, drill hq3, survey 18m 36m, grease trucks and blew air filters, housekeeping</t>
  </si>
  <si>
    <t>Breakdown of hydraulic pump</t>
  </si>
  <si>
    <t>Breakdown - hydraulic pump not</t>
  </si>
  <si>
    <t>Pre-shift meeting, Pre-start all equipment, continue to drill HQ3, maintenance - replace pumps and test, continue to drill HQ3 through broken ground, lost water return @ 99.3m, bombed hole twice, regained water return</t>
  </si>
  <si>
    <t>Slow drilling due to geotech shelby tubing and hole move</t>
  </si>
  <si>
    <t xml:space="preserve">Pre-shift meeting, Pre-start all equipment, drilled PQ3, survey hole at 18m 36m, housekeeping and maintenance </t>
  </si>
  <si>
    <t xml:space="preserve">Pre-shift meeting, Pre-start all equipment, continue to drill PQ3 to EOH and survey, move equipment, pull out barrel, onto rod bench and manual handle onto ST as pad too small to fit ST for EOH, pull out casing, mast down and pack up site, move rig and equipment to next pad, run poly to establish water supply, mast up, mast shot, setup site. </t>
  </si>
  <si>
    <t xml:space="preserve">Slow drilling  in hard ground. </t>
  </si>
  <si>
    <t>Cementing collar and waiting pre-drill inspection?</t>
  </si>
  <si>
    <t>Rig moves- water supply issues</t>
  </si>
  <si>
    <t>Establish water supply</t>
  </si>
  <si>
    <t>Crew change / Pre-shift meeting / Pre-start all equipment / Water delay / Drill onPQ3 / Open out hole with rock roller / Grout 6.0m 150mm PVC in place DR38, RT38, LP10, ST25, LT95, DDH1</t>
  </si>
  <si>
    <t xml:space="preserve">Pre-shift meeting / Pre-start all equipment / Drill on PQ3 / EOH survey @ 48m / Move rod bench and position ST / Pull rods and barrel out / Rig down / Pack up site / Move rig and equipment to new pad / Line up rig to hole requirements / Start to set up site </t>
  </si>
  <si>
    <t>Establishing water supply-polypipe</t>
  </si>
  <si>
    <t xml:space="preserve">Pre-shift meeting, Pre-start all equipment, set up rig, helped rig 41 establish water then run poly as far as we could get it didn't have enough poly to make it to pad started to run water with two ibc </t>
  </si>
  <si>
    <t>Town trip for polypipe &amp; fittings - running poly</t>
  </si>
  <si>
    <t>Pre-shift meeting / Pre-start all equipment / Drill on HQ3 / Survey hole x 2, 36m &amp; 54m</t>
  </si>
  <si>
    <t>lost water returns pumped 4 plugs down tried to get the water back no return, had to wait for sumps to fill two times</t>
  </si>
  <si>
    <t>Pre-shift meeting, Pre-start all equipment, drilled hq3, lost water returns pumped 4 plugs down tried to get the water back no return, had to wait for sumps to fill two times, survey at 72m housekeeping and maintenance</t>
  </si>
  <si>
    <t>Toolbox</t>
  </si>
  <si>
    <t>Pre-shift meeting / Pre-start all equipment / Drill on HQ3 / Survey hole @ 87m / Move rod bench and position ST / Pull rods, barrel &amp; casing out / Rig down / Pack up site / Move rig and equipment to new pad / Line up rig to hole requirements / Set up drill site</t>
  </si>
  <si>
    <t>Toolbox meeting, Pre-shift meeting, Pre-start all equipment, drilled HQ3 to pvc collar depth, PVC collar in hole and waited for collar to set, then continued to drill HQ3, housekeeping and maintenance</t>
  </si>
  <si>
    <t>Drill on HQ3 / Survey hole @ 18m, 36m &amp; 54m</t>
  </si>
  <si>
    <t>drilled HQ3, survey at 72m 90m, housekeeping and maintenance</t>
  </si>
  <si>
    <t>Pull rods out for worn bit, Change bit &amp; run back in / Drill to EOH @ 100.2m / Survey hole @ 96m / Pull rods &amp; barrel out for EOH / Move rods from bench to ST / Rig down / Pack up site / Move rig and equipment to new pad, slower process due to tight pad &amp; getting everything down off hill / Line up rig to hole requirements / Set up drill site ready to drill / Load full hole of core onto LT and unload at core farm due to no pad access while drilling hole</t>
  </si>
  <si>
    <t>SF25_DDRD002</t>
  </si>
  <si>
    <t>drilled HQ3 to pvc collar depth, PVC collar in hole and waited for collar to set, then continued to drill HQ3, housekeeping and maintenance</t>
  </si>
  <si>
    <t xml:space="preserve">Drill on HQ3 / Survey hole x 2 / </t>
  </si>
  <si>
    <t>repairing blown hose</t>
  </si>
  <si>
    <t>had a hose burst at the end of the last shift, drilled HQ3, Survey at 54m 72m</t>
  </si>
  <si>
    <t>SF25_DDRD003</t>
  </si>
  <si>
    <t>Drill on HQ3 / Survey hole @ 87m EOH / Move rod bench &amp; position ST / Pull rods &amp; barrel out for EOH / Rig down / Pack up site / Move rig and equipment to new pad / Line up rig to hole requirements / Set up drill site / Drill HQ3 from surface</t>
  </si>
  <si>
    <t>drilled HQ3 to pvc collar depth, PVC collar in hole and waited for collar to set, then continued to drill HQ3, Housekeeping and Maintenance</t>
  </si>
  <si>
    <t>Drill on HQ3 / Survey hole @ 36m &amp; 54m / Client drill pad sign off inspection</t>
  </si>
  <si>
    <t>drilled HQ3, survey at 72m and E.O.H at 90m, Housekeeping and Maintenance . Collected freight delivery</t>
  </si>
  <si>
    <t>SF25_DDRD017</t>
  </si>
  <si>
    <t>moving poly pipe to next hole</t>
  </si>
  <si>
    <t>Pull rods, barrel &amp; casing out for EOH / Rig down / Pack up site / Move rig and equipment to new pad / Line up rig to hole requirements / Redirect poly line for water supply / Wait on water as in use by other rig / Set up drill site / Pull excess poly in from Northern holes to cental position while waiting on water</t>
  </si>
  <si>
    <t>drilled HQ3, drilled HQ3 to pvc collar depth, PVC collar in hole and waited for collar to set, ream PHD casing to 9m, survey at 18m, Housekeeping and Maintenance</t>
  </si>
  <si>
    <t>Drill on HQ3 / Reaming in another 6.0m PHD casing / Drill on HQ3 / Survey hole @ 36m / Toolbox meeting</t>
  </si>
  <si>
    <t>Drilled HQ3, survey at 72m and 90m, Housekeeping and Maintenance</t>
  </si>
  <si>
    <t xml:space="preserve">Drill HQ3 / EOH survey @ 108m / Pull rods, barrel &amp; casing out for EOH / Rig down / Pack up site / Move rig and equipment to new pad / Line up rig to hole requirements / Set up drill site ready to drill </t>
  </si>
  <si>
    <t>SF25_DDRD010</t>
  </si>
  <si>
    <t>Drill HQ3 / Survey @ 18m, 36m &amp; 54m</t>
  </si>
  <si>
    <t>drilled HQ3, survey at 72m, packed up and left early for drive to airport</t>
  </si>
  <si>
    <t xml:space="preserve">Crew change, continue to drill HQ3, survey @ 90m </t>
  </si>
  <si>
    <t>Drill HQ3 / Survey @ 108m &amp; 126m</t>
  </si>
  <si>
    <t>SF25_DDRD013</t>
  </si>
  <si>
    <t>continue to drill HQ3 through broken ground, drill to EOH, EOH survey, pull rods onto bench and load onto ST due to small pad, pack up site, move all equipment to new pad, mast up, mast shot, setup site, commence drilling HQ3 from surface</t>
  </si>
  <si>
    <t>Drill HQ3 / Open out hole with rock roller / Set 6m 150mm PVC in hole &amp; wait for grout to cure / Flush HQ back in / Ream 12m PHD casing in / Drill on HQ3 / Survey @ 18m</t>
  </si>
  <si>
    <t>Pre-shift meeting, Pre-start all equipment, continue to drill HQ3, survey @ 36m &amp; 54m, condition hole throughout shift</t>
  </si>
  <si>
    <t xml:space="preserve">Pre-shift meeting / Pre-start all equipment / Drill HQ3 / Survey @ 72m &amp; 90m / Pull rods for worn bit, Change bit and run back in / Drill on HQ3 </t>
  </si>
  <si>
    <t>waiting for water</t>
  </si>
  <si>
    <t>continue to drill HQ3, standby for fuel tanker to fill tanks with water, survey @ 108m, lost water return at 118m, bombed hole twice to get return, continue to dril</t>
  </si>
  <si>
    <t xml:space="preserve">Drill HQ3 / Survey @ 126m &amp; 144m </t>
  </si>
  <si>
    <t>continue to drill HQ3, survey @ 162m &amp; 180m,consult with client to continue drilling past EOH, toolbox meeting</t>
  </si>
  <si>
    <t xml:space="preserve">Drill HQ3 / Survey @ 198m 7 216m / Wait on water to fill sumps throughout shift due to no water return from hole / EOH called at end of shift / Set up to pull rods out </t>
  </si>
  <si>
    <t>SF25_DDRD012</t>
  </si>
  <si>
    <t>Pre-shift meeting, Pre-start all equipment, continue to pull rods,pull out casing, manual handle rods onto ST, packup site, move all equipment to new pad, mast up, mast shot, setup site, commence drilling HQ3 from surface</t>
  </si>
  <si>
    <t xml:space="preserve">Pre-shift meeting, Pre-start all equipment, continue to drill HQ3, survey @ 36m &amp; 54m, condition hole throughout shift </t>
  </si>
  <si>
    <t>Pre-shift meeting / Pre-start all equipment / Drill HQ3 / Survey @ 72m &amp; 90m</t>
  </si>
  <si>
    <t xml:space="preserve">Pre-shift meeting / Pre-start all equipment / Drill HQ3 / Survey @ 144m / Drilling harder broken formation 0.3m cavity 148.9-149.2m </t>
  </si>
  <si>
    <t>SF25_DDRD019</t>
  </si>
  <si>
    <t xml:space="preserve">Pre-shift meeting, Pre-start all equipment, continue to drill HQ3, survey @ 108m, drill to EOH and confirm with client, survey @ 123m, pull barrel, pull casing, pack up site and begin demobilisation </t>
  </si>
  <si>
    <t>MONTHLY FLIGHTS $7740 FREIGHT $1045</t>
  </si>
  <si>
    <t xml:space="preserve">Holes Completed: </t>
  </si>
  <si>
    <t>RIG 41</t>
  </si>
  <si>
    <t>Accomodation Rate</t>
  </si>
  <si>
    <t>PQ Ori</t>
  </si>
  <si>
    <t xml:space="preserve">HQ Ori </t>
  </si>
  <si>
    <t>Total tool Cost</t>
  </si>
  <si>
    <t>Total Consumables Cost (-Accom)</t>
  </si>
  <si>
    <t>Total Cost Charged (Plod)</t>
  </si>
  <si>
    <t>Combined Cost Per Metre</t>
  </si>
  <si>
    <t>Peter Gillespie</t>
  </si>
  <si>
    <t>Start mobilisation to site</t>
  </si>
  <si>
    <t>https://www.coreplan.io/app/ddh1-drilling/speewah-mining-speewah-fluorite-project-wa/plods/1665-</t>
  </si>
  <si>
    <t>NO NIGHTSHIFT DURING MOB</t>
  </si>
  <si>
    <t>Day 2 of mobilisation</t>
  </si>
  <si>
    <t>Completed mobilisation, started unloading at Speewah</t>
  </si>
  <si>
    <t>Inductions, welcome to country, establish water supply,  set-up camp</t>
  </si>
  <si>
    <t>Establish water supply, wait for sumps to get dug, set-up rig on 1st pad</t>
  </si>
  <si>
    <t>Complete rig set-up on pad, run poly pipe to next pad, wait for pre drill inspection on DS before commencing drilling</t>
  </si>
  <si>
    <t>SF25_DMET006</t>
  </si>
  <si>
    <t>Standby on client for pre-drill checks and inductions, commence drilling PQ3 from surface, pull out barrel and run in rock roller, pull out rock roll and install PVC collar, run in barrel and continue coring PQ3, survey @ 18m, condition hole throughout shift</t>
  </si>
  <si>
    <t>SF25_DMET007</t>
  </si>
  <si>
    <t>Continue to drill, pull rods due to tube not seating, remove dropped core from barrel, run rods in, survey, deliver core at E.O.S as per client request</t>
  </si>
  <si>
    <t>SF25_DMET008</t>
  </si>
  <si>
    <t>Continue to drill PQ3, survey @ 54m, 72m and EOH. EOH @ 80m, move equipment and move in ST to pull out rods, mast down, move rig, mast up, setup drill site</t>
  </si>
  <si>
    <t xml:space="preserve">Continue to set up site, start PQ3 core from surface, open hole with 6 1/2" roller, run in 2.8m of PVC, run in 3m barrel, survey, bit change, drop core off @ E.O.S. </t>
  </si>
  <si>
    <t>continue to drill PQ3, survey @ 36m &amp; 54m, lost water return @ 42m, condition hole throughout shift. Lined sumps on next 2 pads</t>
  </si>
  <si>
    <t>SF25_DMET009</t>
  </si>
  <si>
    <t>Rig move at night?</t>
  </si>
  <si>
    <t>Continue to drill / Drill to 80m / Survey / Set up to pull rods onto back of rod truck / Pull all rods out / Mast down / Drop core off @ E.O.S / Standby on client due to no rig moves on N/S.</t>
  </si>
  <si>
    <t>SF25_DMET001</t>
  </si>
  <si>
    <t xml:space="preserve">Standby until sunrise to commence rig move, moved rig to site. Standby to flatten pad. Set up site, hard ground to dig. Started to drill pq3 </t>
  </si>
  <si>
    <t>Continue to drill. Open hole up with 6 1/2" roller. Run in 6m 150mm PVC. Run in 3m PQ barrel, slow going due to sticky clays. Short runs all shift. Drop core off at E.O.S as per client's request.</t>
  </si>
  <si>
    <t>continued to drill PQ3. survey @ 18m &amp; 36m, toolbox meeting</t>
  </si>
  <si>
    <t>Continue to drill, Survey @ 54 &amp; 72m. Drop core off at E.O.S as per client's request.</t>
  </si>
  <si>
    <t>continued to drill PQ3. survey @ 90m</t>
  </si>
  <si>
    <t>Continue to drill in broken ground with 20% water return, survey EOH. Pull rod out on to back of rod truck. Drop core off at E.O.S as per client's request.</t>
  </si>
  <si>
    <t>SF25_DMET002</t>
  </si>
  <si>
    <t>Standby until sunrise to begin rig move to next pad, move all equipment to new pad and setup site, commence drilling PQ3 from surface, pull out barrel, run in rock roller and ream open hole, pull out and install PVC collar, run in 3m barrel and continue to drill PQ3.</t>
  </si>
  <si>
    <t>Continue to drill, Survey x2. Drop core off at E.O.S as per client's request. Crew change.</t>
  </si>
  <si>
    <t>Benjamin Payton</t>
  </si>
  <si>
    <t>Crew change, smoking ceremony, Pre-shift meeting, Pre-Start all equipment, continue to drill PQ3</t>
  </si>
  <si>
    <t>Continued to drill PQ3, ground too hard changed to a softer bit. Drilling became unsafe due to ground conditions so pulled out and cased off PQ. Ran in HQ barrel and drilled HQ for the rest of the shift.</t>
  </si>
  <si>
    <t>Continue to drill HQ3, hard broken formation-short runs from 65.6m to 75.6m, competent/hard ground from 75.6m to 99.6m, survey @ 72m &amp; 90m</t>
  </si>
  <si>
    <t xml:space="preserve">Continue to drill HQ3 to end of hole depth 130.7m. </t>
  </si>
  <si>
    <t>SF25_DMET003</t>
  </si>
  <si>
    <t>move equipment for EOH to pull rods, Pull HQ rods and barrel, Free PHD casing, Pull PHD casing out, Change Mast dip to -55, Set up rod bench &amp; site again, Drill PQ3 from surface, pull out barrel, run in rock roller and ream open hole, pull out and install PVC collar, run in 3m barrel and continue to drill PQ3.</t>
  </si>
  <si>
    <t xml:space="preserve">Continued drilling PQ3, slowly lost water return throughout shift, bombed hole to get return back, drilled through sandy patch between 34m to 37m, mixed up thick muds to condition hole, continue to drill PQ3. </t>
  </si>
  <si>
    <t>Continue to drill PQ3, Survey hole @ 54m and 72m, Minimal Water return-30% most of hole</t>
  </si>
  <si>
    <t>continue drilling PQ3,slow drilling, E.O.H 80m, Move rod bench, pull rods onto ST, Mast down rig, start to pack up site ready to move holes. Stand by on Client as no moving rig on N/S, continue with housekeeping and Maintenace</t>
  </si>
  <si>
    <t>Pre-shift meeting, Pre-start all equipment, Stanby until daylight to move rig, Move rig &amp; equipment to next pad, Set up drill site-tight pad positioning gear, Line rig up to client hole requirements, Set up site, Strat drilling from surface, Pull out barrel, Run in rock roller and ream open hole, Pull out and install PVC collar, Run in 3m barrel and continue to drill PQ3, Weekly toolbox meeting Assets: DR41 / LT 92 / LP73 / RV 04 / ST56 / GP62 / GP04 / KV08 / BV17 / DDH1DL173 / DDH1DL160</t>
  </si>
  <si>
    <t>SF25_DMET004</t>
  </si>
  <si>
    <t>Water springing from pad</t>
  </si>
  <si>
    <t>Rig went to wrong pad and set up - costs associated to this were removed - AST</t>
  </si>
  <si>
    <t xml:space="preserve">Drillers went to the wrong pad and setup. They initially charged for this, but the Plod was refused as we showed them the pad and put a collar peg in for the correct site. The plod has since been adjusted to not include costs associated with the incorrect move. </t>
  </si>
  <si>
    <t xml:space="preserve">Pre-shift meeting, Pre-Start all equipment, Continue drilling PQ3 then drill MR to 6m case off with pvc. change over to 3m barrel and and continue to drill PQ3 </t>
  </si>
  <si>
    <t>Note: Charged for 3 accom instead of listed 4 people. (-$120) Pre-shift meeting, Pre-start all equipment, Drill PQ3, Pull rods for bit change/Worn bit,= (29.8m drilled with new bit) Ream 18m back to bottom due to cave in, Drill on PQ3, Survey hole @ 36m, Stop drilling for Client drill pad inspections, sign offs</t>
  </si>
  <si>
    <t>Difficult ground conditions listed - short bit life and 4 hours reaming</t>
  </si>
  <si>
    <t>Rig/site inspection 30mins</t>
  </si>
  <si>
    <t>Difficult ground conditions - broken oxides - geo checked core</t>
  </si>
  <si>
    <t xml:space="preserve">Pre-shift meeting, Pre-start all equipment, continue to dill PQ3. pull out case off with pvc swelling clays sand and cave in having to ream to bottom of hole every run, Slow going due to poor formation being drilled, pulled barrel x two times first time to clean barrel second to change bit, snapped wireline housekeeping and Maintenace </t>
  </si>
  <si>
    <t>Difficult ground conditions - broken oxides - had to ream PWT to 12m</t>
  </si>
  <si>
    <t>Pre-shift meeting, Pre-start all equipment, Drill PQ3, Drill first 1.5m through pressurized ground and hole collaring off, Slow going to get down fto depth for reaming PWT, Ream 12m PWT casing into hole, Drill on PQ3 = Extremely fractured formation, short runs Survey hole @ 18m</t>
  </si>
  <si>
    <t>Core farm delivery listed as 1 hour inactive time - does the drill rig have to stop for core delivery? - Due to the limited size of drill pad - they couldn't move the core until they moved site - so was done all at once in bulk</t>
  </si>
  <si>
    <t>Minor reaming of PWT</t>
  </si>
  <si>
    <t>Pre-shift meeting, Pre-start all equipment, Pull rods for core in barrel, Ream back to bottom from 18m, Drill on PQ3, Survey hole @ 54m, Advancve PWT casing 3m as rattled down low</t>
  </si>
  <si>
    <t>Slow reaming listed</t>
  </si>
  <si>
    <t xml:space="preserve">Pre-shift meeting, Pre-start all equipment, continue to dill PQ3. reamed 1m of pwt very slow reaming. pulled rods ground is to hard put a softer bit on. Drilling PQ3 still slow due to hard ground. survey at 72m.housekeeping and Maintenace </t>
  </si>
  <si>
    <t>Pre-shift meeting, Pre-start all equipment, Drill on PQ3, Bit change /worn bit = hard abrasive formation (15m drilled with new 12-14 bit), Run in with rod grease, Drill on PQ3, Survey hole @ 90m, weekly toolbox meeting</t>
  </si>
  <si>
    <t xml:space="preserve">Toolbox meeting. Pre-shift meeting, Pre-start all equipment, continue to dill PQ3 to E.O.H 105.3. pulled rods out and casing. established water for next hole packed site up. housekeeping and Maintenace </t>
  </si>
  <si>
    <t>SF25_DMET012</t>
  </si>
  <si>
    <t>Standby and packup due to no moving on NS</t>
  </si>
  <si>
    <t>Carl Jonas</t>
  </si>
  <si>
    <t>Pre-shift meeting / Pre-start all equipment / Finish setting up drill site, make up barrel &amp; tubes, check all running gear / Wait on water for sumps to fill / Client pre-drill inspection / Drill PQ3 from surface / Open out hole with rock roller, Grout 6.0m 150mm PVC in place, Flush back to bottom, Drill on PQ3 / Pull rods out and change bit for ground conditions to try improve core recovery in soft sands &amp; broken formation</t>
  </si>
  <si>
    <t>Dean Melville</t>
  </si>
  <si>
    <t>Breakdown repairs</t>
  </si>
  <si>
    <t>SF25_DMET013</t>
  </si>
  <si>
    <t>Rig Move</t>
  </si>
  <si>
    <t>Rig move at night - we are now permitting moves at night</t>
  </si>
  <si>
    <t>Rig move and repairs</t>
  </si>
  <si>
    <t>Rig move</t>
  </si>
  <si>
    <t xml:space="preserve">Pre-shift meeting, Pre-start equipment: finish setting up site, run poly to pad, run rods into hole to 60m ream barrel to 66.4m, start coring PQ3 gyro surveys. </t>
  </si>
  <si>
    <t xml:space="preserve">Pre-shift meeting, Pre-start all equipment, continue drilling PQ3, pull out rods for bit change due to warn bit, run rods back in with rod grease, continue drilling PQ3 </t>
  </si>
  <si>
    <t>SF25_DMET005</t>
  </si>
  <si>
    <t>Continue drilling PQ3, pull out rods EOH in 3m lengths, mast down and move rig forward and line up for next hole DMET005, start the hole PQ3, rock roll hole for PVC colar</t>
  </si>
  <si>
    <t>cement PVC collar</t>
  </si>
  <si>
    <t xml:space="preserve">Install PVC collar, cement in place, continue drilling HQ3 core, flush hole end of shift for crew change. </t>
  </si>
  <si>
    <t>Nicholas Nakovics</t>
  </si>
  <si>
    <t xml:space="preserve">Crew Change pick up stores, dump rubbish, pick up food order, changeover gas bottles,  Run in 6m rods, Seat tube. Maintenance leaking fuel filter adjust wireline arcemedies </t>
  </si>
  <si>
    <t>Condition hole sumps are small so there's a lot of cuttings, continue drilling PQ3, survey @36M, continue drilling PQ3</t>
  </si>
  <si>
    <t>Drill PQ3, Survey @ 54m. Bit change due to ground conditions, drill PQ3</t>
  </si>
  <si>
    <t>condition hole sumps are small so there's a lot of cuttings, continue drilling PQ3, pull out for bit inspection and to grease rods, survey @ 72m, continue drilling PQ3 hard broken ground, condition hole</t>
  </si>
  <si>
    <t xml:space="preserve">Drill PQ3 /Survey @90 / Bit Change worn bit / Drill PQ3 </t>
  </si>
  <si>
    <t xml:space="preserve">Condition hole sumps are small so there's a lot of cuttings, continue drilling PQ3,survey @108m, survey @120m EOH, pull out all rods EOH, mast down and move rig, mast up and align for new hole, set up drill pad </t>
  </si>
  <si>
    <t>SF25_DDGT003</t>
  </si>
  <si>
    <t>Site set up / Start of hole Drill Hq3 / Reaming PQ ream over to 3.1m case off / Continue drilling HQ3 / Survey @18m</t>
  </si>
  <si>
    <t>condition hole sumps are small so there's a lot of cuttings, continue drilling HQ3,survey@36m, continue drilling, survey @54m, continue drilling HQ3, condition hole</t>
  </si>
  <si>
    <t>Continue drilling HQ3 / Survey @72m / toolbox</t>
  </si>
  <si>
    <t>Continue Drilling HQ3 / Survey @108m, pull out all rods EOH, rig down, pack up site, rig move to next pad, rig up, survey @0m, set up site</t>
  </si>
  <si>
    <t>SF25_DDGT004</t>
  </si>
  <si>
    <t>Drill HQ3 / Ream in PQ casing / Seat casing / Drill HQ3 / Survey @18m</t>
  </si>
  <si>
    <t>Condition hole/ continue Drilling HQ3 / survey @36m/ continue drilling HQ3/ survey @54m/ continue drilling HQ3/ condition hole</t>
  </si>
  <si>
    <t>Drill HQ3 / Survey @72m</t>
  </si>
  <si>
    <t>continue Drilling HQ3 / survey @90m / continue drilling HQ3/ survey @108m EOH, pull out rods and casing/ rig down/ pack up drill site/ move to next pad and start setting up.</t>
  </si>
  <si>
    <t>SF25_DDGT007</t>
  </si>
  <si>
    <t>Line up rig / Surface Shot / Site set-up / Site inspection / Drill Hq3 / PQ reaming to 6.1m / pullout for core in barrel/</t>
  </si>
  <si>
    <t>run in barrel ream to bottom/ continue Drilling HQ3 / pull out rods for bit change/ run rods in Ream to bottom/ survey @18m/ continue drilling HQ3/ survey @36m/ continue drilling HQ3</t>
  </si>
  <si>
    <t>Drill Hq3 / Survey</t>
  </si>
  <si>
    <t>condition hole due to sumps being full of cuttings /continue Drilling HQ3 / survey@72m/ continue drilling HQ3/ survey@90m/ continue drilling HQ3/ condition hole</t>
  </si>
  <si>
    <t>Drill Hq3 / Survey@114 / E.O.H / pull out rods and casing/ rig down/ pack up drill site/ Move between holes / rig aligned / Site set-up / surface shot 0m /</t>
  </si>
  <si>
    <t>SF25_DDGT008</t>
  </si>
  <si>
    <t>Drill HQ3, ream 3m PQ casing, continue drilling HQ3, pull out for bit change, run rods in, continue drilling HQ3</t>
  </si>
  <si>
    <t>Drill Hq3 / Survey @18, 36</t>
  </si>
  <si>
    <t>condition hole/ continue drilling HQ3/ survey @54m/ continue drilling HQ3/ survey @72m/ continue drilling HQ3/ condition hole</t>
  </si>
  <si>
    <t>Drill Hq3 / Survey @90m / Toolbox at EOS</t>
  </si>
  <si>
    <t xml:space="preserve">Toolbox at SOS, continue drilling HQ3 / survey @108m continue drilling HQ3/ survey @126m/ pull rods out EOH/ pull casing/ rig down pack up site/ move all equipment and rig to next pad. </t>
  </si>
  <si>
    <t>SF25_DMET014</t>
  </si>
  <si>
    <t>Pré-shift meeting, Pre-start equipment / Rigging up / Surface shot / Site set-up / Drill PQ3 / Pullout / Open hole with rock roller / PVC collar hole / Run in 3m PQ barrel / Drill PQ</t>
  </si>
  <si>
    <t>Pre-shift meeting, Pre-start all equipment / continue drilling PQ3 / survey @18m continue drilling PQ3/pulled rods for bit change ran rods in with rod grease/lost water @31m Bomed hole, successful water return lost water again shortly after/ continue drilling PQ3/ survey @36m/ bombed hole again successful water return/ water delay</t>
  </si>
  <si>
    <t>SF25_DMET015</t>
  </si>
  <si>
    <t xml:space="preserve">Pre-shift meeting, Pre-start equipment: try to regain water return, continue drilling PQ3 core, gyro surveys, pull out for bit change. </t>
  </si>
  <si>
    <t xml:space="preserve">Pré-shift meeting, Pre-start equipment / Drill PQ3 / Bit change / Survey @72,81 / E.O.H / pullout / Rigging down </t>
  </si>
  <si>
    <t>SF25_DMET016</t>
  </si>
  <si>
    <t>Poor ground conditions- a lot of hole conditioning work</t>
  </si>
  <si>
    <t>SF25_DDGT009</t>
  </si>
  <si>
    <t>Pre-shift meeting, Pre-start equipment: continue drilling HQ3 core, gyro surveys.</t>
  </si>
  <si>
    <t>SF25_DDRD004</t>
  </si>
  <si>
    <t xml:space="preserve">Pré-shift meeting, Pre-start equipment / Tramming / Site set-up / mast shot / establish water supply / Drill HQ3 </t>
  </si>
  <si>
    <t>SF25_DDRD005</t>
  </si>
  <si>
    <t xml:space="preserve">Pre-shift meeting, Pre-start equipment: continue drilling HQ3 core to EOH, pull out, pack up, move to next pad, set up on next pad. </t>
  </si>
  <si>
    <t xml:space="preserve">Pré-shift meeting, Pre-start equipment / Drill HQ3 / Ream PQ casing / Barrel change to 3m gear / Drill HQ3 / Survey @18 </t>
  </si>
  <si>
    <t>Toolbox / Pré-shift meeting / Pre-start equipment / Drill HQ3 to EOH / Survey @72,87 / Pull rods and casing</t>
  </si>
  <si>
    <t>SF25_DDRD006</t>
  </si>
  <si>
    <t>move rig onto next pad, set up, mast shot, start coring HQ3 from surface, ream HWT casing.</t>
  </si>
  <si>
    <t>Drill HQ3 / Survey @18,36</t>
  </si>
  <si>
    <t>running poly pipe to next pad</t>
  </si>
  <si>
    <t>ontinue drilling HQ3 core, gyro surveys. set up pipeline to next pad</t>
  </si>
  <si>
    <t xml:space="preserve">Drill HQ3 / Survey 72,87 / Pullout E.O.H / Rigging down / Tramming </t>
  </si>
  <si>
    <t>SF25_DMET011</t>
  </si>
  <si>
    <t>Crew change pick up food, rubbish run/ drive to site/ Pre-shift meeting, Pre-start all equipment / go with client to see new pad/ pack up drill site/ start tracking rig to next pad</t>
  </si>
  <si>
    <t xml:space="preserve">move rig and gear to next pad, set up, line sumps start filling, start coring PQ3 from surface. </t>
  </si>
  <si>
    <t>continue drilling PQ3/ Ream 9m PWT casing/ continue drilling PQ3/ survey @18m/ continue drilling PQ3</t>
  </si>
  <si>
    <t xml:space="preserve">continue drilling PQ3, gyro surveys </t>
  </si>
  <si>
    <t>fixing lister pump, re-establishing water supply</t>
  </si>
  <si>
    <t>fixing lister pump</t>
  </si>
  <si>
    <t>continue drilling PQ3/ very hard ground/ lister pump broke down/ standby water delay/continue drilling PQ3/ pull out for bit change warn bit/ continue drilling PQ3</t>
  </si>
  <si>
    <t>continue drilling PQ3 core, gyro surveys, pull out for bit change. Freight arrived on site.</t>
  </si>
  <si>
    <t>continue drilling PQ3/ water delay/ continue drilling PQ3/ survey @90m/ continue drilling PQ3/ survey @97m EOH/ pack up site/ pull out PQ rods and PWT casing</t>
  </si>
  <si>
    <t>SF25_DDRD015</t>
  </si>
  <si>
    <t>line sumps, run poly to pad, move rig onto next pad, mast shot survey, start coring HQ3 from surface</t>
  </si>
  <si>
    <t>continue drilling HQ3/ barrel change to 3M barrel and ori gear/ survey @18m/ continue drilling HQ3/ survey @36m/ continue drilling HQ3/ Toolbox meeting</t>
  </si>
  <si>
    <t>Continue drilling HQ3 core, gyro surveys</t>
  </si>
  <si>
    <t>continue drilling HQ3/ survey @ 90m/ continue drilling HQ3/ rod pull for Bit change / run rods back in/ continue drilling HQ3/ condition hole due to large amount of cutting in hole</t>
  </si>
  <si>
    <t>continue drilling HQ3 core, gyro surveys</t>
  </si>
  <si>
    <t>condition hole/ continue drilling HQ3/ survey @144m/ continue drilling HQ3/ survey @162m/ continue drilling HQ3/ condition hole due to cuttings down hole</t>
  </si>
  <si>
    <t>continue drilling HQ3/ survey @216m/ continue drilling HQ3/ survey @234m/ continue drilling HQ3 as Geo asked to extend hole/ survey @246m EOH/ pack up site/ start pulling out HQ rods EOH</t>
  </si>
  <si>
    <t>SF25_DDRD008</t>
  </si>
  <si>
    <t xml:space="preserve">pull out, pack up, move to next hole, run poly to pad, start setting up, mast shot </t>
  </si>
  <si>
    <t>set up drill site/ survey @0m/ start drilling HQ3 SOH/ ream PWT casing 6M/ change barrel to #m and add ori gear/ continue drilling HQ3</t>
  </si>
  <si>
    <t xml:space="preserve">continue drilling HQ3 core, gyro surveys. </t>
  </si>
  <si>
    <t>Pre-shift meeting, Pre-start all equipment / set up drill site/ survey @0m/ start drilling HQ3 SOH/ ream PWT casing 6M/ change barrel to #m and add ori gear/ continue drilling HQ3</t>
  </si>
  <si>
    <t>Pre-shift meeting, Pre-start equipment: continue drilling HQ3 core to EOH depth, eoh survey, pull out, move to next pad set up on next pad</t>
  </si>
  <si>
    <t>SF25_DDRD009</t>
  </si>
  <si>
    <t>Start drilling Hq3 SOH/ ream 6m PQ casing in hole/ pull out and change barrel to 3m barrel with ori gear/ continue drilling HQ3/ survey @18m/ continue drilling HQ3</t>
  </si>
  <si>
    <t>continue drilling HQ3 core, gyro surveys.</t>
  </si>
  <si>
    <t>continue drilling Hq3/ survey @72m/ continue drilling/ survey @93m EOH/ pack up site/ pull out all rods and casing/ rig down/ tram to next pad/ rig up/ 0m survey on new Hole DDRD011/ toolbox meeting</t>
  </si>
  <si>
    <t>SF25_DDRD011</t>
  </si>
  <si>
    <t>finish site setup, start coring HQ from surface, ream HWT casing.</t>
  </si>
  <si>
    <t>Pre-shift meeting, Pre-start all equipment / continue drilling Hq3/ survey @18m/ continue drilling HQ3/ pull out rods for bit change/ run rods back in/ continue drilling hQ3/ survey @36m/continue drilling HQ3</t>
  </si>
  <si>
    <t xml:space="preserve">Pre-shift meeting, Pre-start equipment: continue drilling HQ3 core, gyro surveys, </t>
  </si>
  <si>
    <t>Pre-shift meeting, Pre-start all equipment /survey@90m/ continue drilling Hq3/ survey @108m/ continue drilling HQ3/ pull out rods for bit change.</t>
  </si>
  <si>
    <t xml:space="preserve">Drilling costs reduced due to hole being canned on N/S without Geology agreement </t>
  </si>
  <si>
    <t>costs for rigging should be DDH1 expense. Crew change</t>
  </si>
  <si>
    <t>re-shift meeting / Pre-start all equipment / Drill HQ3 / Survey @ 72m &amp; 90m </t>
  </si>
  <si>
    <t>Tyla Smith</t>
  </si>
  <si>
    <t>Shift change - hole was canned without geo consultation - costs for rigging DDH1 Expense</t>
  </si>
  <si>
    <t>re-shift meeting, Pre-start all equipment, continue to drill HQ3, survey @ 108m &amp; 126m, condition hole throughout shift DR38, </t>
  </si>
  <si>
    <t>Pre-shift meeting / Pre-start all equipment / Drill HQ3 / Survey @ 144m / Drilling harder broken formation 0.3m cavity 148.9-149.2m DR38,</t>
  </si>
  <si>
    <t>SF25_DDRD018</t>
  </si>
  <si>
    <t>Water supply issue - both rigs starting new holes - filling sumps at the same time</t>
  </si>
  <si>
    <t>Pre-shift meeting - Pre-start all equipment - Pull rods for EOH - Pulling casing - Packup site - Tram rig to next pad - Multiple attempts to line up rig - Setup rig / site - Water Delay - Collar Hole with 1.5m gear </t>
  </si>
  <si>
    <t>Pre-shift meeting, Pre-start all equipment / continue drilling HQ3/ survey@18m/ ream 6m PQ casing/ barrel change to 3m barrel with ori gear/ continue drilling HQ3/ no water return down hole lost @32.3m</t>
  </si>
  <si>
    <t>Water supply issue - both rigs starting new holes - loss of water return - bore pump not keeping up</t>
  </si>
  <si>
    <t xml:space="preserve">Pre-shift meeting - Pre-start all equipment - Mix Muds/ Condition hole/ Bomb hole with LC Stop to try and get water return back - Continue drilling HQ3 - Hard ground, slow drilling - Gyro Survey @36m - Water delay - Continue drilling HQ3 - Short runs due to ground conditions </t>
  </si>
  <si>
    <t>Pre-shift meeting, Pre-start all equipment /condition hole/ survey @72m/ continue drilling HQ3/ survey@90m/ continue drilling HQ3</t>
  </si>
  <si>
    <t>Checking works required on pads for New met holes with driller</t>
  </si>
  <si>
    <t>Pre-shift meeting - Pre-start all equipment - Mix Muds/ Condition hole - Continue drilling HQ3 - Gyro Survey @108 - Continue Drilling HQ3 to EOH Dephth - Gyro Survey @126m - Pulling Rods - Client consultation Checking future drill pads - Continue pulling rods - Pulling casing - Rigging Down - Site pack up</t>
  </si>
  <si>
    <t>Additional Met</t>
  </si>
  <si>
    <t>DDMet</t>
  </si>
  <si>
    <t>SF25_DMET029</t>
  </si>
  <si>
    <t>Long distance to tram rig and setup on pad for new MET holes.</t>
  </si>
  <si>
    <t>Pre-shift meeting, Pre-start all equipment / finish packing up site and move gear and tram rig to next pad/ set up next pad/ line sumps, set up poly line/ align rig/ survey @0m/ set up ready to drill</t>
  </si>
  <si>
    <t>SF25_DMET052</t>
  </si>
  <si>
    <t>Pre-shift meeting - Pre-start all equipment - Mixing muds/ Condition hole - Continue drilling PQ3 - Pull and run rods for stuck tube - Flush hole to lift cuttings - Continue drilling - Survey @18m - Continue drilling - Water delays, repair poly - Bomb hole with LC stop to try and get back water return - Continue drilling.</t>
  </si>
  <si>
    <t>Bit change - hard ground</t>
  </si>
  <si>
    <t xml:space="preserve">Fixing poly around site </t>
  </si>
  <si>
    <t>SF25_DMET033</t>
  </si>
  <si>
    <t>Pre-shift meeting, Pre-start all equipment / survey @36m/ continue drilling PQ3 (short runs broken hard ground) /survey @ 43m EOH/ pull out PQ rods/ rig down move rig and align for next hole/ survey @0m/ set up drill site/ start drilling PQ3 from 0m/ pull out barrel and open hole with rock roller to 6m/ insert PVC casing/ collar set PVC wait to dry Assets: DR41 / LT 92 / LP73 / RV 04 / ST56 / GP62 / GP04 / KV08 / BV17 / DDH1DL173 / DDH1DL160</t>
  </si>
  <si>
    <t>Pre-shift meeting - Pre-start all equipment - Running barrel - Mixing muds/ Condition hole - Continue Drilling PQ3, Hard ground, Slow drilling - Pull and run rods for stuck tube - Mix muds/ Condition hole - Continue drilling - Gyro Survey</t>
  </si>
  <si>
    <t>Bit inspection + Change</t>
  </si>
  <si>
    <t xml:space="preserve">Pack up and tram to new site - current one is tricky to maneuver out. </t>
  </si>
  <si>
    <t>SF25_DMET030</t>
  </si>
  <si>
    <t>Set up new pad, set up water line</t>
  </si>
  <si>
    <t>Set up new water line</t>
  </si>
  <si>
    <t>Pre-shift meeting - Pre-start all equipment - Mixing muds/ Condition hole - Continue drilling PQ3, Rock rolling - Set PVC Casing - Ream back to bottom - Switch to 3m Gear - Continue drilling PQ3, Slow Drilling - Mixing muds throughout shift when necessary - Standby, go and pull submersible pump from existing bore, roll up poly, - Run poly from new pump and connect to existing poly line</t>
  </si>
  <si>
    <t>Pre-shift meeting, Pre-start all equipment / set up lister at second bore and get water pumping/ condition hole/ continue drilling PQ3 short runs very broken ground/ survey @18m/ continue drilling PQ3 broken ground short runs it got much worse/ condition hole Assets: DR41 / LT 92 / LP73 / RV 04 / ST56 / GP62 / GP04 / KV08 / BV17 / DDH1DL173 / DDH1DL160</t>
  </si>
  <si>
    <t>SF25_DMET055</t>
  </si>
  <si>
    <t>Mixing muds/ Condition hole - Start Drilling PQ3 - Gyro Survey @36m - Continue drilling PQ3 - Shutdown for client rig inductions - Continue drilling PQ3 - Mix muds/ Condition Hole throughout shift</t>
  </si>
  <si>
    <t>rig service and fly out</t>
  </si>
  <si>
    <t xml:space="preserve">condition hole due to ground conditions/ continue drilling PQ3/ hard ground slow drilling/ survey @54m/ continue drilling/ crew change </t>
  </si>
  <si>
    <t>fly in maintenance on bore pump</t>
  </si>
  <si>
    <t>crew change, travel to site, repairs on bore pump, continue drilling PQ3 core</t>
  </si>
  <si>
    <t>no NS at the moment</t>
  </si>
  <si>
    <t xml:space="preserve">continue drilling PQ3 core, gyro surveys </t>
  </si>
  <si>
    <t xml:space="preserve">continue drilling PQ3 core to EOH depth, gyro survey, pack up, move to next pad set up drill site. </t>
  </si>
  <si>
    <t>SF25_DMET053</t>
  </si>
  <si>
    <t>start coring PQ3 from surface, ream PWT casing, gyro survey</t>
  </si>
  <si>
    <t>SF25_DMET036</t>
  </si>
  <si>
    <t>continue drilling PQ3 to EOH, gyro surveys, set up on next hole (same pad) toolbox meeting end of shift.</t>
  </si>
  <si>
    <t>continue drilling PQ3 to EOH, gyro surveys, pack up, run bore pump into bore, run poly to next pad. Added frieght costs</t>
  </si>
  <si>
    <t>SF25_DMET050</t>
  </si>
  <si>
    <t>finish running poly, move gear to next pad, start coring PQ3 from surface, ream PWT casing</t>
  </si>
  <si>
    <t>continue drilling PQ3 core, gyro surveys.</t>
  </si>
  <si>
    <t xml:space="preserve">continue drilling PQ3 core, gyro surveys, pull out for bit change. </t>
  </si>
  <si>
    <t>continue drilling PQ3 core, gyro surveys, advance PWT to 9m</t>
  </si>
  <si>
    <t xml:space="preserve">continue drilling PQ3 core to EOH, gyro surveys, pull out rods </t>
  </si>
  <si>
    <t>SF25_DMET042</t>
  </si>
  <si>
    <t>move rig onto next hole, start coring PQ3 from surface, ream PWT casing.</t>
  </si>
  <si>
    <t xml:space="preserve">preshift meeting, prestart equipment: continue drilling PQ3 core, gyro surveys, pull out for bit change. </t>
  </si>
  <si>
    <t>preshift meeting, prestart equipment: continue drilling PQ3 core, gyro surveys, pull out for bit change.</t>
  </si>
  <si>
    <t>preshift meeting, prestart equipment: continue drilling PQ3 core, gyro surveys.</t>
  </si>
  <si>
    <t>preshift meeting, prestart equipment: condition hole/ continue drilling PQ3 core, gyro surveys @90m/ continue drilling PQ3/ survey @108m/ continue drilling</t>
  </si>
  <si>
    <t>SF25_DMET043</t>
  </si>
  <si>
    <t>preshift meeting, prestart equipment:, gyro surveys @EOH120m/ pull out PQ rods EOH/ caseing was stuck worked it and got it free/ pull out all PWT casing/ pack up rig and drill site move to next pad/ rig up and align, 0m survey/ set up new site/ start drilling PQ3/ rock role hole/ run in PVC casing and set the colar/ wait for colar to set</t>
  </si>
  <si>
    <t>preshift meeting, prestart equipment:, continue drilling PQ3/ survey @18m/ continue drilling PQ3/ survey @36m/ continue drilling PQ3/ Toolbox meeting</t>
  </si>
  <si>
    <t>preshift meeting, prestart equipment:, continue drilling PQ3/ survey @18m/ continue drilling PQ3/ survey @54m/ pull out for bit inspection change front reamer and run rods back down hole/ continue drilling PQ3</t>
  </si>
  <si>
    <t xml:space="preserve">preshift meeting, prestart equipment: continue drilling PQ3 core, gyro surveys. </t>
  </si>
  <si>
    <t>SF25_DMET044</t>
  </si>
  <si>
    <t>preshift meeting, prestart equipment:, continue drilling PQ3/ survey @97m/ pull out all rods EOH/ rig down/ pack up site/ tram rig and move gear to next pad/ align rig/ survey @0m/ set up site/ start hole/ drill to 6m/ rock roll/ PVC colar hole and let set</t>
  </si>
  <si>
    <t>preshift meeting, prestart equipment: run in 3m barrel, continue drilling PQ3 core, gyro surveys, pull out for bit change. - Flights and extra monthly costs added</t>
  </si>
  <si>
    <t>preshift meeting, prestart equipment:, condition hole/ continue drilling PQ3/ pull out for bit inspection/ continue drilling PQ3</t>
  </si>
  <si>
    <t>preshift meeting, prestart equipment: continue drilling PQ3 core, gyro surveys, pull out for bit change</t>
  </si>
  <si>
    <t>preshift meeting, prestart equipment:, condition hole/ continue drilling PQ3/ survey @72m/ pull out for bit inspection/ continue drilling PQ3</t>
  </si>
  <si>
    <t>Lightning Delay/standby 2 hours</t>
  </si>
  <si>
    <t>preshift meeting, prestart equipment:, condition hole/ continue drilling PQ3/ survey @126m/continue drilling PQ3/ lightning delay from 2:55pm</t>
  </si>
  <si>
    <t>SF25_DMET031</t>
  </si>
  <si>
    <t>preshift meeting, prestart equipment: continue drilling PQ3 core to EOH depth, EOH survey, pull out, move onto next pad. set up, start coring PQ3 from surface.</t>
  </si>
  <si>
    <t xml:space="preserve">preshift meeting, prestart equipment:, ran in barrel/ continue drilling PQ3 short runs broken ground/ pulled out to rock role hole for PVC the rock roller couldn't do it because of the ground so pulled it out went run in 3m barrel hole had caved in had to change back to 1.5m gear and ream out hole while reaming to bottom the hole diverted and cut a lip spoke to geo and they said continue drilling/ reamed 6m PWT casing/ condition hole/ pulled out 1.5 gear ready for 3m gear/ </t>
  </si>
  <si>
    <t>preshift meeting, prestart equipment: continue drilling PQ3 core to EOH, gyro surveys.</t>
  </si>
  <si>
    <t>No driller onsite due to injury</t>
  </si>
  <si>
    <t>preshift meeting, prestart equipment: no driller on dayshift. toolbox end of shift.</t>
  </si>
  <si>
    <t>SF25_DMET046</t>
  </si>
  <si>
    <t>preshift meeting, prestart equipment: hole extended to 33.9m, pull out, move rig to next pad, set up, mast shot, start coring PQ3 from surface.</t>
  </si>
  <si>
    <t>no driller on dayshift</t>
  </si>
  <si>
    <t>continue drilling PQ3 core (broken/ pressurized), ream PWT casing, pull out for stuck tubes.</t>
  </si>
  <si>
    <t>packed up early for crew change</t>
  </si>
  <si>
    <t xml:space="preserve">ream barrel back to BOH, advance PWT casing to 12m, continue drilling PQ3 core, gyro surveys </t>
  </si>
  <si>
    <t>Wade Thompson</t>
  </si>
  <si>
    <t>Flush Hole and core ahead in broken ground, Pull Barrel and change to 3m Standard, Had to ream from 12m due to new Reamer as Existing reamer shell was U/S, Core ahead 3m Standard.</t>
  </si>
  <si>
    <t>no NS driller</t>
  </si>
  <si>
    <t>Flush Hole and core ahead and Survey every 18m, Lost water return and rods bogged @71.6m, Work rods (Stuck) Consult Client / DDH1 Operations, Work Rods.</t>
  </si>
  <si>
    <t>shut down for lightning</t>
  </si>
  <si>
    <t>Re-Align Rig, Make up overshot on HRQ Rods, Run Overshot on rods and retrieve PQ3 Tube, Run HQ3 Standard Barrel, Drill through stuck PQ Barrel, Core ahead to 76.5m, Work PQ Barrel (still stuck), Pull HQ barrel to add Ori's and change to softer matrix bit, Run Barrel and drill on HQ3, Shut down Lightning.</t>
  </si>
  <si>
    <t>Core Ahead and survey in Harder competent formation, Shut down for Lightning</t>
  </si>
  <si>
    <t>toolbox meeting</t>
  </si>
  <si>
    <t>Core Ahead and survey, Pull and change bit due to poor penetration @133.5m, Ran Softer series bit, Daff rods on way in, Lost water return 135.4m, Pump LCM and regain</t>
  </si>
  <si>
    <t>Core Ahead and survey in broken ground, Client called EOH @ 159.4m, Pull HQ Barrel, Work PQ Barrel (Still Stuck) Run HW Cutters to 65.5m, Preform cut, Pull HW Cutters, Pull PHD, Pull PWT, Mast down and pack site. *****Drill Steel in Hole 65.5m -&gt; 71.6m*****</t>
  </si>
  <si>
    <t>SF25_DMET045</t>
  </si>
  <si>
    <t>Scott O'Hehir</t>
  </si>
  <si>
    <t>rig up, azi line mast shot, site setup, mix muds, drill HWT from surface</t>
  </si>
  <si>
    <t>hazard observation training</t>
  </si>
  <si>
    <t>Pull Barrel, Open hole with 6-1/2" Roller to 4.5m, Pull Roller, Run and Set PVC Casing, Run Barrel, Core Ahed in broken ground to 17.7m, Pull Barrel, Run PHD Blank, Ream 9m PWT casing, Flush and seat with casing Pac, Pull PHD Blank, Run 3m Standard Barrel, Drill on</t>
  </si>
  <si>
    <t xml:space="preserve">continue drilling PQ3 from 21.6m, survey 18m, continue coring, very broken, bogged barrel, freed up, tried to continue drilling, barrel locking up in cave in getting back to bottom, pulled out to check bit and barrel, standby lightning. From 1.15 am&gt;EOS </t>
  </si>
  <si>
    <t>standby due to overnight rain making access road unusable</t>
  </si>
  <si>
    <t>Standby, No Access in to site from Doon Doon Roadhouse due to rain event.</t>
  </si>
  <si>
    <t>Run Barrel, Core ahead and survey, Poor water return, Pump multiple LCM throughout shift to regain better water return, Some faulted ground.</t>
  </si>
  <si>
    <t>offsider fell ill no sufficient crew to perform drilling tasks</t>
  </si>
  <si>
    <t>service rig and lighting plant</t>
  </si>
  <si>
    <t>Continue coring PQ3, Mix muds throughout shift viscosity checks, Offsider fell ill standby, planned maintenance.</t>
  </si>
  <si>
    <t xml:space="preserve">Core ahead and survey, Poor water return, Pump LCM throughout shift, Ground becoming Hard </t>
  </si>
  <si>
    <t>flush hole, bombed lc stop to try get water return, Continue coring PQ3, dead bit, bit change, continue coring, drill pulled itself off jack blocks, Mix muds throughout shift viscosity checks, Pull rods bit U/S.</t>
  </si>
  <si>
    <t>toolbox</t>
  </si>
  <si>
    <t>Run in Barrel, Flush to bottom, Core ahead and survey in Hard broken formation, No water return all shift, Toolbox meeting.</t>
  </si>
  <si>
    <t xml:space="preserve">flush hole, drill onto EOH, surveys @144.3 @EOH, EOH HWT rod pull, flush pwt casing, pull pwt casing, rig down, pack up site, rig move between holes. </t>
  </si>
  <si>
    <t>SF25_DMET049</t>
  </si>
  <si>
    <t>Crew Change day, Pre-Shift Meeting, Pre-Start Equipment checks, Flush hole, Core ahead PQ3, Bit change, Run barrel with rod grease, drill on.</t>
  </si>
  <si>
    <t xml:space="preserve">Pre-Shift Meeting, Pre-Start Equipment checks, flush hole, continue coring to survey, drill onto survey, drill on to survey. mix muds and condition hole throughout shift perform periodic viscosity checks. </t>
  </si>
  <si>
    <t>Pre-Shift Meeting, Pre-Start Equipment checks, Flush hole, Core ahead PQ3, to EOH @140.1m, Pull Barrel, Hook up to PWT, PWT stuck Flush and work, Rig move off alignment, Re Set Rig, Work Casing, Free Casing and pull on to Truck, Mast down, Start packing site, line next sump and get filling.</t>
  </si>
  <si>
    <t>SF25_DMET048</t>
  </si>
  <si>
    <t>Pre-Shift Meeting, Pre-Start Equipment checks, finish pack up, rig move , rig up, Azi shot, set up site to drill, drill from surface to 7.9, Pull Barrel, Open hole with 6-1/2" rock Roller to 6m, Pull Roller, Run and Set PVC Casing, Run Barrel, flush to bottom, drill on to end of shift, mix mud condition hole throughout shift.</t>
  </si>
  <si>
    <t>Pre-Shift Meeting, Pre-Start Equipment checks, Flush hole, Core ahead PQ3 very broken ground, Pull barrel @19.9m, Run PHD casing blank, Ream PWT casing to 18m, Pull Blank, Re cement PVC Casing</t>
  </si>
  <si>
    <t>Pre-Shift Meeting, Pre-Start Equipment checks, run in 3m gear, drill on, survey, drill on, survey, drill on. mix mud condition hole throughout shift. barrel configuration-3m standard O/S fer O/S ber-bit new 7SA-HA91304/7</t>
  </si>
  <si>
    <t xml:space="preserve">Pre-Shift Meeting, Pre-Start Equipment checks, Flush hole, Core ahead PQ3 Hard Ground Formation. </t>
  </si>
  <si>
    <t>Pre-Shift Meeting, Pre-Start Equipment checks, Core ahead PQ3 Hard Ground Formation, Pull barrel for bit change, Change Front reamer as was U/S, Run Rods with rod grease, Ream to bottom, Toolbox Meeting at EOS</t>
  </si>
  <si>
    <t>toolbox, Pre-Shift Meeting, Pre-Start Equipment checks, drill on to survey, drill on, survey, drill on, pull out excessive rod chatter, pulled out, back reamer was damaged pads missing, replaced, ran in greased, flushed, drilled on. mix mud condition hole throughout shift. ground conditions-hard-broken barrel configuration-3m blk ber std fer bit- 7-9 PQ3 #356185</t>
  </si>
  <si>
    <t>Lightning standby</t>
  </si>
  <si>
    <t>SF25_DMET047</t>
  </si>
  <si>
    <t xml:space="preserve">Pre-Shift Meeting, Pre-Start Equipment checks, Pull barrel, Open hole to 2m with 6-1/2" Roller, insert and set PVC casing, Run 3-7/8" roller to clear hole to 7.8m, Pull Roller, Run PHD casing blank, Ream 6m PWT Casing, Flush with casing pac, Pull PHD Blank, Flush PQ barrel to bottom of hole and core ahead. </t>
  </si>
  <si>
    <t xml:space="preserve">Pre-Shift Meeting, Pre-Start Equipment checks, flush hole, drill on, bit change, run it, drill onto survey, drill on to survey, drill on to EOS. mix muds condition hole throughout shift. barrel configuration-3m ovs ber std fer bit- 7-9 PQ3 #356185 </t>
  </si>
  <si>
    <t>Lightning delay 3.5 hours</t>
  </si>
  <si>
    <t>Pre-Shift Meeting, Pre-Start Equipment checks, Core ahead and survey, Shut down for Lightning.</t>
  </si>
  <si>
    <t>Pre-Shift Meeting, Pre-Start Equipment checks, flush hole, drill on to survey drill onto survey,drill on to EOS. mix muds condition hole throughout shift.</t>
  </si>
  <si>
    <t>Lightning delay 1.5</t>
  </si>
  <si>
    <t xml:space="preserve">Pre-Shift Meeting, Pre-Start Equipment checks, Core ahead very hard formation, Bit change to softer matrix bit, Shut down for Lightning. </t>
  </si>
  <si>
    <t>delay-lightning, Pre-Shift Meeting, Pre-Start Equipment checks, flush hole (no water return), continue coring PQ3, excessive rod chatter, pulled rods, rod greased, ran in, drilled onto survey mix muds condition hole throughout shift. ground conditions-very hard throughout shift,</t>
  </si>
  <si>
    <t xml:space="preserve">Pre-Shift Meeting, Pre-Start Equipment checks, Core ahead very hard formation. </t>
  </si>
  <si>
    <t>SF25_DMET034</t>
  </si>
  <si>
    <t>Lightning delay 2.5</t>
  </si>
  <si>
    <t xml:space="preserve">Pre-Shift Meeting, Pre-Start Equipment checks, EOH site pack up, pull rods, flush casing free up, pull casing, site pack up, delay lightning, rig move, rig up, mast shot. site set up. </t>
  </si>
  <si>
    <t>Site evacuation due to fires</t>
  </si>
  <si>
    <t>Pre-Shift Meeting, Pre-Start Equipment checks, Mast check shot, Reconnect Polly line to site and start filling sumps, Continue set up site, consult client about local bushfire, Consult DDH1 Operations, Make the call to move humpy and second lighting plant to laydown area, Start drilling from surface, 13.30 notice that fire had come to close for safe operations, Consult Client and DDH1 Operations, Wake up Nightshift and Evacuate site to Doon Doon Roadhouse.</t>
  </si>
  <si>
    <t>No drilling due to bushfires on site</t>
  </si>
  <si>
    <t>No Shift Worked due to bushfire, Crew evacuated to Doon Doon Roadhouse</t>
  </si>
  <si>
    <t>No Shift Worked crew at Doon Doon Roadhouse. Wade travel to Site with client, Fire still active on site, Travel back to Doon Doon</t>
  </si>
  <si>
    <t>Productivity metric Average</t>
  </si>
  <si>
    <t>RIG 18</t>
  </si>
  <si>
    <t>Drill Costs</t>
  </si>
  <si>
    <t>Hole 3</t>
  </si>
  <si>
    <t>Hole 4</t>
  </si>
  <si>
    <t>Hole Purpose</t>
  </si>
  <si>
    <t>0-50m</t>
  </si>
  <si>
    <t>50m-100m</t>
  </si>
  <si>
    <t>100m-150m</t>
  </si>
  <si>
    <t>150m-200m</t>
  </si>
  <si>
    <t>200m-250m</t>
  </si>
  <si>
    <t>250m-300m</t>
  </si>
  <si>
    <t>Total Daily Meters</t>
  </si>
  <si>
    <t>Booster (p/hr)</t>
  </si>
  <si>
    <t>Aux Compressor (p/hr)</t>
  </si>
  <si>
    <t>Azi Aligner (p/day)</t>
  </si>
  <si>
    <t>Gyro (p/day)</t>
  </si>
  <si>
    <t>Active Rate Total hours</t>
  </si>
  <si>
    <t>Inactive Total</t>
  </si>
  <si>
    <t>non-charged Hours</t>
  </si>
  <si>
    <t>Total (Fix if not 12hrs)</t>
  </si>
  <si>
    <t>Comment</t>
  </si>
  <si>
    <t>Total Tooling Cost</t>
  </si>
  <si>
    <t>Total Auxillary Equipment Cost</t>
  </si>
  <si>
    <t>Total Activity hours Cost</t>
  </si>
  <si>
    <t>Plod Cost Comparison</t>
  </si>
  <si>
    <t>Provide context on Maintenance</t>
  </si>
  <si>
    <t>Tim Leaman</t>
  </si>
  <si>
    <t>SF25_RCRD027</t>
  </si>
  <si>
    <t>water intersected @ 6m</t>
  </si>
  <si>
    <t>https://www.coreplan.io/app/ddh1-drilling/speewah-mining-speewah-fluorite-project-strike/plods/6174</t>
  </si>
  <si>
    <t>SF25_RCRD028</t>
  </si>
  <si>
    <t>SF25_RCRD029</t>
  </si>
  <si>
    <t>ground water intersected at 6m Maintenance- track maintenance on rig walker (2.75hrs)</t>
  </si>
  <si>
    <t>SF25_RCRD030</t>
  </si>
  <si>
    <t>SF25_RCRD031</t>
  </si>
  <si>
    <t>SF25_RCRD058 ground water intersected at 6m SF25_RCRD060 ground water intersected at 5m Maintenance-finish off track maintenance on rig walker (0.5hrs)</t>
  </si>
  <si>
    <t>SF25_RCRD032</t>
  </si>
  <si>
    <t>SF25_RCRD033</t>
  </si>
  <si>
    <t>SF25_RCRD034</t>
  </si>
  <si>
    <t>SF25_RCRD061 ground water intersected at 50m SF25_RCRD062 ground water intersected at 5m , inspected and signed off next 10 drill pads with client</t>
  </si>
  <si>
    <t>SF25_RCRD035</t>
  </si>
  <si>
    <t>SF25_RCRD036</t>
  </si>
  <si>
    <t>SF25_RCRD037</t>
  </si>
  <si>
    <t>SF25_RCRD066 ground water intersected at 52m Bulk water intersected at 72m SF25_RCRD066 unable to contain water and sample turned wet inform client and end of hole was called</t>
  </si>
  <si>
    <t>SF25_RCRD038</t>
  </si>
  <si>
    <t>SF25_RCRD039</t>
  </si>
  <si>
    <t>SF25_RCRD081</t>
  </si>
  <si>
    <t>SF25_RCRD082</t>
  </si>
  <si>
    <t>SF25-RCRD081 ground water intersection at 28m SF25-RCRD082 ground water intersection 34m</t>
  </si>
  <si>
    <t>SF25_RCRD083</t>
  </si>
  <si>
    <t>SF25_RCRD084</t>
  </si>
  <si>
    <t>Plod rejected due to accomodation cost not matching people on site - 	SF25-RCRD082 ground water intersection 34m
SF25_RCRC083 ground water intersection at 76m</t>
  </si>
  <si>
    <t>Hugh Reynolds</t>
  </si>
  <si>
    <t>6 hours breakdown</t>
  </si>
  <si>
    <t>SF25_RCRD085</t>
  </si>
  <si>
    <t>Spent a lot of active time due to hitting bulk water</t>
  </si>
  <si>
    <t>SF25_RCRD086</t>
  </si>
  <si>
    <t>SF25_RCRD087</t>
  </si>
  <si>
    <t>Active time being charged at higher rate than listed on this sheet - follow up</t>
  </si>
  <si>
    <t>SF25_RCRD088</t>
  </si>
  <si>
    <t>repair slipped drill rig track</t>
  </si>
  <si>
    <t>Maintenance- repair slipped drill rig track.</t>
  </si>
  <si>
    <t>SF25_RCRD002</t>
  </si>
  <si>
    <t>SF25_RCRD001</t>
  </si>
  <si>
    <t>SF25_RCRD005</t>
  </si>
  <si>
    <t>SF25_RCRD004</t>
  </si>
  <si>
    <t>SF25_RCRD003</t>
  </si>
  <si>
    <t>SF25_RCRD006</t>
  </si>
  <si>
    <t>SF25_RCRD007</t>
  </si>
  <si>
    <t>SF25_RCRD006 no water intersection. SF25_RCRD007 water intersection at 34m and another heavy water table at 66m Maintenance- swap out hydraulic pump.</t>
  </si>
  <si>
    <t>SF25_RCRD008</t>
  </si>
  <si>
    <t>SF25_RCRD008 water intersection at 22m Maintenance- on going maintenance regarding hydraulics and replace sample hose.</t>
  </si>
  <si>
    <t>SF25_RCRD009</t>
  </si>
  <si>
    <t>Clean up fuel spill and write up witness statements in the morning. Maintenance - Fitter onsite to assist in diagnosing AUX pump function issues. SF25_RCRC009 - Groundwater from 22m</t>
  </si>
  <si>
    <t>SF25_RCRD010</t>
  </si>
  <si>
    <t>SF25_RCRD011</t>
  </si>
  <si>
    <t>Kane Barton</t>
  </si>
  <si>
    <t>Planned maintenance</t>
  </si>
  <si>
    <t>RC010- Groundwater from 22M, Sump filled at 70M. Active work rate allocated to setting up &amp; pumping sump to allow drilling to continue. Maintenance- Cyclone knuckle plate repaired, Breakout solenoids replaced, Hydralic oil drained.</t>
  </si>
  <si>
    <t>SF25_RCRD012</t>
  </si>
  <si>
    <t>SF25_RCRD013</t>
  </si>
  <si>
    <t>RC11 - Groundwater from 40M RC12- Groundwater from 22m, increasing significantly from 60M RC13- Groundwater from 22M, increasing from 50M 3200L diesel taken from fuel farm.</t>
  </si>
  <si>
    <t>SF25_RCRD014</t>
  </si>
  <si>
    <t>SF25_RCRD015</t>
  </si>
  <si>
    <t>SF25_RCRD016</t>
  </si>
  <si>
    <t>RC14 - Groundwater from 40m RC15- Groundwater from 30M increasing significantly from 60m</t>
  </si>
  <si>
    <t>SF25_RCRD017</t>
  </si>
  <si>
    <t>SF25_RCRD018</t>
  </si>
  <si>
    <t>RC16 - Groundwater from 40m increasing with depth, difficulty retaining dry sample from 124m onward. RC17 - Groundwater from 34m. RC18 - Groundwater from 18M. Increasing with depth.</t>
  </si>
  <si>
    <t>SF25_RCRD019</t>
  </si>
  <si>
    <t>SF25_RCRD020</t>
  </si>
  <si>
    <t>SF25_RCRD021</t>
  </si>
  <si>
    <t>RC18 - Groundwater from 18M. Increasing with depth. Significant volumes from 70m. RC20 - groundwater from 30m. RC21 - Groundwater from 10M. Maintenance - Auxiliary 250Hr service completed.</t>
  </si>
  <si>
    <t>SF25_RCRD022</t>
  </si>
  <si>
    <t>SF25_RCRD023</t>
  </si>
  <si>
    <t>RC21 - groundwater from 10m, Large volumes from 120m RC22 - Groundwater from 10M RC22 - Groundwater from 10M, Sump filled @ 50M. 2340L diesel taken from fuel farm.</t>
  </si>
  <si>
    <t>SF25_RCRD024</t>
  </si>
  <si>
    <t>SF25_RCRD025</t>
  </si>
  <si>
    <t>RC24 - Groundwater from 10M. Large volumes from 80M. 2 sumps filled to complete hole. RC25 - Groundwater from 16M. - Starter rod inner tube replaced due to wear - Top hammer tube replaced.</t>
  </si>
  <si>
    <t>Rod handler Stripped down and fixed</t>
  </si>
  <si>
    <t>Breakdown awaiting parts. - Rig service completed. - Mast inspection &amp; Lube completed. - Rod handler stripped down. - Fleet washed. - Assorted maintenance jobs completed on equipment. - Genset service completed.</t>
  </si>
  <si>
    <t>SDR18 RHS Track repaired, seals replaced within tensioning cylinder, Brake pack replaced on rod handler, cup &amp; Arm re mounted</t>
  </si>
  <si>
    <t>SDR18 RHS Track repaired, seals replaced within tensioning cylinder, Brake pack replaced on rod handler, cup &amp; Arm re mounted.</t>
  </si>
  <si>
    <t>SF25_RCRD026</t>
  </si>
  <si>
    <t>SF25_RCRD115</t>
  </si>
  <si>
    <t>RC026 - Groundwater from 10M. Large volumes from 60m, 3 sumps filled. Drilled 16m long drop in camp.</t>
  </si>
  <si>
    <t>SF25_RCRD162</t>
  </si>
  <si>
    <t>RC115- Groundwater from 60M. Large volumes from 140m. RC162 - Groundwater from 10m. Increasing with depth. Sample hose repaired, Rotation lever replaced on rig. Unable to tram to RC164 as requested, approach angle to steep, set up on RC162</t>
  </si>
  <si>
    <t>SF25_RCRD158</t>
  </si>
  <si>
    <t>RC162 - Groundwater from 10m. Increasing with depth. Large volumes from 100m. Hole ended early due to historic hole within pad vicinity discharging toward work area creating unsafe working conditions.</t>
  </si>
  <si>
    <t>SF25_RCRD160</t>
  </si>
  <si>
    <t>SF25_RCRD149</t>
  </si>
  <si>
    <t>SF25_RCRD145</t>
  </si>
  <si>
    <t>SF25_RCRD0149 ground water intersection at 34m Consumable Downhole hammer tube - monthly expenses added</t>
  </si>
  <si>
    <t>SF25_RCRD133</t>
  </si>
  <si>
    <t>SF25_RCRD136</t>
  </si>
  <si>
    <t>Repair blown sample hosee</t>
  </si>
  <si>
    <t>SF25_RCRD140</t>
  </si>
  <si>
    <t>SF25_RCRD143</t>
  </si>
  <si>
    <t>SF25_RCRD146</t>
  </si>
  <si>
    <t>Cyclone removed to replace worn bolts</t>
  </si>
  <si>
    <t xml:space="preserve">SF146 ground water intersection at 70m </t>
  </si>
  <si>
    <t>SF25_RCRD131</t>
  </si>
  <si>
    <t>Replace all cyclone rotation bolts and attach cyclone. Await parts until 11:30am</t>
  </si>
  <si>
    <t>SF131 ground water intersection at 28m William Howard to be added to this plod- Offsider.</t>
  </si>
  <si>
    <t>SF25_RCRD127</t>
  </si>
  <si>
    <t>Bit change and break down hammer due to abrasive ground conditions</t>
  </si>
  <si>
    <t>SF127 ground water intersection at 60M William Howard to be added to this plod- Offsider.</t>
  </si>
  <si>
    <t>SF25_RCRD123</t>
  </si>
  <si>
    <t>SF25_RCRD120</t>
  </si>
  <si>
    <t>SF127 ground water intersection at 60M SF123 Groumdwater from 80M.</t>
  </si>
  <si>
    <t>SF25_RCRD054</t>
  </si>
  <si>
    <t>Toolbox meeting @ end of shift. SF120 Large volumes of groundwater from 140m SF054 Slight Groundwater from 90M</t>
  </si>
  <si>
    <t>SF25_RCRD055</t>
  </si>
  <si>
    <t>SF25_RCRD056</t>
  </si>
  <si>
    <t>Travel Half way to Doon Doon to assist offsider with tyre change.</t>
  </si>
  <si>
    <t>SF054 Slight Groundwater from 90m SF055 Groundwater from 30m SF056 Groundwater from 30m</t>
  </si>
  <si>
    <t>SF25_RCRD058</t>
  </si>
  <si>
    <t>SF25_RCRD300</t>
  </si>
  <si>
    <t>SF057 Groundwater from 10M. SF300 Groundwater from 40m</t>
  </si>
  <si>
    <t>SF25_RCRD059</t>
  </si>
  <si>
    <t>SF300 Groundwater from 40m SF58 Groundwater from 10M SF59 Small amounts of Groundwater from 30M</t>
  </si>
  <si>
    <t>SF25_RCRD060</t>
  </si>
  <si>
    <t>SF25_RCRD061</t>
  </si>
  <si>
    <t>SF25_RCRD062</t>
  </si>
  <si>
    <t>SF60 slight groundwater from 10m SF61 Groundwater from 30M increasing significantly from 58M. SF62 slight groundwater from 60M</t>
  </si>
  <si>
    <t>SF25_RCRD063</t>
  </si>
  <si>
    <t>SF25_RCRD064</t>
  </si>
  <si>
    <t>SF25_RCRD066</t>
  </si>
  <si>
    <t>Completed cyclone maintenance</t>
  </si>
  <si>
    <t>SF63 Groumdwater from 30m. Large volumes from 88m. 1 sump filled. SF64 No noticeable amounts of groundwater whilst drilling. SF66 No noticeable amounts of groundwater whilst drilling.</t>
  </si>
  <si>
    <t>SF25_RCRD065</t>
  </si>
  <si>
    <t>SF25_RCRD068</t>
  </si>
  <si>
    <t>SF25_RCRD067</t>
  </si>
  <si>
    <t>Cross over pipe removed &amp; insert replaced</t>
  </si>
  <si>
    <t>SF65 Groundwater from 10M. Large volumes from 80M. SF68 Groundwater from 24M. SF67 Groundwater from 10M.</t>
  </si>
  <si>
    <t>SF25_RCRD080</t>
  </si>
  <si>
    <t>SF25_RCRD079</t>
  </si>
  <si>
    <t>weekly toolbox</t>
  </si>
  <si>
    <t>SF67 Groundwater from 10M. SF80 Groundwater from 46M. SF79 Groundwater from 10M</t>
  </si>
  <si>
    <t>SF25_RCRD078</t>
  </si>
  <si>
    <t>SF25_RCRD077</t>
  </si>
  <si>
    <t>SF79 Groundwater from 10M, volumes increasing significantly from 80M. Aquifer intercepted @ 106M through ground transition, 4 sumps filled between 106M-136M. Unable to contain water to reach end of hole depth. SF78 Groundwater from 16M, Increasing with depth from 30M onward. SF77 Groundwater from 16M, Increasing significantly from 82M.</t>
  </si>
  <si>
    <t>SF25_RCRD076</t>
  </si>
  <si>
    <t>SF25_RCRD074</t>
  </si>
  <si>
    <t>SF76 Groundwater from 18M. SF74 Groundwater from 18M.</t>
  </si>
  <si>
    <t>SF25_RCRD075</t>
  </si>
  <si>
    <t>SF25_RCRD220</t>
  </si>
  <si>
    <t>SF74 Groundwater from 18M. Significant volumes from 184M. SF75 Groundwater from 16M Significant volumes from 82M. SF220 Groundwater from 34M.</t>
  </si>
  <si>
    <t>SF25_RCRD212</t>
  </si>
  <si>
    <t>SF220 Groundwater from 34M. Bit change @ 112M. SF212 Groundwater from 6M, Hole cased 24M to competent ground due to expectations for large amounts of groundwater. Aquifer intersected @ 106M filling one sump.</t>
  </si>
  <si>
    <t>SF25_RCRD221</t>
  </si>
  <si>
    <t>SF25_RCRD222</t>
  </si>
  <si>
    <t>SF212 Groundwater from 6M, Hole cased 24M to competent ground due to expectations for large amounts of groundwater. Aquifer intersected @ 106M filling one sump. Large volumes of water to EOH. SF221 Groundwater from 34M. SF222 Groundwater from 12M.</t>
  </si>
  <si>
    <t>SF25_RCRD214</t>
  </si>
  <si>
    <t>SF25_RCRD073</t>
  </si>
  <si>
    <t>SF25_RCRD072</t>
  </si>
  <si>
    <t>250 hr service</t>
  </si>
  <si>
    <t>SF214 Groundwater from 30M SF73 Groundwater from 16M SS72 Groundwater from 16M increasing significantly by EOH.</t>
  </si>
  <si>
    <t>SF25_RCRD071</t>
  </si>
  <si>
    <t>SF25_RCRD053</t>
  </si>
  <si>
    <t>SF25_RCRD052</t>
  </si>
  <si>
    <t>SF071 ground water intersection at 18m SF053 ground water intersection at 18m SF052 ground water intersection at 24m</t>
  </si>
  <si>
    <t>SF25_RCRD050</t>
  </si>
  <si>
    <t>SF050 ground water intersection at 70m. Maintenance - replaced blown mast dump water injection hose - replace leaking traverse cylinder fitting in the mast - replace leaking breakout hose</t>
  </si>
  <si>
    <t>SF25_RCRD051</t>
  </si>
  <si>
    <t>SF25_RCRD049</t>
  </si>
  <si>
    <t>SF25_RCRD048</t>
  </si>
  <si>
    <t>SF051 ground water intersection at 28m SF049 ground water intersection at 64m SF048 ground water intersection at 84m Oliver Carlyle to be added to the plod for 12hrs</t>
  </si>
  <si>
    <t>SF25_RCRD047</t>
  </si>
  <si>
    <t>SF25_RCRD046</t>
  </si>
  <si>
    <t>F048 ground water intersection at 84m SF047 ground water intersection at 30m Oliver Carlyle to be added to the plod for 12hrs</t>
  </si>
  <si>
    <t>SF25_RCRD045</t>
  </si>
  <si>
    <t>SF046 ground water intersection at 70m SF045 ground water intersection at 58m</t>
  </si>
  <si>
    <t>SF25_RCRD044</t>
  </si>
  <si>
    <t>SF044 ground water intersection at 40m Maintenance - replace rotation motor on rod loader.</t>
  </si>
  <si>
    <t>SF25_RCRD043</t>
  </si>
  <si>
    <t>SF25_RCRD042</t>
  </si>
  <si>
    <t>SF25_RCRD109</t>
  </si>
  <si>
    <t>SF043 ground water intersection at 28m SF042 ground water intersection at 36m SF109 ground water intersection at 34m</t>
  </si>
  <si>
    <t>SF25_RCRD203</t>
  </si>
  <si>
    <t>SF25_RCRD110</t>
  </si>
  <si>
    <t>MONTHLY: FLIGHTS $10475.91 - FREIGHT $ 10699.27 -SF203 no ground water intersections SF110 ground water intersection at 46m</t>
  </si>
  <si>
    <t>SF25_RCRD233</t>
  </si>
  <si>
    <t>SF25_RCRD229</t>
  </si>
  <si>
    <t>SF25_RCRD182</t>
  </si>
  <si>
    <t>SF25_RCRD174</t>
  </si>
  <si>
    <t>SF25_RCRD168</t>
  </si>
  <si>
    <t>SF174 Groundwater from 18M. Aquifer intersected @ 88M, large volumes of groundwater. Volumes increasing until EOH. Sump continually pumped to complete hole. SF168 Groundwater @ 30M</t>
  </si>
  <si>
    <t>SF25_RCRD157</t>
  </si>
  <si>
    <t>SF25_RCRD070</t>
  </si>
  <si>
    <t>SF157 Groundwater from 30M, Large volumes from 90M. SF70 No groundwater intercepted.</t>
  </si>
  <si>
    <t>SF25_RCRD069</t>
  </si>
  <si>
    <t>Demob</t>
  </si>
  <si>
    <t>demob</t>
  </si>
  <si>
    <t>Demobilisation, Tramming/floating equipment off site &amp; packing up lay down.</t>
  </si>
  <si>
    <t>completed demob</t>
  </si>
  <si>
    <t>Completed floating booster off site and packed up laydown; all equipment driven off-site in the afternoon.</t>
  </si>
  <si>
    <t>Rig16</t>
  </si>
  <si>
    <t>PB collar</t>
  </si>
  <si>
    <t>PB</t>
  </si>
  <si>
    <t>MB collar</t>
  </si>
  <si>
    <t>MB</t>
  </si>
  <si>
    <t>14.5" (381mm)</t>
  </si>
  <si>
    <t>12.5" (312mm)</t>
  </si>
  <si>
    <t>9.5" (230mm)</t>
  </si>
  <si>
    <t>6" (150mm)</t>
  </si>
  <si>
    <t>Survey camera (p/day)</t>
  </si>
  <si>
    <t>Active Rate Total hours (Worktime)</t>
  </si>
  <si>
    <t xml:space="preserve">Comment if worktime &amp; Drill time is less than 11hours </t>
  </si>
  <si>
    <t>100mm Class 12 PVC Casing plan</t>
  </si>
  <si>
    <t>100mm Class 12 PVC Slotted cas</t>
  </si>
  <si>
    <t>200mm Top cap and End cap</t>
  </si>
  <si>
    <t>Steel casing 350 NB</t>
  </si>
  <si>
    <t>Steel well cover power coated lockable</t>
  </si>
  <si>
    <t>Concrete Plinth</t>
  </si>
  <si>
    <t>Gravel Pack material</t>
  </si>
  <si>
    <t>Casing centraliser</t>
  </si>
  <si>
    <t>Drilling Fluids</t>
  </si>
  <si>
    <t>Bentonite Palets</t>
  </si>
  <si>
    <t>Cement bag</t>
  </si>
  <si>
    <t>Other Consumables</t>
  </si>
  <si>
    <t>Mobilisation: AWAITING PLOD</t>
  </si>
  <si>
    <t>PL_SF25_RHYD008</t>
  </si>
  <si>
    <t>Riley T</t>
  </si>
  <si>
    <t>rig maintenance, no offsider to start drilling.  Set up at TSF1</t>
  </si>
  <si>
    <t>PL_SF25_RHYD009</t>
  </si>
  <si>
    <t>TSF1 - install 100mm PVC. TSF2 - collared hole, 10" stell installed, blow hydraulic hose</t>
  </si>
  <si>
    <t>Gravel packing on 6 bores</t>
  </si>
  <si>
    <t>PL_SF25_RHYD010</t>
  </si>
  <si>
    <t>TSF1 - cement seal, TSF2 - water strike at 16m, gravel from 23-5m, 1m bento seal. TSF3 - collar hole</t>
  </si>
  <si>
    <t>water strike 20m, install PVC, gravel from 23-5m. 1m bento seal.  Maintenance on access roads</t>
  </si>
  <si>
    <t>Maurice</t>
  </si>
  <si>
    <t>Rig at camp, crew doing headworks</t>
  </si>
  <si>
    <t>PL_SF25_HYD027</t>
  </si>
  <si>
    <t xml:space="preserve">Travel to KNX to pick up compressor, tyresd and monuments </t>
  </si>
  <si>
    <t>Rig at camp, crew doing other works, should this be inactive rate?</t>
  </si>
  <si>
    <t>Rig 16 at camp, why maurice has RDO and it says 10hr of work? revise with iDrilling</t>
  </si>
  <si>
    <t>PL_SF25_HYD002</t>
  </si>
  <si>
    <t>Rig18</t>
  </si>
  <si>
    <t xml:space="preserve">Comments </t>
  </si>
  <si>
    <t>200mm Class 12 PVC Casing Plain</t>
  </si>
  <si>
    <t>200mm Class 12 PVC Casing Slotted</t>
  </si>
  <si>
    <t>100mm Top cap and End cap</t>
  </si>
  <si>
    <t>Steel casing 250 NB</t>
  </si>
  <si>
    <t>Mobilisation per bore</t>
  </si>
  <si>
    <t>Run Casing</t>
  </si>
  <si>
    <t>Other</t>
  </si>
  <si>
    <t>Mobilisation</t>
  </si>
  <si>
    <t>PL_SF25_RHYD006</t>
  </si>
  <si>
    <t>install 100mm PVC, Drill pad not ready</t>
  </si>
  <si>
    <t>PL_SF25_RHYD004</t>
  </si>
  <si>
    <t>PL_SF25_RHYD016</t>
  </si>
  <si>
    <t>PL_SF25_RHYD017</t>
  </si>
  <si>
    <t>PL_SF25_RHYD018</t>
  </si>
  <si>
    <t>PL_SF25_RHYD003</t>
  </si>
  <si>
    <t>RDO day for Crew, fitter carrying out maintenance on rig</t>
  </si>
  <si>
    <t>PL_SF25_RHYD011</t>
  </si>
  <si>
    <t>Late arrival of Rig16.  All day travel to site.</t>
  </si>
  <si>
    <t>Rod handler broken - awaiting spares from Perth</t>
  </si>
  <si>
    <t>Aaron</t>
  </si>
  <si>
    <t>HYD25-003 moved 3m away from sump</t>
  </si>
  <si>
    <t>Smoking ceremony</t>
  </si>
  <si>
    <t>PL_SF25_RHYD012</t>
  </si>
  <si>
    <t>PL_SF25_RHYD013</t>
  </si>
  <si>
    <t>PL_SF25_RHYD014</t>
  </si>
  <si>
    <t>PL_SF25_RHYD015</t>
  </si>
  <si>
    <t>PL_SF25_RHYD028</t>
  </si>
  <si>
    <t>Note rig in use until 2pm, then at camp for maintenance</t>
  </si>
  <si>
    <t>PL_SF25_RHYD027</t>
  </si>
  <si>
    <t>Diameter 1</t>
  </si>
  <si>
    <t>Diameter 2</t>
  </si>
  <si>
    <t>Diameter (1)</t>
  </si>
  <si>
    <t>Diameter (2)</t>
  </si>
  <si>
    <t>Cost per metre</t>
  </si>
  <si>
    <t>Ori Tool</t>
  </si>
  <si>
    <t>Total Consumables Cost</t>
  </si>
  <si>
    <t>Budget</t>
  </si>
  <si>
    <t>Campaign</t>
  </si>
  <si>
    <t>Planned Holes</t>
  </si>
  <si>
    <t>Planned Metres</t>
  </si>
  <si>
    <t>DD38</t>
  </si>
  <si>
    <t>Sum of Total Consumables Cost (-accom)</t>
  </si>
  <si>
    <t>Sum of Accom Cost</t>
  </si>
  <si>
    <t>Count of Date</t>
  </si>
  <si>
    <t>DD41</t>
  </si>
  <si>
    <t>Sum of Total Consumables Cost (-Accom)</t>
  </si>
  <si>
    <t>Sum of Total Activity hours Cost</t>
  </si>
  <si>
    <t>Sum of Booster (p/hr)</t>
  </si>
  <si>
    <t>Sum of Aux Compressor (p/hr)</t>
  </si>
  <si>
    <t xml:space="preserve">Output from </t>
  </si>
  <si>
    <t>Out of budget</t>
  </si>
  <si>
    <t>Tool Hire</t>
  </si>
  <si>
    <t>Auxillary Equipment Cost</t>
  </si>
  <si>
    <t>In budget</t>
  </si>
  <si>
    <t>Activity costs</t>
  </si>
  <si>
    <t>Grand total across all rigs</t>
  </si>
  <si>
    <t>In Budget</t>
  </si>
  <si>
    <t>Out of Budget</t>
  </si>
  <si>
    <t>Civil Support (2025)</t>
  </si>
  <si>
    <t>Road Allignment Survey &amp; Pickup of 2024 collars</t>
  </si>
  <si>
    <t>???</t>
  </si>
  <si>
    <t>Historic Drill Collar pickups</t>
  </si>
  <si>
    <t>Access Tracks, Pads, Sumps, Testpits</t>
  </si>
  <si>
    <t>In budget includes demob</t>
  </si>
  <si>
    <t>New Access Road allignment clearing &amp; Testpits</t>
  </si>
  <si>
    <t>Camp/Accommodation</t>
  </si>
  <si>
    <t>Rehabilitation (5% of Direct)</t>
  </si>
  <si>
    <t>Final Survey of New Collars</t>
  </si>
  <si>
    <t xml:space="preserve">Not yet complete. Tivan asset acquired. </t>
  </si>
  <si>
    <t>Contingnency (5%)</t>
  </si>
  <si>
    <t>Hydrogeological Drilling (2025)</t>
  </si>
  <si>
    <t>Total Activity Hours</t>
  </si>
  <si>
    <t>Preliminaries</t>
  </si>
  <si>
    <t>27 x Monitoring / TSF Bores</t>
  </si>
  <si>
    <t>1 x Production Bore</t>
  </si>
  <si>
    <t>Pump Testing 1 x Bore</t>
  </si>
  <si>
    <t>Ancillary Equipment &amp; Materials</t>
  </si>
  <si>
    <t>SRK Supervision</t>
  </si>
  <si>
    <t>Projected Required Budget</t>
  </si>
  <si>
    <t>Resource &amp; Geotech Drilling (20250221)</t>
  </si>
  <si>
    <t xml:space="preserve">200m left to drill @ 359$/m </t>
  </si>
  <si>
    <t>[BL1] Infill Drilling (163 no. Holes, 19,285m)</t>
  </si>
  <si>
    <t xml:space="preserve">Assuming 100$/m RC rates and 359$/m  diamond. </t>
  </si>
  <si>
    <t>G-Vein Resource Extension Drilling (44 no. Holes, 5,516m)</t>
  </si>
  <si>
    <t>A-Vein Resource Extension Drilling  (47 no. Holes, 4,185m)</t>
  </si>
  <si>
    <t>[BL1] Dingo Vein Wide Spacing (7 no. Holes, 630m)</t>
  </si>
  <si>
    <t xml:space="preserve">Assuming 100$/m RC rates </t>
  </si>
  <si>
    <t>[BL1] Southern Veins Wide Spacing (10 no. Holes, 900m)</t>
  </si>
  <si>
    <t>Consumables (5% of Drilling &amp; Assay Costs)</t>
  </si>
  <si>
    <t>Accommodation &amp; Messing (4% of Direct)</t>
  </si>
  <si>
    <t>Transport ($600 per 50m per pallet)</t>
  </si>
  <si>
    <t>Laboratory Assays</t>
  </si>
  <si>
    <t>[BL1] Laboratory Assays (Monitoring Bores)</t>
  </si>
  <si>
    <t>[BL1] Laboratory Assays (Met Sample)</t>
  </si>
  <si>
    <t>[BL1] Laboratory Assays (Infill Sample)</t>
  </si>
  <si>
    <t>[BL1] Laboratory Assays (G-Vein Sample)</t>
  </si>
  <si>
    <t>[BL1] Laboratory Assays (A-Vein Sample)</t>
  </si>
  <si>
    <t>[BL1] Laboratory Assays (Dingo-Vein Sample)</t>
  </si>
  <si>
    <t>[BL1] Laboratory Assays (Southern-Vein Sample)</t>
  </si>
  <si>
    <t>Average Cost per Metre</t>
  </si>
  <si>
    <t>Cost to date</t>
  </si>
  <si>
    <t>Forecast for Remaining Work</t>
  </si>
  <si>
    <t>Estimated Cost at Completion</t>
  </si>
  <si>
    <t>Cost of Activity Hours</t>
  </si>
  <si>
    <t>Recommendation for Award</t>
  </si>
  <si>
    <t>Actual to Date</t>
  </si>
  <si>
    <t>Forecast Remaining</t>
  </si>
  <si>
    <t>Estimate at Completion</t>
  </si>
  <si>
    <t>Description</t>
  </si>
  <si>
    <t>No. Holes</t>
  </si>
  <si>
    <t>m</t>
  </si>
  <si>
    <t>All-in</t>
  </si>
  <si>
    <t>No.</t>
  </si>
  <si>
    <t>Metallurgy</t>
  </si>
  <si>
    <t>PQ</t>
  </si>
  <si>
    <t>Geotech</t>
  </si>
  <si>
    <t>HQ</t>
  </si>
  <si>
    <t>Infill</t>
  </si>
  <si>
    <t>G-Vein</t>
  </si>
  <si>
    <t>A-Vein</t>
  </si>
  <si>
    <t>Southern</t>
  </si>
  <si>
    <t>Consumables</t>
  </si>
  <si>
    <t>Accomodation</t>
  </si>
  <si>
    <t>Hole number</t>
  </si>
  <si>
    <t>A Vein DD</t>
  </si>
  <si>
    <t>G Vein DD</t>
  </si>
  <si>
    <t>SF25_DDRD014</t>
  </si>
  <si>
    <t>SF25_DDRD016</t>
  </si>
  <si>
    <t>A Vein RC</t>
  </si>
  <si>
    <t>G Vein RC</t>
  </si>
  <si>
    <t>SF25_RCRD057</t>
  </si>
  <si>
    <t>SF25_RCRD089</t>
  </si>
  <si>
    <t>SF25_RCRD090</t>
  </si>
  <si>
    <t>SF25_RCRD091</t>
  </si>
  <si>
    <t>SF25_RCRD092</t>
  </si>
  <si>
    <t>SF25_RCRD093</t>
  </si>
  <si>
    <t>SF25_RCRD094</t>
  </si>
  <si>
    <t>SF25_RCRD095</t>
  </si>
  <si>
    <t>SF25_RCRD096</t>
  </si>
  <si>
    <t>SF25_RCRD097</t>
  </si>
  <si>
    <t>SF25_RCRD098</t>
  </si>
  <si>
    <t>SF25_RCRD099</t>
  </si>
  <si>
    <t>SF25_RCRD100</t>
  </si>
  <si>
    <t>SF25_RCRD101</t>
  </si>
  <si>
    <t>SF25_RCRD102</t>
  </si>
  <si>
    <t>SF25_RCRD103</t>
  </si>
  <si>
    <t>SF25_RCRD104</t>
  </si>
  <si>
    <t>SF25_RCRD105</t>
  </si>
  <si>
    <t>SF25_RCRD106</t>
  </si>
  <si>
    <t>SF25_RCRD107</t>
  </si>
  <si>
    <t>SF25_RCRD108</t>
  </si>
  <si>
    <t>SF25_RCRD111</t>
  </si>
  <si>
    <t>SF25_RCRD112</t>
  </si>
  <si>
    <t>SF25_RCRD113</t>
  </si>
  <si>
    <t>SF25_RCRD114</t>
  </si>
  <si>
    <t>SF25_RCRD116</t>
  </si>
  <si>
    <t>SF25_RCRD117</t>
  </si>
  <si>
    <t>SF25_RCRD118</t>
  </si>
  <si>
    <t>SF25_RCRD119</t>
  </si>
  <si>
    <t>SF25_RCRD121</t>
  </si>
  <si>
    <t>SF25_RCRD122</t>
  </si>
  <si>
    <t>SF25_RCRD124</t>
  </si>
  <si>
    <t>SF25_RCRD125</t>
  </si>
  <si>
    <t>SF25_RCRD126</t>
  </si>
  <si>
    <t>SF25_RCRD128</t>
  </si>
  <si>
    <t>SF25_RCRD129</t>
  </si>
  <si>
    <t>SF25_RCRD130</t>
  </si>
  <si>
    <t>SF25_RCRD132</t>
  </si>
  <si>
    <t>SF25_RCRD134</t>
  </si>
  <si>
    <t>SF25_RCRD135</t>
  </si>
  <si>
    <t>SF25_RCRD137</t>
  </si>
  <si>
    <t>SF25_RCRD138</t>
  </si>
  <si>
    <t>SF25_RCRD139</t>
  </si>
  <si>
    <t>SF25_RCRD141</t>
  </si>
  <si>
    <t>SF25_RCRD142</t>
  </si>
  <si>
    <t>SF25_RCRD144</t>
  </si>
  <si>
    <t>SF25_RCRD147</t>
  </si>
  <si>
    <t>SF25_RCRD148</t>
  </si>
  <si>
    <t>SF25_RCRD150</t>
  </si>
  <si>
    <t>SF25_RCRD151</t>
  </si>
  <si>
    <t>SF25_RCRD152</t>
  </si>
  <si>
    <t>SF25_RCRD153</t>
  </si>
  <si>
    <t>SF25_RCRD154</t>
  </si>
  <si>
    <t>SF25_RCRD155</t>
  </si>
  <si>
    <t>SF25_RCRD156</t>
  </si>
  <si>
    <t>SF25_RCRD159</t>
  </si>
  <si>
    <t>SF25_RCRD161</t>
  </si>
  <si>
    <t>SF25_RCRD163</t>
  </si>
  <si>
    <t>SF25_RCRD164</t>
  </si>
  <si>
    <t>SF25_RCRD165</t>
  </si>
  <si>
    <t>SF25_RCRD166</t>
  </si>
  <si>
    <t>SF25_RCRD167</t>
  </si>
  <si>
    <t>SF25_RCRD169</t>
  </si>
  <si>
    <t>SF25_RCRD170</t>
  </si>
  <si>
    <t>SF25_RCRD171</t>
  </si>
  <si>
    <t>SF25_RCRD172</t>
  </si>
  <si>
    <t>SF25_RCRD173</t>
  </si>
  <si>
    <t>SF25_RCRD175</t>
  </si>
  <si>
    <t>SF25_RCRD176</t>
  </si>
  <si>
    <t>SF25_RCRD177</t>
  </si>
  <si>
    <t>SF25_RCRD178</t>
  </si>
  <si>
    <t>SF25_RCRD179</t>
  </si>
  <si>
    <t>SF25_RCRD180</t>
  </si>
  <si>
    <t>SF25_RCRD181</t>
  </si>
  <si>
    <t>SF25_RCRD183</t>
  </si>
  <si>
    <t>SF25_RCRD184</t>
  </si>
  <si>
    <t>SF25_RCRD185</t>
  </si>
  <si>
    <t>SF25_RCRD186</t>
  </si>
  <si>
    <t>SF25_RCRD187</t>
  </si>
  <si>
    <t>SF25_RCRD188</t>
  </si>
  <si>
    <t>SF25_RCRD189</t>
  </si>
  <si>
    <t>SF25_RCRD190</t>
  </si>
  <si>
    <t>SF25_RCRD191</t>
  </si>
  <si>
    <t>SF25_RCRD192</t>
  </si>
  <si>
    <t>SF25_RCRD193</t>
  </si>
  <si>
    <t>SF25_RCRD194</t>
  </si>
  <si>
    <t>SF25_RCRD195</t>
  </si>
  <si>
    <t>SF25_RCRD196</t>
  </si>
  <si>
    <t>SF25_RCRD197</t>
  </si>
  <si>
    <t>SF25_RCRD198</t>
  </si>
  <si>
    <t>SF25_RCRD199</t>
  </si>
  <si>
    <t>SF25_RCRD200</t>
  </si>
  <si>
    <t>SF25_RCRD201</t>
  </si>
  <si>
    <t>SF25_RCRD202</t>
  </si>
  <si>
    <t>SF25_RCRD204</t>
  </si>
  <si>
    <t>SF25_RCRD205</t>
  </si>
  <si>
    <t>SF25_RCRD206</t>
  </si>
  <si>
    <t>SF25_RCRD207</t>
  </si>
  <si>
    <t>SF25_RCRD208</t>
  </si>
  <si>
    <t>SF25_RCRD209</t>
  </si>
  <si>
    <t>SF25_RCRD210</t>
  </si>
  <si>
    <t>SF25_RCRD211</t>
  </si>
  <si>
    <t>SF25_RCRD213</t>
  </si>
  <si>
    <t>SF25_RCRD215</t>
  </si>
  <si>
    <t>SF25_RCRD216</t>
  </si>
  <si>
    <t>SF25_RCRD217</t>
  </si>
  <si>
    <t>SF25_RCRD218</t>
  </si>
  <si>
    <t>SF25_RCRD219</t>
  </si>
  <si>
    <t>SF25_RCRD223</t>
  </si>
  <si>
    <t>SF25_RCRD224</t>
  </si>
  <si>
    <t>SF25_RCRD225</t>
  </si>
  <si>
    <t>SF25_RCRD226</t>
  </si>
  <si>
    <t>SF25_RCRD227</t>
  </si>
  <si>
    <t>SF25_RCRD228</t>
  </si>
  <si>
    <t>SF25_RCRD230</t>
  </si>
  <si>
    <t>SF25_RCRD231</t>
  </si>
  <si>
    <t>SF25_RCRD232</t>
  </si>
  <si>
    <t>SF25_RCRD234</t>
  </si>
  <si>
    <t>SF25_RCRD235</t>
  </si>
  <si>
    <t>SF25_REXP001</t>
  </si>
  <si>
    <t>SF25_REXP002</t>
  </si>
  <si>
    <t>SF25_REXP003</t>
  </si>
  <si>
    <t>SF25_REXP004</t>
  </si>
  <si>
    <t>SF25_REXP005</t>
  </si>
  <si>
    <t>SF25_REXP006</t>
  </si>
  <si>
    <t>SF25_REXP007</t>
  </si>
  <si>
    <t>SF25_REXP008</t>
  </si>
  <si>
    <t>SF25_REXP009</t>
  </si>
  <si>
    <t>SF25_REXP010</t>
  </si>
  <si>
    <t>SF25_REXP011</t>
  </si>
  <si>
    <t>SF25_REXP012</t>
  </si>
  <si>
    <t>SF25_REXP013</t>
  </si>
  <si>
    <t>SF25_REXP014</t>
  </si>
  <si>
    <t>SF25_REXP015</t>
  </si>
  <si>
    <t>SF25_REXP016</t>
  </si>
  <si>
    <t>SF25_REXP017</t>
  </si>
  <si>
    <t>SF25_RHYD001</t>
  </si>
  <si>
    <t>Hydro</t>
  </si>
  <si>
    <t>SF25_RHYD002</t>
  </si>
  <si>
    <t>SF25_RHYD003</t>
  </si>
  <si>
    <t>SF25_RHYD004</t>
  </si>
  <si>
    <t>SF25_RHYD005</t>
  </si>
  <si>
    <t>SF25_RHYD006</t>
  </si>
  <si>
    <t>SF25_RHYD007</t>
  </si>
  <si>
    <t>SF25_RHYD008</t>
  </si>
  <si>
    <t>SF25_RHYD009</t>
  </si>
  <si>
    <t>SF25_RHYD010</t>
  </si>
  <si>
    <t>SF25_RHYD011</t>
  </si>
  <si>
    <t>SF25_RHYD012</t>
  </si>
  <si>
    <t>SF25_RHYD013</t>
  </si>
  <si>
    <t>SF25_RHYD014</t>
  </si>
  <si>
    <t>SF25_RHYD015</t>
  </si>
  <si>
    <t>SF25_RHYD016</t>
  </si>
  <si>
    <t>SF25_RHYD017</t>
  </si>
  <si>
    <t>SF25_RHYD018</t>
  </si>
  <si>
    <t>SF25_RHYD019</t>
  </si>
  <si>
    <t>SF25_RHYD020</t>
  </si>
  <si>
    <t>SF25_RHYD021</t>
  </si>
  <si>
    <t>SF25_RHYD022</t>
  </si>
  <si>
    <t>SF25_RHYD023</t>
  </si>
  <si>
    <t>SF25_RHYD024</t>
  </si>
  <si>
    <t>SF25_RHYD025</t>
  </si>
  <si>
    <t>SF25_RHYD026</t>
  </si>
  <si>
    <t>SF25_RHYD027</t>
  </si>
  <si>
    <t>SF25_RHYD028</t>
  </si>
  <si>
    <t>Awaiting all clear to return to site</t>
  </si>
  <si>
    <t>Wade travel to Site with client, Fire no longer active threat, Crew travel in to site from Doon Doon, Pre-Shift Meeting, Pre-Start Equipment checks, Re establish water supply due to burnt poly line, Wait for sumps to full, Flush hole and re commence coring, Ream in 3m PWT Casing, Run Barrel and core ahead.</t>
  </si>
  <si>
    <t>no night shift</t>
  </si>
  <si>
    <t>no night shift after crew returned from Doon Doon in the morning</t>
  </si>
  <si>
    <t>pull barrel change configuration, flush and ream in, bombed hole LC stop, continue coring PQ, delay water sumps empty no water return. continue coring, standby bush fires.</t>
  </si>
  <si>
    <t>travel back to site</t>
  </si>
  <si>
    <t>continue drilling pq3/ survey eoh @36m/ end of hole was 40m</t>
  </si>
  <si>
    <t>SF25_DMET032</t>
  </si>
  <si>
    <t>Lightning delay</t>
  </si>
  <si>
    <t>site pack up, pull rods, pull casing, rig down, rig move, rig up, survey, mast shot, site setup, delay lightning from 11</t>
  </si>
  <si>
    <t>continue drilling pq3/ standby lightning/ / rock roll hole/ PVC ream PWT unsuccessful due to ground conditions</t>
  </si>
  <si>
    <t>SF25_DMET051</t>
  </si>
  <si>
    <t xml:space="preserve">continue coring PQ3, pulled out change front reamer, reamed in and flushed, continue coring, survey 18M, continue coring to EOH, survey, EOH pull rods, move rod bench, rig down, move back, rig up, mast shot, set up site, </t>
  </si>
  <si>
    <t>drilling pq3 SOH/ standby lightning/ / ream PWT casing/ barrel change/ continue drilling PQ3</t>
  </si>
  <si>
    <t>continue coring PQ3, survey, drill on to EOH, EOH survey, pull rods, pull out PWT, pack up site</t>
  </si>
  <si>
    <t>NO NIGHT SHIFT, crew swapping back to days for demob</t>
  </si>
  <si>
    <t>commence pack up and demob</t>
  </si>
  <si>
    <t xml:space="preserve">pack up for demobilize </t>
  </si>
  <si>
    <t>pack up drive caravans to Kununurra</t>
  </si>
  <si>
    <t xml:space="preserve">pack up for demobilize, trips into kununnara </t>
  </si>
  <si>
    <t>continue site pack up</t>
  </si>
  <si>
    <t>continue pack up</t>
  </si>
  <si>
    <t>tried to get back to site, couldn't make it through in truck got through in LV cleaned up site, did a dump run to town, unpacked some gear in kununnara and loaded onto hino</t>
  </si>
  <si>
    <t>tramming rig off-site</t>
  </si>
  <si>
    <t>commenced tramming rig, delay due to lightning</t>
  </si>
  <si>
    <t>Site evacuation due to flooded road</t>
  </si>
  <si>
    <t>standby due to rain making access road unusable</t>
  </si>
  <si>
    <t>site travel, trammed 7km , standby client lots of rain no access on the tracks.</t>
  </si>
  <si>
    <t>standby client lots of rain no access on the tracks.</t>
  </si>
  <si>
    <t>pre-shift, prestart equipment, standby no access dove out morning, and river was too high to cross, went out in the afternoon and river was better.</t>
  </si>
  <si>
    <t>pre-shift, prestart equipment, standby client lots of rain no access on the tracks.</t>
  </si>
  <si>
    <t>SF_Tramming</t>
  </si>
  <si>
    <t>Null</t>
  </si>
  <si>
    <t>pre-shift, prestart equipment, tramming</t>
  </si>
  <si>
    <t>Tramming To DoonDoon</t>
  </si>
  <si>
    <t>Travel Kununurra to Daly Waters</t>
  </si>
  <si>
    <t>standby client lots of rain no access on the tracks. Flights and Freight added to consumables</t>
  </si>
  <si>
    <t>End of program</t>
  </si>
  <si>
    <t>Crew fly in and drive to site, Pre-shift, Prestart equipment, Continue tramming rig towards Doon Doon Roadhouse, Load Rig on to MDM float towards the end of the day, Float Rig remaining 15km. Consumables incl flights and freight</t>
  </si>
  <si>
    <t>Easting_original</t>
  </si>
  <si>
    <t>Northing_original</t>
  </si>
  <si>
    <t>Elevation</t>
  </si>
  <si>
    <t>Azimuth</t>
  </si>
  <si>
    <t>Dip</t>
  </si>
  <si>
    <t>Lift Rate</t>
  </si>
  <si>
    <t>Drift Rate</t>
  </si>
  <si>
    <t>Distance</t>
  </si>
  <si>
    <t>Extension</t>
  </si>
  <si>
    <t>Target Depth</t>
  </si>
  <si>
    <t>Status</t>
  </si>
  <si>
    <t>Drill Type</t>
  </si>
  <si>
    <t>Total Depth</t>
  </si>
  <si>
    <t>Clearance_Priority</t>
  </si>
  <si>
    <t>Collar_Adjustment</t>
  </si>
  <si>
    <t>Collar_Adjustment_Approval</t>
  </si>
  <si>
    <t>Adjustment_comment</t>
  </si>
  <si>
    <t>Date Modified</t>
  </si>
  <si>
    <t>Drill_Complete_Date</t>
  </si>
  <si>
    <t>Proc REQ</t>
  </si>
  <si>
    <t>Old_hole_ID</t>
  </si>
  <si>
    <t>Easting</t>
  </si>
  <si>
    <t>Northing</t>
  </si>
  <si>
    <t>X_Local</t>
  </si>
  <si>
    <t>Y_Local</t>
  </si>
  <si>
    <t>fid_2</t>
  </si>
  <si>
    <t>OBJECTID</t>
  </si>
  <si>
    <t>TENID</t>
  </si>
  <si>
    <t>TYPE</t>
  </si>
  <si>
    <t>SURVSTATUS</t>
  </si>
  <si>
    <t>TENSTATUS</t>
  </si>
  <si>
    <t>HOLDERCNT</t>
  </si>
  <si>
    <t>HOLDER1</t>
  </si>
  <si>
    <t>ADDR1</t>
  </si>
  <si>
    <t>HOLDER2</t>
  </si>
  <si>
    <t>ADDR2</t>
  </si>
  <si>
    <t>HOLDER3</t>
  </si>
  <si>
    <t>ADDR3</t>
  </si>
  <si>
    <t>HOLDER4</t>
  </si>
  <si>
    <t>ADDR4</t>
  </si>
  <si>
    <t>HOLDER5</t>
  </si>
  <si>
    <t>ADDR5</t>
  </si>
  <si>
    <t>HOLDER6</t>
  </si>
  <si>
    <t>ADDR6</t>
  </si>
  <si>
    <t>HOLDER7</t>
  </si>
  <si>
    <t>ADDR7</t>
  </si>
  <si>
    <t>HOLDER8</t>
  </si>
  <si>
    <t>ADDR8</t>
  </si>
  <si>
    <t>HOLDER9</t>
  </si>
  <si>
    <t>ADDR9</t>
  </si>
  <si>
    <t>STARTDATE</t>
  </si>
  <si>
    <t>STARTTIME</t>
  </si>
  <si>
    <t>ENDDATE</t>
  </si>
  <si>
    <t>ENDTIME</t>
  </si>
  <si>
    <t>GRANTDATE</t>
  </si>
  <si>
    <t>GRANTTIME</t>
  </si>
  <si>
    <t>FMT_TENID</t>
  </si>
  <si>
    <t>LEGAL_AREA</t>
  </si>
  <si>
    <t>UNIT_OF_ME</t>
  </si>
  <si>
    <t>SPECIAL_IN</t>
  </si>
  <si>
    <t>EXTRACT_DA</t>
  </si>
  <si>
    <t>COMBINED_R</t>
  </si>
  <si>
    <t>ALL_HOLDER</t>
  </si>
  <si>
    <t>SHAPE_Leng</t>
  </si>
  <si>
    <t>SHAPE_Area</t>
  </si>
  <si>
    <t>A Vein North Res Def</t>
  </si>
  <si>
    <t>DC</t>
  </si>
  <si>
    <t>M 8000268</t>
  </si>
  <si>
    <t>MINING LEASE</t>
  </si>
  <si>
    <t>SURVEYED</t>
  </si>
  <si>
    <t>LIVE</t>
  </si>
  <si>
    <t>SPEEWAH MINING PTY LTD</t>
  </si>
  <si>
    <t>PO BOX 40,DUNCRAIG,WA,6023,AUSTRALIA</t>
  </si>
  <si>
    <t>M 80/268</t>
  </si>
  <si>
    <t>HA.</t>
  </si>
  <si>
    <t>308/1993</t>
  </si>
  <si>
    <t>Metallurgical Program</t>
  </si>
  <si>
    <t>RC Dup Calico</t>
  </si>
  <si>
    <t>PLN</t>
  </si>
  <si>
    <t>HYD25-014</t>
  </si>
  <si>
    <t>HYD</t>
  </si>
  <si>
    <t>G Vein Res Def</t>
  </si>
  <si>
    <t>IMP</t>
  </si>
  <si>
    <t>Geotechnical Drilling</t>
  </si>
  <si>
    <t>HYD25-010a</t>
  </si>
  <si>
    <t>HYD25-010b</t>
  </si>
  <si>
    <t>HYD25-013</t>
  </si>
  <si>
    <t>HGD</t>
  </si>
  <si>
    <t>E 8002863</t>
  </si>
  <si>
    <t>EXPLORATION LICENCE</t>
  </si>
  <si>
    <t>UNSURVEYED</t>
  </si>
  <si>
    <t>E 80/2863-I</t>
  </si>
  <si>
    <t>BL.</t>
  </si>
  <si>
    <t>I</t>
  </si>
  <si>
    <t>HYD25-001</t>
  </si>
  <si>
    <t>HYD25-007</t>
  </si>
  <si>
    <t>TSF1</t>
  </si>
  <si>
    <t>TSF2</t>
  </si>
  <si>
    <t>TSF3</t>
  </si>
  <si>
    <t>HYD25-002</t>
  </si>
  <si>
    <t>TSF11</t>
  </si>
  <si>
    <t>HYD25-016</t>
  </si>
  <si>
    <t>L 8000043</t>
  </si>
  <si>
    <t>MISCELLANEOUS LICENCE</t>
  </si>
  <si>
    <t>L 80/43</t>
  </si>
  <si>
    <t>HYD25-003</t>
  </si>
  <si>
    <t>TSF4</t>
  </si>
  <si>
    <t>TSF5</t>
  </si>
  <si>
    <t>TSF6</t>
  </si>
  <si>
    <t>TSF7</t>
  </si>
  <si>
    <t>Nest in tree</t>
  </si>
  <si>
    <t>To be converted to a monitoring bore</t>
  </si>
  <si>
    <t>RC Waste Samples</t>
  </si>
  <si>
    <t>M 8000269</t>
  </si>
  <si>
    <t>M 80/269</t>
  </si>
  <si>
    <t>Moved to avoid ridgeline with large boulders. 40m added to original total/target depths of 100m to account for move.</t>
  </si>
  <si>
    <t>Moved 4m N to avoid flagged tree.</t>
  </si>
  <si>
    <t>Moved to avoid stream, large rock wall and boulders. Total/target depth increased to 110 from 90m due to moving 10m back from target on surface.</t>
  </si>
  <si>
    <t>Adjusted to avoid large tree, on suggestion of TOs</t>
  </si>
  <si>
    <t>EXC</t>
  </si>
  <si>
    <t>HYD25-009b</t>
  </si>
  <si>
    <t>HYD25-009a</t>
  </si>
  <si>
    <t>Moved to shallower slope. Target/total depth increased by 20m from 60m to account for 10m move on surface.</t>
  </si>
  <si>
    <t>HYD25-005a</t>
  </si>
  <si>
    <t>HYD25-005b</t>
  </si>
  <si>
    <t>Dup and Waste Sample</t>
  </si>
  <si>
    <t>HYD25-006a</t>
  </si>
  <si>
    <t>HYD25-006b</t>
  </si>
  <si>
    <t>HYD25-004</t>
  </si>
  <si>
    <t>R41</t>
  </si>
  <si>
    <t>HYD25-015</t>
  </si>
  <si>
    <t>moved 10m south out of creek</t>
  </si>
  <si>
    <t>Tenement</t>
  </si>
  <si>
    <t>Completed Drillhole</t>
  </si>
  <si>
    <t/>
  </si>
  <si>
    <t>Oxide Target</t>
  </si>
  <si>
    <t>Need oxide short hole 30m, spread spatially rather than twin</t>
  </si>
  <si>
    <t>Drilled</t>
  </si>
  <si>
    <t>Half</t>
  </si>
  <si>
    <t>New</t>
  </si>
  <si>
    <t>Part2_1</t>
  </si>
  <si>
    <t>Ready to Drill</t>
  </si>
  <si>
    <t>Replace or share with Infill RC</t>
  </si>
  <si>
    <t>Waiting for Approval</t>
  </si>
  <si>
    <t>Oxide Target Twin 32</t>
  </si>
  <si>
    <t>Full Core</t>
  </si>
  <si>
    <t>Twin</t>
  </si>
  <si>
    <t>Oxide Target Twin 36 and extend</t>
  </si>
  <si>
    <t>Twin 006</t>
  </si>
  <si>
    <t>Part2_2</t>
  </si>
  <si>
    <t>Dolerite Target</t>
  </si>
  <si>
    <t>Oxide Target Twin 42</t>
  </si>
  <si>
    <t>Oxide Target Twin 33</t>
  </si>
  <si>
    <t>Oxide Target G Vein</t>
  </si>
  <si>
    <t>SF25_DMET035</t>
  </si>
  <si>
    <t>SF25_DMET037</t>
  </si>
  <si>
    <t>SF25_DMET038</t>
  </si>
  <si>
    <t>SF25_DMET039</t>
  </si>
  <si>
    <t>SF25_DMET040</t>
  </si>
  <si>
    <t>SF25_DMET041</t>
  </si>
  <si>
    <t>SF25_DMET054</t>
  </si>
  <si>
    <t>DDH38</t>
  </si>
  <si>
    <t>DDH41</t>
  </si>
  <si>
    <t>ST18</t>
  </si>
  <si>
    <t>Drill rig</t>
  </si>
  <si>
    <t>Tenement ID</t>
  </si>
  <si>
    <t>MOB\DEMOB</t>
  </si>
  <si>
    <t>05-Jul</t>
  </si>
  <si>
    <t>06-Jul</t>
  </si>
  <si>
    <t>07-Jul</t>
  </si>
  <si>
    <t>08-Jul</t>
  </si>
  <si>
    <t>09-Jul</t>
  </si>
  <si>
    <t>10-Jul</t>
  </si>
  <si>
    <t>11-Jul</t>
  </si>
  <si>
    <t>12-Jul</t>
  </si>
  <si>
    <t>13-Jul</t>
  </si>
  <si>
    <t>14-Jul</t>
  </si>
  <si>
    <t>15-Jul</t>
  </si>
  <si>
    <t>16-Jul</t>
  </si>
  <si>
    <t>17-Jul</t>
  </si>
  <si>
    <t>18-Jul</t>
  </si>
  <si>
    <t>19-Jul</t>
  </si>
  <si>
    <t>20-Jul</t>
  </si>
  <si>
    <t>21-Jul</t>
  </si>
  <si>
    <t>22-Jul</t>
  </si>
  <si>
    <t>23-Jul</t>
  </si>
  <si>
    <t>&lt;05/07/2025</t>
  </si>
  <si>
    <t xml:space="preserve">Drilling </t>
  </si>
  <si>
    <t>Resource Drilling</t>
  </si>
  <si>
    <t xml:space="preserve">S042 </t>
  </si>
  <si>
    <t xml:space="preserve"> </t>
  </si>
  <si>
    <t>vendor</t>
  </si>
  <si>
    <t>Monthly</t>
  </si>
  <si>
    <t>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</si>
</sst>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Red]\-&quot;$&quot;#,##0"/>
    <numFmt numFmtId="8" formatCode="&quot;$&quot;#,##0.00;[Red]\-&quot;$&quot;#,##0.00"/>
    <numFmt numFmtId="44" formatCode="_-&quot;$&quot;* #,##0.00_-;\-&quot;$&quot;* #,##0.00_-;_-&quot;$&quot;* &quot;-&quot;??_-;_-@_-"/>
    <numFmt numFmtId="43" formatCode="_-* #,##0.00_-;\-* #,##0.00_-;_-* &quot;-&quot;??_-;_-@_-"/>
    <numFmt numFmtId="164" formatCode="&quot;$&quot;#\ &quot;per person&quot;"/>
    <numFmt numFmtId="165" formatCode="&quot;$&quot;#,##0.00"/>
    <numFmt numFmtId="166" formatCode="_([$$-409]* #,##0.00_);_([$$-409]* \(#,##0.00\);_([$$-409]* &quot;-&quot;??_);_(@_)"/>
    <numFmt numFmtId="167" formatCode="0.0"/>
    <numFmt numFmtId="168" formatCode="_-* #,##0_-;\-* #,##0_-;_-* &quot;-&quot;??_-;_-@_-"/>
    <numFmt numFmtId="169" formatCode="&quot;$&quot;#,##0"/>
    <numFmt numFmtId="170" formatCode="_-[$$-409]* #,##0.00_ ;_-[$$-409]* \-#,##0.00\ ;_-[$$-409]* &quot;-&quot;??_ ;_-@_ "/>
    <numFmt numFmtId="171" formatCode="0.000"/>
    <numFmt numFmtId="172" formatCode="_-&quot;$&quot;* #,##0_-;\-&quot;$&quot;* #,##0_-;_-&quot;$&quot;* &quot;-&quot;??_-;_-@_-"/>
  </numFmts>
  <fonts count="29">
    <font>
      <sz val="11"/>
      <color theme="1"/>
      <name val="Aptos Narrow"/>
      <family val="2"/>
      <scheme val="minor"/>
    </font>
    <font>
      <sz val="11"/>
      <color theme="1"/>
      <name val="Aptos Narrow"/>
      <family val="2"/>
      <scheme val="minor"/>
    </font>
    <font>
      <sz val="8"/>
      <color rgb="FF020817"/>
      <name val="__Inter_d2e4e5"/>
    </font>
    <font>
      <sz val="8"/>
      <name val="Aptos Narrow"/>
      <family val="2"/>
      <scheme val="minor"/>
    </font>
    <font>
      <sz val="9"/>
      <color indexed="81"/>
      <name val="Tahoma"/>
      <family val="2"/>
    </font>
    <font>
      <b/>
      <sz val="9"/>
      <color indexed="81"/>
      <name val="Tahoma"/>
      <family val="2"/>
    </font>
    <font>
      <u/>
      <sz val="11"/>
      <color theme="10"/>
      <name val="Aptos Narrow"/>
      <family val="2"/>
      <scheme val="minor"/>
    </font>
    <font>
      <b/>
      <sz val="11"/>
      <color rgb="FFFF0000"/>
      <name val="Aptos Narrow"/>
      <family val="2"/>
      <scheme val="minor"/>
    </font>
    <font>
      <b/>
      <sz val="11"/>
      <color theme="1"/>
      <name val="Aptos Narrow"/>
      <family val="2"/>
      <scheme val="minor"/>
    </font>
    <font>
      <sz val="11"/>
      <color rgb="FF000000"/>
      <name val="Aptos Narrow"/>
      <family val="2"/>
      <scheme val="minor"/>
    </font>
    <font>
      <b/>
      <sz val="11"/>
      <color theme="0"/>
      <name val="Aptos Narrow"/>
      <family val="2"/>
      <scheme val="minor"/>
    </font>
    <font>
      <sz val="11"/>
      <color theme="0"/>
      <name val="Aptos Narrow"/>
      <family val="2"/>
      <scheme val="minor"/>
    </font>
    <font>
      <b/>
      <i/>
      <sz val="11"/>
      <color theme="1"/>
      <name val="Aptos Narrow"/>
      <family val="2"/>
      <scheme val="minor"/>
    </font>
    <font>
      <b/>
      <sz val="18"/>
      <color theme="1"/>
      <name val="Aptos Narrow"/>
      <family val="2"/>
      <scheme val="minor"/>
    </font>
    <font>
      <sz val="11"/>
      <color rgb="FF020817"/>
      <name val="__Inter_d2e4e5"/>
    </font>
    <font>
      <sz val="10"/>
      <color rgb="FF020817"/>
      <name val="Aptos Display"/>
      <family val="2"/>
      <scheme val="major"/>
    </font>
    <font>
      <sz val="11"/>
      <name val="Aptos Narrow"/>
      <family val="2"/>
      <scheme val="minor"/>
    </font>
    <font>
      <sz val="11"/>
      <color rgb="FF000000"/>
      <name val="Calibri"/>
      <family val="2"/>
    </font>
    <font>
      <sz val="10"/>
      <name val="Arial"/>
      <family val="2"/>
    </font>
    <font>
      <sz val="10"/>
      <name val="Aptos Narrow"/>
      <family val="2"/>
      <scheme val="minor"/>
    </font>
    <font>
      <sz val="11"/>
      <color rgb="FF020817"/>
      <name val="__Inter_187ea5"/>
    </font>
    <font>
      <sz val="11"/>
      <color rgb="FF020817"/>
      <name val="Inter"/>
    </font>
    <font>
      <sz val="11"/>
      <color rgb="FFFF0000"/>
      <name val="Aptos Narrow"/>
      <family val="2"/>
      <scheme val="minor"/>
    </font>
    <font>
      <b/>
      <sz val="11"/>
      <name val="Aptos Narrow"/>
      <family val="2"/>
      <scheme val="minor"/>
    </font>
    <font>
      <b/>
      <u/>
      <sz val="11"/>
      <color theme="10"/>
      <name val="Aptos Narrow"/>
      <family val="2"/>
      <scheme val="minor"/>
    </font>
    <font>
      <b/>
      <sz val="11"/>
      <color rgb="FF020817"/>
      <name val="Inter"/>
    </font>
    <font>
      <i/>
      <sz val="11"/>
      <color theme="1"/>
      <name val="Aptos Narrow"/>
      <family val="2"/>
      <scheme val="minor"/>
    </font>
    <font>
      <i/>
      <sz val="11"/>
      <name val="Aptos Narrow"/>
      <family val="2"/>
      <scheme val="minor"/>
    </font>
    <font>
      <i/>
      <u/>
      <sz val="11"/>
      <color theme="10"/>
      <name val="Aptos Narrow"/>
      <family val="2"/>
      <scheme val="minor"/>
    </font>
  </fonts>
  <fills count="38">
    <fill>
      <patternFill patternType="none"/>
    </fill>
    <fill>
      <patternFill patternType="gray125"/>
    </fill>
    <fill>
      <patternFill patternType="solid">
        <fgColor theme="5" tint="0.79998168889431442"/>
        <bgColor indexed="64"/>
      </patternFill>
    </fill>
    <fill>
      <patternFill patternType="solid">
        <fgColor theme="1" tint="0.34998626667073579"/>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rgb="FFFFC5C5"/>
        <bgColor indexed="64"/>
      </patternFill>
    </fill>
    <fill>
      <patternFill patternType="solid">
        <fgColor rgb="FF99CCFF"/>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3" tint="0.49998474074526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6"/>
        <bgColor indexed="64"/>
      </patternFill>
    </fill>
    <fill>
      <patternFill patternType="solid">
        <fgColor theme="3" tint="0.249977111117893"/>
        <bgColor indexed="64"/>
      </patternFill>
    </fill>
    <fill>
      <patternFill patternType="solid">
        <fgColor rgb="FFF2EBC0"/>
        <bgColor indexed="64"/>
      </patternFill>
    </fill>
    <fill>
      <patternFill patternType="solid">
        <fgColor theme="0" tint="-0.34998626667073579"/>
        <bgColor indexed="64"/>
      </patternFill>
    </fill>
    <fill>
      <patternFill patternType="solid">
        <fgColor rgb="FFF4BEBE"/>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theme="5"/>
        <bgColor indexed="64"/>
      </patternFill>
    </fill>
    <fill>
      <patternFill patternType="solid">
        <fgColor rgb="FFFFFF00"/>
        <bgColor indexed="64"/>
      </patternFill>
    </fill>
    <fill>
      <patternFill patternType="solid">
        <fgColor rgb="FFFFB7B7"/>
        <bgColor indexed="64"/>
      </patternFill>
    </fill>
    <fill>
      <patternFill patternType="solid">
        <fgColor rgb="FFFCD0D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bgColor indexed="64"/>
      </patternFill>
    </fill>
    <fill>
      <patternFill patternType="solid">
        <fgColor theme="3" tint="0.89999084444715716"/>
        <bgColor indexed="64"/>
      </patternFill>
    </fill>
    <fill>
      <patternFill patternType="solid">
        <fgColor theme="0"/>
        <bgColor indexed="64"/>
      </patternFill>
    </fill>
    <fill>
      <patternFill patternType="solid">
        <fgColor theme="2" tint="-0.499984740745262"/>
        <bgColor indexed="64"/>
      </patternFill>
    </fill>
    <fill>
      <patternFill patternType="solid">
        <fgColor rgb="FFFFFFFF"/>
        <bgColor indexed="64"/>
      </patternFill>
    </fill>
    <fill>
      <patternFill patternType="solid">
        <fgColor rgb="FF0070C0"/>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44" fontId="1" fillId="0" borderId="0" applyFon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xf numFmtId="0" fontId="18"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525">
    <xf numFmtId="0" fontId="0" fillId="0" borderId="0" xfId="0"/>
    <xf numFmtId="14" fontId="0" fillId="0" borderId="0" xfId="0" applyNumberFormat="1"/>
    <xf numFmtId="44" fontId="0" fillId="0" borderId="0" xfId="1" applyFont="1"/>
    <xf numFmtId="164" fontId="0" fillId="0" borderId="0" xfId="0" applyNumberFormat="1"/>
    <xf numFmtId="0" fontId="0" fillId="2" borderId="0" xfId="0" applyFill="1"/>
    <xf numFmtId="44" fontId="0" fillId="2" borderId="0" xfId="1" applyFont="1" applyFill="1"/>
    <xf numFmtId="0" fontId="0" fillId="2" borderId="2" xfId="0" applyFill="1" applyBorder="1"/>
    <xf numFmtId="0" fontId="0" fillId="0" borderId="4" xfId="0" applyBorder="1"/>
    <xf numFmtId="0" fontId="0" fillId="0" borderId="5" xfId="0" applyBorder="1"/>
    <xf numFmtId="44" fontId="0" fillId="0" borderId="0" xfId="0" applyNumberFormat="1"/>
    <xf numFmtId="0" fontId="2" fillId="0" borderId="0" xfId="0" applyFont="1"/>
    <xf numFmtId="165" fontId="0" fillId="0" borderId="0" xfId="0" applyNumberFormat="1"/>
    <xf numFmtId="0" fontId="0" fillId="0" borderId="0" xfId="0" applyAlignment="1">
      <alignment horizontal="center"/>
    </xf>
    <xf numFmtId="0" fontId="0" fillId="2" borderId="0" xfId="0" applyFill="1" applyAlignment="1">
      <alignment horizontal="center"/>
    </xf>
    <xf numFmtId="49" fontId="6" fillId="0" borderId="0" xfId="2" applyNumberFormat="1"/>
    <xf numFmtId="0" fontId="6" fillId="0" borderId="0" xfId="2" applyFill="1" applyAlignment="1">
      <alignment horizontal="center"/>
    </xf>
    <xf numFmtId="0" fontId="0" fillId="3" borderId="0" xfId="0" applyFill="1"/>
    <xf numFmtId="6" fontId="0" fillId="0" borderId="0" xfId="0" applyNumberFormat="1"/>
    <xf numFmtId="165" fontId="0" fillId="0" borderId="0" xfId="0" applyNumberFormat="1" applyAlignment="1">
      <alignment horizontal="center"/>
    </xf>
    <xf numFmtId="0" fontId="0" fillId="3" borderId="4" xfId="0" applyFill="1" applyBorder="1"/>
    <xf numFmtId="0" fontId="0" fillId="3" borderId="5" xfId="0" applyFill="1" applyBorder="1"/>
    <xf numFmtId="0" fontId="0" fillId="5" borderId="4" xfId="0" applyFill="1" applyBorder="1"/>
    <xf numFmtId="0" fontId="0" fillId="5" borderId="5" xfId="0" applyFill="1" applyBorder="1"/>
    <xf numFmtId="0" fontId="0" fillId="6" borderId="5" xfId="0" applyFill="1" applyBorder="1"/>
    <xf numFmtId="0" fontId="0" fillId="7" borderId="0" xfId="0" applyFill="1"/>
    <xf numFmtId="0" fontId="0" fillId="7" borderId="0" xfId="0" applyFill="1" applyAlignment="1">
      <alignment horizontal="center"/>
    </xf>
    <xf numFmtId="0" fontId="0" fillId="9" borderId="0" xfId="0" applyFill="1"/>
    <xf numFmtId="0" fontId="0" fillId="9" borderId="0" xfId="0" applyFill="1" applyAlignment="1">
      <alignment horizontal="center"/>
    </xf>
    <xf numFmtId="0" fontId="0" fillId="5" borderId="0" xfId="0" applyFill="1"/>
    <xf numFmtId="0" fontId="0" fillId="5" borderId="0" xfId="0" applyFill="1" applyAlignment="1">
      <alignment horizontal="center"/>
    </xf>
    <xf numFmtId="0" fontId="0" fillId="9" borderId="4" xfId="0" applyFill="1" applyBorder="1"/>
    <xf numFmtId="0" fontId="0" fillId="9" borderId="5" xfId="0" applyFill="1" applyBorder="1"/>
    <xf numFmtId="0" fontId="0" fillId="9" borderId="4" xfId="0" applyFill="1" applyBorder="1" applyAlignment="1">
      <alignment horizontal="center"/>
    </xf>
    <xf numFmtId="0" fontId="0" fillId="9" borderId="5"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44" fontId="0" fillId="10" borderId="0" xfId="0" applyNumberFormat="1" applyFill="1"/>
    <xf numFmtId="44" fontId="0" fillId="11" borderId="0" xfId="0" applyNumberFormat="1" applyFill="1"/>
    <xf numFmtId="0" fontId="0" fillId="12" borderId="0" xfId="0" applyFill="1"/>
    <xf numFmtId="0" fontId="0" fillId="12" borderId="0" xfId="0" applyFill="1" applyAlignment="1">
      <alignment horizontal="center"/>
    </xf>
    <xf numFmtId="0" fontId="0" fillId="13" borderId="0" xfId="0" applyFill="1"/>
    <xf numFmtId="0" fontId="0" fillId="13" borderId="0" xfId="0" applyFill="1" applyAlignment="1">
      <alignment horizontal="center"/>
    </xf>
    <xf numFmtId="0" fontId="0" fillId="3" borderId="7" xfId="0" applyFill="1" applyBorder="1"/>
    <xf numFmtId="0" fontId="0" fillId="0" borderId="7" xfId="0" applyBorder="1"/>
    <xf numFmtId="0" fontId="0" fillId="2" borderId="4" xfId="0" applyFill="1" applyBorder="1" applyAlignment="1">
      <alignment horizontal="center"/>
    </xf>
    <xf numFmtId="0" fontId="0" fillId="6" borderId="4" xfId="0" applyFill="1" applyBorder="1"/>
    <xf numFmtId="0" fontId="0" fillId="4" borderId="4" xfId="0" applyFill="1" applyBorder="1"/>
    <xf numFmtId="0" fontId="0" fillId="4" borderId="4" xfId="0"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0" fillId="14" borderId="0" xfId="0" applyFill="1"/>
    <xf numFmtId="0" fontId="0" fillId="14" borderId="0" xfId="0" applyFill="1" applyAlignment="1">
      <alignment horizontal="center"/>
    </xf>
    <xf numFmtId="0" fontId="0" fillId="0" borderId="7" xfId="0" applyBorder="1" applyAlignment="1">
      <alignment horizontal="center"/>
    </xf>
    <xf numFmtId="44" fontId="0" fillId="16" borderId="7" xfId="0" applyNumberFormat="1" applyFill="1" applyBorder="1"/>
    <xf numFmtId="0" fontId="0" fillId="16" borderId="7" xfId="0" applyFill="1" applyBorder="1"/>
    <xf numFmtId="0" fontId="0" fillId="16" borderId="7" xfId="0" applyFill="1" applyBorder="1" applyAlignment="1">
      <alignment horizontal="center"/>
    </xf>
    <xf numFmtId="165" fontId="0" fillId="16" borderId="7" xfId="0" applyNumberFormat="1" applyFill="1" applyBorder="1" applyAlignment="1">
      <alignment horizontal="center"/>
    </xf>
    <xf numFmtId="165" fontId="0" fillId="0" borderId="0" xfId="1" applyNumberFormat="1" applyFont="1" applyFill="1" applyAlignment="1">
      <alignment horizontal="center"/>
    </xf>
    <xf numFmtId="0" fontId="13" fillId="0" borderId="0" xfId="0" applyFont="1"/>
    <xf numFmtId="0" fontId="0" fillId="17" borderId="0" xfId="0" applyFill="1"/>
    <xf numFmtId="14" fontId="0" fillId="0" borderId="0" xfId="0" applyNumberFormat="1" applyAlignment="1">
      <alignment textRotation="45"/>
    </xf>
    <xf numFmtId="0" fontId="0" fillId="16" borderId="0" xfId="0" applyFill="1" applyAlignment="1">
      <alignment horizontal="right"/>
    </xf>
    <xf numFmtId="0" fontId="10" fillId="18" borderId="12" xfId="0" applyFont="1" applyFill="1" applyBorder="1"/>
    <xf numFmtId="0" fontId="10" fillId="18" borderId="13" xfId="0" applyFont="1" applyFill="1" applyBorder="1"/>
    <xf numFmtId="0" fontId="10" fillId="18" borderId="14" xfId="0" applyFont="1" applyFill="1" applyBorder="1"/>
    <xf numFmtId="0" fontId="10" fillId="18" borderId="2" xfId="0" applyFont="1" applyFill="1" applyBorder="1"/>
    <xf numFmtId="0" fontId="11" fillId="18" borderId="0" xfId="0" applyFont="1" applyFill="1"/>
    <xf numFmtId="14" fontId="11" fillId="18" borderId="0" xfId="0" applyNumberFormat="1" applyFont="1" applyFill="1" applyAlignment="1">
      <alignment textRotation="45"/>
    </xf>
    <xf numFmtId="0" fontId="0" fillId="16" borderId="0" xfId="0" applyFill="1"/>
    <xf numFmtId="14" fontId="10" fillId="19" borderId="0" xfId="0" applyNumberFormat="1" applyFont="1" applyFill="1" applyAlignment="1">
      <alignment horizontal="left"/>
    </xf>
    <xf numFmtId="14" fontId="11" fillId="19" borderId="0" xfId="0" applyNumberFormat="1" applyFont="1" applyFill="1" applyAlignment="1">
      <alignment horizontal="left"/>
    </xf>
    <xf numFmtId="14" fontId="10" fillId="19" borderId="0" xfId="0" applyNumberFormat="1" applyFont="1" applyFill="1"/>
    <xf numFmtId="14" fontId="11" fillId="19" borderId="0" xfId="0" applyNumberFormat="1" applyFont="1" applyFill="1"/>
    <xf numFmtId="0" fontId="0" fillId="0" borderId="1" xfId="0" applyBorder="1"/>
    <xf numFmtId="0" fontId="0" fillId="15" borderId="2" xfId="0" applyFill="1" applyBorder="1"/>
    <xf numFmtId="0" fontId="0" fillId="15" borderId="1" xfId="0" applyFill="1" applyBorder="1"/>
    <xf numFmtId="0" fontId="0" fillId="15" borderId="2" xfId="0" applyFill="1" applyBorder="1" applyAlignment="1">
      <alignment horizontal="right"/>
    </xf>
    <xf numFmtId="0" fontId="0" fillId="0" borderId="2" xfId="0" applyBorder="1"/>
    <xf numFmtId="14" fontId="0" fillId="10" borderId="2" xfId="0" applyNumberFormat="1" applyFill="1" applyBorder="1"/>
    <xf numFmtId="0" fontId="0" fillId="20" borderId="2" xfId="0" applyFill="1" applyBorder="1"/>
    <xf numFmtId="0" fontId="0" fillId="5" borderId="2" xfId="0" applyFill="1" applyBorder="1"/>
    <xf numFmtId="167" fontId="0" fillId="0" borderId="0" xfId="0" applyNumberFormat="1"/>
    <xf numFmtId="0" fontId="8" fillId="16" borderId="0" xfId="0" applyFont="1" applyFill="1" applyAlignment="1">
      <alignment horizontal="right"/>
    </xf>
    <xf numFmtId="14" fontId="0" fillId="8" borderId="0" xfId="0" applyNumberFormat="1" applyFill="1"/>
    <xf numFmtId="0" fontId="0" fillId="0" borderId="8" xfId="0" applyBorder="1"/>
    <xf numFmtId="167" fontId="0" fillId="0" borderId="10" xfId="0" applyNumberFormat="1" applyBorder="1"/>
    <xf numFmtId="0" fontId="0" fillId="0" borderId="10" xfId="0" applyBorder="1"/>
    <xf numFmtId="0" fontId="0" fillId="16" borderId="10" xfId="0" applyFill="1" applyBorder="1"/>
    <xf numFmtId="2" fontId="0" fillId="0" borderId="10" xfId="0" applyNumberFormat="1" applyBorder="1"/>
    <xf numFmtId="0" fontId="0" fillId="9" borderId="2" xfId="0" applyFill="1" applyBorder="1"/>
    <xf numFmtId="14" fontId="0" fillId="21" borderId="0" xfId="0" applyNumberFormat="1" applyFill="1"/>
    <xf numFmtId="0" fontId="0" fillId="22" borderId="2" xfId="0" applyFill="1" applyBorder="1"/>
    <xf numFmtId="0" fontId="0" fillId="23" borderId="2" xfId="0" applyFill="1" applyBorder="1"/>
    <xf numFmtId="0" fontId="0" fillId="24" borderId="2" xfId="0" applyFill="1" applyBorder="1"/>
    <xf numFmtId="0" fontId="0" fillId="11" borderId="2" xfId="0" applyFill="1" applyBorder="1"/>
    <xf numFmtId="0" fontId="0" fillId="25" borderId="0" xfId="0" applyFill="1"/>
    <xf numFmtId="0" fontId="0" fillId="0" borderId="2" xfId="0" applyBorder="1" applyAlignment="1">
      <alignment horizontal="right"/>
    </xf>
    <xf numFmtId="168" fontId="0" fillId="0" borderId="2" xfId="3" applyNumberFormat="1" applyFont="1" applyBorder="1"/>
    <xf numFmtId="0" fontId="0" fillId="0" borderId="0" xfId="0" applyAlignment="1">
      <alignment horizontal="right"/>
    </xf>
    <xf numFmtId="2" fontId="0" fillId="0" borderId="0" xfId="0" applyNumberFormat="1"/>
    <xf numFmtId="0" fontId="0" fillId="0" borderId="10" xfId="0" applyBorder="1" applyAlignment="1">
      <alignment horizontal="right"/>
    </xf>
    <xf numFmtId="0" fontId="8" fillId="0" borderId="10" xfId="0" applyFont="1" applyBorder="1" applyAlignment="1">
      <alignment horizontal="center" vertical="center" wrapText="1"/>
    </xf>
    <xf numFmtId="0" fontId="0" fillId="26" borderId="1" xfId="0" applyFill="1" applyBorder="1"/>
    <xf numFmtId="0" fontId="0" fillId="26" borderId="2" xfId="0" applyFill="1" applyBorder="1"/>
    <xf numFmtId="0" fontId="0" fillId="26" borderId="2" xfId="0" applyFill="1" applyBorder="1" applyAlignment="1">
      <alignment horizontal="right"/>
    </xf>
    <xf numFmtId="0" fontId="8" fillId="26" borderId="2" xfId="0" applyFont="1" applyFill="1" applyBorder="1" applyAlignment="1">
      <alignment vertical="center" wrapText="1"/>
    </xf>
    <xf numFmtId="15" fontId="0" fillId="26" borderId="2" xfId="0" applyNumberFormat="1" applyFill="1" applyBorder="1" applyAlignment="1">
      <alignment vertical="center" wrapText="1"/>
    </xf>
    <xf numFmtId="0" fontId="0" fillId="26" borderId="2" xfId="0" applyFill="1" applyBorder="1" applyAlignment="1">
      <alignment vertical="center" wrapText="1"/>
    </xf>
    <xf numFmtId="0" fontId="0" fillId="26" borderId="4" xfId="0" applyFill="1" applyBorder="1"/>
    <xf numFmtId="0" fontId="0" fillId="26" borderId="0" xfId="0" applyFill="1"/>
    <xf numFmtId="0" fontId="0" fillId="26" borderId="0" xfId="0" applyFill="1" applyAlignment="1">
      <alignment horizontal="right"/>
    </xf>
    <xf numFmtId="0" fontId="8" fillId="26" borderId="0" xfId="0" applyFont="1" applyFill="1" applyAlignment="1">
      <alignment vertical="center" wrapText="1"/>
    </xf>
    <xf numFmtId="15" fontId="0" fillId="26" borderId="0" xfId="0" applyNumberFormat="1" applyFill="1" applyAlignment="1">
      <alignment vertical="center" wrapText="1"/>
    </xf>
    <xf numFmtId="0" fontId="0" fillId="26" borderId="0" xfId="0" applyFill="1" applyAlignment="1">
      <alignment vertical="center" wrapText="1"/>
    </xf>
    <xf numFmtId="0" fontId="0" fillId="26" borderId="8" xfId="0" applyFill="1" applyBorder="1"/>
    <xf numFmtId="0" fontId="0" fillId="26" borderId="10" xfId="0" applyFill="1" applyBorder="1"/>
    <xf numFmtId="0" fontId="0" fillId="26" borderId="10" xfId="0" applyFill="1" applyBorder="1" applyAlignment="1">
      <alignment horizontal="right"/>
    </xf>
    <xf numFmtId="14" fontId="11" fillId="0" borderId="0" xfId="0" applyNumberFormat="1" applyFont="1"/>
    <xf numFmtId="0" fontId="14" fillId="0" borderId="0" xfId="0" applyFont="1" applyAlignment="1">
      <alignment vertical="center" wrapText="1"/>
    </xf>
    <xf numFmtId="44" fontId="0" fillId="16" borderId="7" xfId="1" applyFont="1" applyFill="1" applyBorder="1" applyAlignment="1">
      <alignment horizontal="center"/>
    </xf>
    <xf numFmtId="14" fontId="0" fillId="0" borderId="15" xfId="0" applyNumberFormat="1" applyBorder="1"/>
    <xf numFmtId="0" fontId="0" fillId="0" borderId="15" xfId="0" applyBorder="1"/>
    <xf numFmtId="44" fontId="0" fillId="2" borderId="0" xfId="1" applyFont="1" applyFill="1" applyBorder="1"/>
    <xf numFmtId="165" fontId="0" fillId="0" borderId="0" xfId="1" applyNumberFormat="1" applyFont="1" applyFill="1" applyBorder="1" applyAlignment="1">
      <alignment horizontal="center"/>
    </xf>
    <xf numFmtId="0" fontId="6" fillId="0" borderId="0" xfId="2" applyFill="1" applyBorder="1" applyAlignment="1">
      <alignment horizontal="center"/>
    </xf>
    <xf numFmtId="49" fontId="6" fillId="0" borderId="0" xfId="2" applyNumberFormat="1" applyBorder="1"/>
    <xf numFmtId="14" fontId="0" fillId="0" borderId="18" xfId="0" applyNumberFormat="1" applyBorder="1"/>
    <xf numFmtId="0" fontId="0" fillId="0" borderId="18" xfId="0" applyBorder="1"/>
    <xf numFmtId="0" fontId="6" fillId="0" borderId="18" xfId="2" applyFill="1" applyBorder="1" applyAlignment="1">
      <alignment horizontal="center"/>
    </xf>
    <xf numFmtId="49" fontId="6" fillId="0" borderId="18" xfId="2" applyNumberFormat="1" applyBorder="1"/>
    <xf numFmtId="0" fontId="0" fillId="0" borderId="16" xfId="0" applyBorder="1"/>
    <xf numFmtId="0" fontId="6" fillId="26" borderId="0" xfId="2" applyFill="1" applyBorder="1" applyAlignment="1">
      <alignment horizontal="center"/>
    </xf>
    <xf numFmtId="49" fontId="6" fillId="26" borderId="0" xfId="2" applyNumberFormat="1" applyFill="1" applyBorder="1"/>
    <xf numFmtId="0" fontId="0" fillId="0" borderId="17" xfId="0" applyBorder="1"/>
    <xf numFmtId="6" fontId="0" fillId="0" borderId="18" xfId="0" applyNumberFormat="1" applyBorder="1"/>
    <xf numFmtId="165" fontId="0" fillId="0" borderId="18" xfId="0" applyNumberFormat="1" applyBorder="1"/>
    <xf numFmtId="165" fontId="0" fillId="26" borderId="0" xfId="0" applyNumberFormat="1" applyFill="1"/>
    <xf numFmtId="49" fontId="0" fillId="0" borderId="0" xfId="1" applyNumberFormat="1" applyFont="1" applyFill="1" applyAlignment="1">
      <alignment horizontal="center"/>
    </xf>
    <xf numFmtId="0" fontId="0" fillId="6" borderId="0" xfId="0" applyFill="1"/>
    <xf numFmtId="0" fontId="0" fillId="6" borderId="0" xfId="0" applyFill="1" applyAlignment="1">
      <alignment horizontal="center"/>
    </xf>
    <xf numFmtId="0" fontId="8" fillId="0" borderId="0" xfId="0" applyFont="1"/>
    <xf numFmtId="0" fontId="14" fillId="0" borderId="0" xfId="0" applyFont="1"/>
    <xf numFmtId="165" fontId="0" fillId="0" borderId="16" xfId="0" applyNumberFormat="1" applyBorder="1"/>
    <xf numFmtId="44" fontId="0" fillId="0" borderId="18" xfId="0" applyNumberFormat="1" applyBorder="1"/>
    <xf numFmtId="0" fontId="0" fillId="0" borderId="18" xfId="0" applyBorder="1" applyAlignment="1">
      <alignment horizontal="right"/>
    </xf>
    <xf numFmtId="0" fontId="0" fillId="15" borderId="0" xfId="0" applyFill="1"/>
    <xf numFmtId="0" fontId="0" fillId="11" borderId="0" xfId="0" applyFill="1"/>
    <xf numFmtId="14" fontId="0" fillId="26" borderId="0" xfId="0" applyNumberFormat="1" applyFill="1"/>
    <xf numFmtId="44" fontId="0" fillId="0" borderId="0" xfId="1" applyFont="1" applyBorder="1"/>
    <xf numFmtId="0" fontId="0" fillId="0" borderId="0" xfId="0" pivotButton="1"/>
    <xf numFmtId="0" fontId="0" fillId="0" borderId="0" xfId="0" applyAlignment="1">
      <alignment horizontal="left"/>
    </xf>
    <xf numFmtId="14" fontId="16" fillId="0" borderId="0" xfId="0" applyNumberFormat="1" applyFont="1"/>
    <xf numFmtId="2" fontId="16" fillId="0" borderId="0" xfId="0" applyNumberFormat="1" applyFont="1"/>
    <xf numFmtId="44" fontId="0" fillId="0" borderId="0" xfId="0" pivotButton="1" applyNumberFormat="1"/>
    <xf numFmtId="44" fontId="0" fillId="0" borderId="0" xfId="0" applyNumberFormat="1" applyAlignment="1">
      <alignment horizontal="left"/>
    </xf>
    <xf numFmtId="2" fontId="0" fillId="0" borderId="0" xfId="1" applyNumberFormat="1" applyFont="1"/>
    <xf numFmtId="44" fontId="0" fillId="12" borderId="0" xfId="1" applyFont="1" applyFill="1"/>
    <xf numFmtId="44" fontId="0" fillId="12" borderId="0" xfId="0" applyNumberFormat="1" applyFill="1"/>
    <xf numFmtId="2" fontId="0" fillId="12" borderId="0" xfId="0" applyNumberFormat="1" applyFill="1"/>
    <xf numFmtId="44" fontId="0" fillId="24" borderId="0" xfId="1" applyFont="1" applyFill="1"/>
    <xf numFmtId="2" fontId="0" fillId="24" borderId="0" xfId="1" applyNumberFormat="1" applyFont="1" applyFill="1"/>
    <xf numFmtId="0" fontId="0" fillId="24" borderId="0" xfId="0" applyFill="1"/>
    <xf numFmtId="2" fontId="0" fillId="2" borderId="0" xfId="1" applyNumberFormat="1" applyFont="1" applyFill="1"/>
    <xf numFmtId="0" fontId="17" fillId="0" borderId="0" xfId="0" applyFont="1"/>
    <xf numFmtId="44" fontId="0" fillId="27" borderId="0" xfId="1" applyFont="1" applyFill="1"/>
    <xf numFmtId="2" fontId="0" fillId="27" borderId="0" xfId="1" applyNumberFormat="1" applyFont="1" applyFill="1"/>
    <xf numFmtId="0" fontId="0" fillId="27" borderId="0" xfId="0" applyFill="1"/>
    <xf numFmtId="169" fontId="19" fillId="0" borderId="19" xfId="4" applyNumberFormat="1" applyFont="1" applyBorder="1" applyAlignment="1">
      <alignment horizontal="right"/>
    </xf>
    <xf numFmtId="0" fontId="19" fillId="0" borderId="19" xfId="4" applyFont="1" applyBorder="1" applyAlignment="1">
      <alignment horizontal="left" indent="2"/>
    </xf>
    <xf numFmtId="0" fontId="19" fillId="28" borderId="19" xfId="4" applyFont="1" applyFill="1" applyBorder="1" applyAlignment="1">
      <alignment horizontal="left" indent="1"/>
    </xf>
    <xf numFmtId="169" fontId="19" fillId="28" borderId="19" xfId="4" applyNumberFormat="1" applyFont="1" applyFill="1" applyBorder="1" applyAlignment="1">
      <alignment horizontal="right"/>
    </xf>
    <xf numFmtId="44" fontId="0" fillId="28" borderId="0" xfId="1" applyFont="1" applyFill="1"/>
    <xf numFmtId="0" fontId="0" fillId="28" borderId="0" xfId="0" applyFill="1"/>
    <xf numFmtId="2" fontId="0" fillId="0" borderId="18" xfId="0" applyNumberFormat="1" applyBorder="1"/>
    <xf numFmtId="44" fontId="0" fillId="28" borderId="0" xfId="0" applyNumberFormat="1" applyFill="1"/>
    <xf numFmtId="8" fontId="0" fillId="0" borderId="0" xfId="1" applyNumberFormat="1" applyFont="1"/>
    <xf numFmtId="8" fontId="0" fillId="28" borderId="0" xfId="1" applyNumberFormat="1" applyFont="1" applyFill="1"/>
    <xf numFmtId="0" fontId="19" fillId="0" borderId="19" xfId="4" applyFont="1" applyBorder="1" applyAlignment="1">
      <alignment horizontal="left" indent="3"/>
    </xf>
    <xf numFmtId="0" fontId="8" fillId="2" borderId="1" xfId="0" applyFont="1" applyFill="1" applyBorder="1"/>
    <xf numFmtId="0" fontId="8" fillId="2" borderId="2" xfId="0" applyFont="1" applyFill="1" applyBorder="1"/>
    <xf numFmtId="164" fontId="8" fillId="2" borderId="2" xfId="0" applyNumberFormat="1" applyFont="1" applyFill="1" applyBorder="1"/>
    <xf numFmtId="44" fontId="8" fillId="2" borderId="2" xfId="1" applyFont="1" applyFill="1" applyBorder="1"/>
    <xf numFmtId="44" fontId="8" fillId="2" borderId="3" xfId="1" applyFont="1" applyFill="1" applyBorder="1"/>
    <xf numFmtId="44" fontId="8" fillId="2" borderId="1" xfId="1" applyFont="1" applyFill="1" applyBorder="1"/>
    <xf numFmtId="0" fontId="8" fillId="2" borderId="6" xfId="0" applyFont="1" applyFill="1" applyBorder="1"/>
    <xf numFmtId="0" fontId="8" fillId="2" borderId="6" xfId="0" applyFont="1" applyFill="1" applyBorder="1" applyAlignment="1">
      <alignment horizontal="center"/>
    </xf>
    <xf numFmtId="0" fontId="8" fillId="2" borderId="2" xfId="0" applyFont="1" applyFill="1" applyBorder="1" applyAlignment="1">
      <alignment horizontal="center"/>
    </xf>
    <xf numFmtId="0" fontId="0" fillId="2" borderId="4" xfId="0" applyFill="1" applyBorder="1"/>
    <xf numFmtId="0" fontId="0" fillId="2" borderId="5" xfId="0" applyFill="1" applyBorder="1"/>
    <xf numFmtId="44" fontId="0" fillId="2" borderId="4" xfId="1" applyFont="1" applyFill="1" applyBorder="1"/>
    <xf numFmtId="44" fontId="0" fillId="2" borderId="5" xfId="1" applyFont="1" applyFill="1" applyBorder="1"/>
    <xf numFmtId="0" fontId="0" fillId="2" borderId="7" xfId="0" applyFill="1" applyBorder="1"/>
    <xf numFmtId="0" fontId="0" fillId="2" borderId="7" xfId="0" applyFill="1" applyBorder="1" applyAlignment="1">
      <alignment horizontal="center"/>
    </xf>
    <xf numFmtId="0" fontId="0" fillId="2" borderId="8" xfId="0" applyFill="1" applyBorder="1"/>
    <xf numFmtId="0" fontId="0" fillId="2" borderId="10" xfId="0" applyFill="1" applyBorder="1"/>
    <xf numFmtId="0" fontId="0" fillId="2" borderId="9" xfId="0" applyFill="1" applyBorder="1"/>
    <xf numFmtId="0" fontId="12" fillId="2" borderId="10" xfId="0" applyFont="1" applyFill="1" applyBorder="1" applyAlignment="1">
      <alignment wrapText="1"/>
    </xf>
    <xf numFmtId="0" fontId="0" fillId="2" borderId="8" xfId="0" applyFill="1" applyBorder="1" applyAlignment="1">
      <alignment wrapText="1"/>
    </xf>
    <xf numFmtId="0" fontId="12" fillId="2" borderId="8" xfId="0" applyFont="1" applyFill="1" applyBorder="1" applyAlignment="1">
      <alignment wrapText="1"/>
    </xf>
    <xf numFmtId="0" fontId="0" fillId="2" borderId="11" xfId="0" applyFill="1" applyBorder="1"/>
    <xf numFmtId="0" fontId="0" fillId="2" borderId="11" xfId="0" applyFill="1" applyBorder="1" applyAlignment="1">
      <alignment horizontal="center"/>
    </xf>
    <xf numFmtId="0" fontId="0" fillId="2" borderId="10" xfId="0" applyFill="1" applyBorder="1" applyAlignment="1">
      <alignment horizontal="center"/>
    </xf>
    <xf numFmtId="0" fontId="0" fillId="32" borderId="0" xfId="0" applyFill="1"/>
    <xf numFmtId="0" fontId="0" fillId="32" borderId="16" xfId="0" applyFill="1" applyBorder="1"/>
    <xf numFmtId="0" fontId="9" fillId="32" borderId="0" xfId="0" applyFont="1" applyFill="1" applyAlignment="1">
      <alignment horizontal="right"/>
    </xf>
    <xf numFmtId="0" fontId="7" fillId="32" borderId="16" xfId="0" applyFont="1" applyFill="1" applyBorder="1" applyAlignment="1">
      <alignment horizontal="right"/>
    </xf>
    <xf numFmtId="0" fontId="7" fillId="32" borderId="0" xfId="0" applyFont="1" applyFill="1" applyAlignment="1">
      <alignment horizontal="right"/>
    </xf>
    <xf numFmtId="0" fontId="0" fillId="32" borderId="0" xfId="0" applyFill="1" applyAlignment="1">
      <alignment horizontal="right"/>
    </xf>
    <xf numFmtId="0" fontId="0" fillId="32" borderId="16" xfId="0" applyFill="1" applyBorder="1" applyAlignment="1">
      <alignment horizontal="center" vertical="center"/>
    </xf>
    <xf numFmtId="0" fontId="0" fillId="32" borderId="0" xfId="0" applyFill="1" applyAlignment="1">
      <alignment horizontal="center" vertical="center"/>
    </xf>
    <xf numFmtId="165" fontId="0" fillId="32" borderId="0" xfId="0" applyNumberFormat="1" applyFill="1"/>
    <xf numFmtId="0" fontId="0" fillId="32" borderId="0" xfId="0" applyFill="1" applyAlignment="1">
      <alignment horizontal="center"/>
    </xf>
    <xf numFmtId="0" fontId="0" fillId="32" borderId="16" xfId="0" applyFill="1" applyBorder="1" applyAlignment="1">
      <alignment horizontal="center"/>
    </xf>
    <xf numFmtId="44" fontId="0" fillId="32" borderId="0" xfId="1" applyFont="1" applyFill="1" applyBorder="1" applyAlignment="1">
      <alignment horizontal="center"/>
    </xf>
    <xf numFmtId="166" fontId="9" fillId="32" borderId="16" xfId="0" applyNumberFormat="1" applyFont="1" applyFill="1" applyBorder="1" applyAlignment="1">
      <alignment horizontal="center" vertical="center"/>
    </xf>
    <xf numFmtId="166" fontId="9" fillId="32" borderId="0" xfId="0" applyNumberFormat="1" applyFont="1" applyFill="1" applyAlignment="1">
      <alignment horizontal="center" vertical="center"/>
    </xf>
    <xf numFmtId="166" fontId="9" fillId="32" borderId="0" xfId="0" applyNumberFormat="1" applyFont="1" applyFill="1" applyAlignment="1">
      <alignment horizontal="left"/>
    </xf>
    <xf numFmtId="166" fontId="0" fillId="32" borderId="0" xfId="0" applyNumberFormat="1" applyFill="1" applyAlignment="1">
      <alignment horizontal="center"/>
    </xf>
    <xf numFmtId="166" fontId="0" fillId="32" borderId="16" xfId="0" applyNumberFormat="1" applyFill="1" applyBorder="1" applyAlignment="1">
      <alignment horizontal="center"/>
    </xf>
    <xf numFmtId="44" fontId="0" fillId="32" borderId="0" xfId="1" applyFont="1" applyFill="1"/>
    <xf numFmtId="0" fontId="0" fillId="32" borderId="16" xfId="0" applyFill="1" applyBorder="1" applyAlignment="1">
      <alignment horizontal="center" wrapText="1"/>
    </xf>
    <xf numFmtId="0" fontId="0" fillId="32" borderId="0" xfId="0" applyFill="1" applyAlignment="1">
      <alignment horizontal="center" wrapText="1"/>
    </xf>
    <xf numFmtId="0" fontId="0" fillId="14" borderId="16" xfId="0" applyFill="1" applyBorder="1"/>
    <xf numFmtId="0" fontId="9" fillId="14" borderId="0" xfId="0" applyFont="1" applyFill="1" applyAlignment="1">
      <alignment horizontal="right"/>
    </xf>
    <xf numFmtId="0" fontId="7" fillId="14" borderId="16" xfId="0" applyFont="1" applyFill="1" applyBorder="1" applyAlignment="1">
      <alignment horizontal="right"/>
    </xf>
    <xf numFmtId="0" fontId="7" fillId="14" borderId="0" xfId="0" applyFont="1" applyFill="1" applyAlignment="1">
      <alignment horizontal="right"/>
    </xf>
    <xf numFmtId="0" fontId="0" fillId="14" borderId="0" xfId="0" applyFill="1" applyAlignment="1">
      <alignment horizontal="right"/>
    </xf>
    <xf numFmtId="0" fontId="0" fillId="14" borderId="16" xfId="0" applyFill="1" applyBorder="1" applyAlignment="1">
      <alignment horizontal="center" vertical="center"/>
    </xf>
    <xf numFmtId="0" fontId="0" fillId="14" borderId="0" xfId="0" applyFill="1" applyAlignment="1">
      <alignment horizontal="center" vertical="center"/>
    </xf>
    <xf numFmtId="165" fontId="0" fillId="14" borderId="0" xfId="0" applyNumberFormat="1" applyFill="1"/>
    <xf numFmtId="0" fontId="0" fillId="14" borderId="16" xfId="0" applyFill="1" applyBorder="1" applyAlignment="1">
      <alignment horizontal="center"/>
    </xf>
    <xf numFmtId="44" fontId="0" fillId="14" borderId="0" xfId="1" applyFont="1" applyFill="1" applyBorder="1" applyAlignment="1">
      <alignment horizontal="center"/>
    </xf>
    <xf numFmtId="166" fontId="9" fillId="14" borderId="16" xfId="0" applyNumberFormat="1" applyFont="1" applyFill="1" applyBorder="1" applyAlignment="1">
      <alignment horizontal="center" vertical="center"/>
    </xf>
    <xf numFmtId="166" fontId="9" fillId="14" borderId="0" xfId="0" applyNumberFormat="1" applyFont="1" applyFill="1" applyAlignment="1">
      <alignment horizontal="center" vertical="center"/>
    </xf>
    <xf numFmtId="166" fontId="9" fillId="14" borderId="0" xfId="0" applyNumberFormat="1" applyFont="1" applyFill="1" applyAlignment="1">
      <alignment horizontal="left"/>
    </xf>
    <xf numFmtId="166" fontId="0" fillId="14" borderId="0" xfId="0" applyNumberFormat="1" applyFill="1" applyAlignment="1">
      <alignment horizontal="center"/>
    </xf>
    <xf numFmtId="44" fontId="0" fillId="14" borderId="0" xfId="1" applyFont="1" applyFill="1"/>
    <xf numFmtId="0" fontId="0" fillId="14" borderId="16" xfId="0" applyFill="1" applyBorder="1" applyAlignment="1">
      <alignment horizontal="center" wrapText="1"/>
    </xf>
    <xf numFmtId="0" fontId="0" fillId="14" borderId="0" xfId="0" applyFill="1" applyAlignment="1">
      <alignment horizontal="center" wrapText="1"/>
    </xf>
    <xf numFmtId="0" fontId="8" fillId="15" borderId="1" xfId="0" applyFont="1" applyFill="1" applyBorder="1"/>
    <xf numFmtId="0" fontId="8" fillId="15" borderId="2" xfId="0" applyFont="1" applyFill="1" applyBorder="1"/>
    <xf numFmtId="164" fontId="8" fillId="15" borderId="2" xfId="0" applyNumberFormat="1" applyFont="1" applyFill="1" applyBorder="1"/>
    <xf numFmtId="44" fontId="8" fillId="15" borderId="2" xfId="1" applyFont="1" applyFill="1" applyBorder="1"/>
    <xf numFmtId="44" fontId="8" fillId="15" borderId="3" xfId="1" applyFont="1" applyFill="1" applyBorder="1"/>
    <xf numFmtId="44" fontId="8" fillId="15" borderId="1" xfId="1" applyFont="1" applyFill="1" applyBorder="1"/>
    <xf numFmtId="0" fontId="8" fillId="15" borderId="3" xfId="0" applyFont="1" applyFill="1" applyBorder="1"/>
    <xf numFmtId="0" fontId="8" fillId="15" borderId="6" xfId="0" applyFont="1" applyFill="1" applyBorder="1"/>
    <xf numFmtId="0" fontId="8" fillId="15" borderId="6" xfId="0" applyFont="1" applyFill="1" applyBorder="1" applyAlignment="1">
      <alignment horizontal="center"/>
    </xf>
    <xf numFmtId="0" fontId="8" fillId="15" borderId="2" xfId="0" applyFont="1" applyFill="1" applyBorder="1" applyAlignment="1">
      <alignment horizontal="center"/>
    </xf>
    <xf numFmtId="0" fontId="0" fillId="15" borderId="4" xfId="0" applyFill="1" applyBorder="1"/>
    <xf numFmtId="0" fontId="0" fillId="15" borderId="5" xfId="0" applyFill="1" applyBorder="1"/>
    <xf numFmtId="44" fontId="0" fillId="15" borderId="0" xfId="1" applyFont="1" applyFill="1" applyBorder="1"/>
    <xf numFmtId="44" fontId="0" fillId="15" borderId="4" xfId="1" applyFont="1" applyFill="1" applyBorder="1"/>
    <xf numFmtId="44" fontId="0" fillId="15" borderId="5" xfId="1" applyFont="1" applyFill="1" applyBorder="1"/>
    <xf numFmtId="0" fontId="0" fillId="15" borderId="7" xfId="0" applyFill="1" applyBorder="1"/>
    <xf numFmtId="0" fontId="0" fillId="15" borderId="7" xfId="0" applyFill="1" applyBorder="1" applyAlignment="1">
      <alignment horizontal="center"/>
    </xf>
    <xf numFmtId="0" fontId="0" fillId="15" borderId="0" xfId="0" applyFill="1" applyAlignment="1">
      <alignment horizontal="center"/>
    </xf>
    <xf numFmtId="0" fontId="0" fillId="15" borderId="8" xfId="0" applyFill="1" applyBorder="1"/>
    <xf numFmtId="0" fontId="0" fillId="15" borderId="10" xfId="0" applyFill="1" applyBorder="1"/>
    <xf numFmtId="0" fontId="0" fillId="15" borderId="9" xfId="0" applyFill="1" applyBorder="1"/>
    <xf numFmtId="0" fontId="12" fillId="15" borderId="10" xfId="0" applyFont="1" applyFill="1" applyBorder="1" applyAlignment="1">
      <alignment wrapText="1"/>
    </xf>
    <xf numFmtId="0" fontId="0" fillId="15" borderId="8" xfId="0" applyFill="1" applyBorder="1" applyAlignment="1">
      <alignment wrapText="1"/>
    </xf>
    <xf numFmtId="0" fontId="0" fillId="15" borderId="11" xfId="0" applyFill="1" applyBorder="1"/>
    <xf numFmtId="0" fontId="0" fillId="15" borderId="11" xfId="0" applyFill="1" applyBorder="1" applyAlignment="1">
      <alignment horizontal="center"/>
    </xf>
    <xf numFmtId="0" fontId="0" fillId="15" borderId="10" xfId="0" applyFill="1" applyBorder="1" applyAlignment="1">
      <alignment horizontal="center"/>
    </xf>
    <xf numFmtId="14" fontId="0" fillId="17" borderId="0" xfId="0" applyNumberFormat="1" applyFill="1"/>
    <xf numFmtId="0" fontId="0" fillId="10" borderId="0" xfId="0" applyFill="1"/>
    <xf numFmtId="0" fontId="0" fillId="4" borderId="0" xfId="0" applyFill="1"/>
    <xf numFmtId="0" fontId="0" fillId="30" borderId="0" xfId="0" applyFill="1"/>
    <xf numFmtId="0" fontId="0" fillId="29" borderId="0" xfId="0" applyFill="1"/>
    <xf numFmtId="0" fontId="0" fillId="33" borderId="0" xfId="0" applyFill="1"/>
    <xf numFmtId="0" fontId="0" fillId="23" borderId="0" xfId="0" applyFill="1"/>
    <xf numFmtId="49" fontId="0" fillId="0" borderId="0" xfId="1" applyNumberFormat="1" applyFont="1" applyFill="1" applyBorder="1" applyAlignment="1">
      <alignment horizontal="center"/>
    </xf>
    <xf numFmtId="6" fontId="0" fillId="30" borderId="0" xfId="0" applyNumberFormat="1" applyFill="1"/>
    <xf numFmtId="0" fontId="0" fillId="9" borderId="0" xfId="0" applyFill="1" applyAlignment="1">
      <alignment horizontal="right"/>
    </xf>
    <xf numFmtId="165" fontId="0" fillId="9" borderId="0" xfId="0" applyNumberFormat="1" applyFill="1"/>
    <xf numFmtId="44" fontId="0" fillId="9" borderId="0" xfId="1" applyFont="1" applyFill="1" applyBorder="1" applyAlignment="1">
      <alignment horizontal="center"/>
    </xf>
    <xf numFmtId="166" fontId="9" fillId="9" borderId="0" xfId="0" applyNumberFormat="1" applyFont="1" applyFill="1" applyAlignment="1">
      <alignment horizontal="left"/>
    </xf>
    <xf numFmtId="166" fontId="0" fillId="9" borderId="0" xfId="0" applyNumberFormat="1" applyFill="1" applyAlignment="1">
      <alignment horizontal="center"/>
    </xf>
    <xf numFmtId="0" fontId="0" fillId="9" borderId="1" xfId="0" applyFill="1" applyBorder="1"/>
    <xf numFmtId="0" fontId="9" fillId="9" borderId="2" xfId="0" applyFont="1" applyFill="1" applyBorder="1" applyAlignment="1">
      <alignment horizontal="right"/>
    </xf>
    <xf numFmtId="0" fontId="7" fillId="9" borderId="2" xfId="0" applyFont="1" applyFill="1" applyBorder="1" applyAlignment="1">
      <alignment horizontal="right"/>
    </xf>
    <xf numFmtId="0" fontId="0" fillId="9" borderId="2" xfId="0" applyFill="1" applyBorder="1" applyAlignment="1">
      <alignment horizontal="right"/>
    </xf>
    <xf numFmtId="0" fontId="0" fillId="9" borderId="8" xfId="0" applyFill="1" applyBorder="1" applyAlignment="1">
      <alignment horizontal="center"/>
    </xf>
    <xf numFmtId="0" fontId="0" fillId="9" borderId="10" xfId="0" applyFill="1" applyBorder="1" applyAlignment="1">
      <alignment horizontal="center"/>
    </xf>
    <xf numFmtId="0" fontId="0" fillId="9" borderId="10" xfId="0" applyFill="1" applyBorder="1" applyAlignment="1">
      <alignment horizontal="center" wrapText="1"/>
    </xf>
    <xf numFmtId="0" fontId="0" fillId="9" borderId="10" xfId="0" applyFill="1" applyBorder="1" applyAlignment="1">
      <alignment horizontal="right"/>
    </xf>
    <xf numFmtId="0" fontId="0" fillId="9" borderId="3" xfId="0" applyFill="1" applyBorder="1"/>
    <xf numFmtId="166" fontId="0" fillId="9" borderId="4" xfId="0" applyNumberFormat="1" applyFill="1" applyBorder="1" applyAlignment="1">
      <alignment horizontal="center"/>
    </xf>
    <xf numFmtId="166" fontId="0" fillId="9" borderId="5" xfId="0" applyNumberFormat="1" applyFill="1" applyBorder="1" applyAlignment="1">
      <alignment horizontal="center"/>
    </xf>
    <xf numFmtId="0" fontId="0" fillId="9" borderId="8" xfId="0" applyFill="1" applyBorder="1" applyAlignment="1">
      <alignment horizontal="center" wrapText="1"/>
    </xf>
    <xf numFmtId="0" fontId="0" fillId="9" borderId="9" xfId="0" applyFill="1" applyBorder="1" applyAlignment="1">
      <alignment horizontal="center"/>
    </xf>
    <xf numFmtId="0" fontId="0" fillId="23" borderId="4" xfId="0" applyFill="1" applyBorder="1"/>
    <xf numFmtId="0" fontId="0" fillId="23" borderId="5" xfId="0" applyFill="1" applyBorder="1"/>
    <xf numFmtId="44" fontId="0" fillId="17" borderId="0" xfId="1" applyFont="1" applyFill="1" applyBorder="1"/>
    <xf numFmtId="44" fontId="0" fillId="17" borderId="0" xfId="0" applyNumberFormat="1" applyFill="1"/>
    <xf numFmtId="8" fontId="0" fillId="0" borderId="0" xfId="0" applyNumberFormat="1"/>
    <xf numFmtId="44" fontId="0" fillId="17" borderId="0" xfId="1" applyFont="1" applyFill="1"/>
    <xf numFmtId="165" fontId="0" fillId="16" borderId="0" xfId="0" applyNumberFormat="1" applyFill="1" applyAlignment="1">
      <alignment horizontal="center"/>
    </xf>
    <xf numFmtId="0" fontId="15" fillId="0" borderId="0" xfId="0" applyFont="1"/>
    <xf numFmtId="0" fontId="0" fillId="16" borderId="0" xfId="0" applyFill="1" applyAlignment="1">
      <alignment horizontal="center"/>
    </xf>
    <xf numFmtId="44" fontId="0" fillId="15" borderId="0" xfId="0" applyNumberFormat="1" applyFill="1"/>
    <xf numFmtId="44" fontId="8" fillId="15" borderId="6" xfId="1" applyFont="1" applyFill="1" applyBorder="1"/>
    <xf numFmtId="0" fontId="12" fillId="15" borderId="11" xfId="0" applyFont="1" applyFill="1" applyBorder="1" applyAlignment="1">
      <alignment wrapText="1"/>
    </xf>
    <xf numFmtId="0" fontId="0" fillId="4" borderId="7" xfId="0" applyFill="1" applyBorder="1"/>
    <xf numFmtId="0" fontId="0" fillId="9" borderId="6" xfId="0" applyFill="1" applyBorder="1"/>
    <xf numFmtId="0" fontId="0" fillId="9" borderId="7" xfId="0" applyFill="1" applyBorder="1" applyAlignment="1">
      <alignment horizontal="center"/>
    </xf>
    <xf numFmtId="0" fontId="0" fillId="9" borderId="11" xfId="0" applyFill="1" applyBorder="1" applyAlignment="1">
      <alignment horizontal="center"/>
    </xf>
    <xf numFmtId="0" fontId="0" fillId="17" borderId="7" xfId="0" applyFill="1" applyBorder="1"/>
    <xf numFmtId="44" fontId="0" fillId="17" borderId="7" xfId="1" applyFont="1" applyFill="1" applyBorder="1"/>
    <xf numFmtId="165" fontId="0" fillId="0" borderId="7" xfId="0" applyNumberFormat="1" applyBorder="1"/>
    <xf numFmtId="166" fontId="0" fillId="9" borderId="7" xfId="0" applyNumberFormat="1" applyFill="1" applyBorder="1" applyAlignment="1">
      <alignment horizontal="center"/>
    </xf>
    <xf numFmtId="170" fontId="0" fillId="15" borderId="7" xfId="0" applyNumberFormat="1" applyFill="1" applyBorder="1"/>
    <xf numFmtId="165" fontId="0" fillId="17" borderId="7" xfId="0" applyNumberFormat="1" applyFill="1" applyBorder="1"/>
    <xf numFmtId="170" fontId="0" fillId="17" borderId="7" xfId="0" applyNumberFormat="1" applyFill="1" applyBorder="1"/>
    <xf numFmtId="0" fontId="7" fillId="9" borderId="3" xfId="0" applyFont="1" applyFill="1" applyBorder="1" applyAlignment="1">
      <alignment horizontal="right"/>
    </xf>
    <xf numFmtId="166" fontId="9" fillId="9" borderId="4" xfId="0" applyNumberFormat="1" applyFont="1" applyFill="1" applyBorder="1" applyAlignment="1">
      <alignment horizontal="left"/>
    </xf>
    <xf numFmtId="0" fontId="0" fillId="9" borderId="9" xfId="0" applyFill="1" applyBorder="1" applyAlignment="1">
      <alignment horizontal="center" wrapText="1"/>
    </xf>
    <xf numFmtId="0" fontId="0" fillId="31" borderId="5" xfId="0" applyFill="1" applyBorder="1"/>
    <xf numFmtId="44" fontId="0" fillId="15" borderId="7" xfId="1" applyFont="1" applyFill="1" applyBorder="1"/>
    <xf numFmtId="44" fontId="0" fillId="15" borderId="11" xfId="1" applyFont="1" applyFill="1" applyBorder="1"/>
    <xf numFmtId="44" fontId="0" fillId="3" borderId="7" xfId="1" applyFont="1" applyFill="1" applyBorder="1"/>
    <xf numFmtId="44" fontId="0" fillId="16" borderId="7" xfId="1" applyFont="1" applyFill="1" applyBorder="1"/>
    <xf numFmtId="44" fontId="0" fillId="0" borderId="7" xfId="1" applyFont="1" applyBorder="1"/>
    <xf numFmtId="44" fontId="0" fillId="16" borderId="4" xfId="1" applyFont="1" applyFill="1" applyBorder="1" applyAlignment="1">
      <alignment horizontal="center"/>
    </xf>
    <xf numFmtId="8" fontId="0" fillId="27" borderId="0" xfId="0" applyNumberFormat="1" applyFill="1"/>
    <xf numFmtId="0" fontId="19" fillId="26" borderId="19" xfId="4" applyFont="1" applyFill="1" applyBorder="1" applyAlignment="1">
      <alignment horizontal="left" indent="2"/>
    </xf>
    <xf numFmtId="169" fontId="19" fillId="26" borderId="19" xfId="4" applyNumberFormat="1" applyFont="1" applyFill="1" applyBorder="1" applyAlignment="1">
      <alignment horizontal="right"/>
    </xf>
    <xf numFmtId="0" fontId="8" fillId="2" borderId="3" xfId="0" applyFont="1" applyFill="1" applyBorder="1"/>
    <xf numFmtId="0" fontId="19" fillId="0" borderId="20" xfId="4" applyFont="1" applyBorder="1" applyAlignment="1">
      <alignment horizontal="left" indent="1"/>
    </xf>
    <xf numFmtId="169" fontId="19" fillId="0" borderId="20" xfId="4" applyNumberFormat="1" applyFont="1" applyBorder="1" applyAlignment="1">
      <alignment horizontal="right"/>
    </xf>
    <xf numFmtId="44" fontId="0" fillId="28" borderId="22" xfId="1" applyFont="1" applyFill="1" applyBorder="1"/>
    <xf numFmtId="44" fontId="0" fillId="28" borderId="22" xfId="0" applyNumberFormat="1" applyFill="1" applyBorder="1"/>
    <xf numFmtId="0" fontId="0" fillId="28" borderId="22" xfId="0" applyFill="1" applyBorder="1"/>
    <xf numFmtId="0" fontId="19" fillId="28" borderId="21" xfId="4" applyFont="1" applyFill="1" applyBorder="1" applyAlignment="1">
      <alignment horizontal="left" indent="1"/>
    </xf>
    <xf numFmtId="169" fontId="19" fillId="28" borderId="21" xfId="4" applyNumberFormat="1" applyFont="1" applyFill="1" applyBorder="1" applyAlignment="1">
      <alignment horizontal="right"/>
    </xf>
    <xf numFmtId="44" fontId="0" fillId="0" borderId="15" xfId="1" applyFont="1" applyBorder="1"/>
    <xf numFmtId="44" fontId="0" fillId="0" borderId="15" xfId="0" applyNumberFormat="1" applyBorder="1"/>
    <xf numFmtId="8" fontId="0" fillId="0" borderId="0" xfId="1" applyNumberFormat="1" applyFont="1" applyBorder="1"/>
    <xf numFmtId="44" fontId="0" fillId="0" borderId="18" xfId="1" applyFont="1" applyBorder="1"/>
    <xf numFmtId="43" fontId="0" fillId="0" borderId="15" xfId="3" applyFont="1" applyBorder="1"/>
    <xf numFmtId="43" fontId="0" fillId="0" borderId="0" xfId="3" applyFont="1" applyBorder="1"/>
    <xf numFmtId="43" fontId="0" fillId="0" borderId="18" xfId="3" applyFont="1" applyBorder="1"/>
    <xf numFmtId="43" fontId="0" fillId="28" borderId="22" xfId="0" applyNumberFormat="1" applyFill="1" applyBorder="1"/>
    <xf numFmtId="2" fontId="0" fillId="16" borderId="7" xfId="0" applyNumberFormat="1" applyFill="1" applyBorder="1" applyAlignment="1">
      <alignment horizontal="center"/>
    </xf>
    <xf numFmtId="2" fontId="0" fillId="15" borderId="11" xfId="0" applyNumberFormat="1" applyFill="1" applyBorder="1" applyAlignment="1">
      <alignment horizontal="center"/>
    </xf>
    <xf numFmtId="9" fontId="0" fillId="0" borderId="0" xfId="5" applyFont="1"/>
    <xf numFmtId="0" fontId="0" fillId="0" borderId="19" xfId="0" applyBorder="1"/>
    <xf numFmtId="0" fontId="0" fillId="26" borderId="0" xfId="0" applyFill="1" applyAlignment="1">
      <alignment horizontal="center"/>
    </xf>
    <xf numFmtId="44" fontId="0" fillId="26" borderId="0" xfId="1" applyFont="1" applyFill="1"/>
    <xf numFmtId="44" fontId="0" fillId="26" borderId="0" xfId="0" applyNumberFormat="1" applyFill="1"/>
    <xf numFmtId="0" fontId="19" fillId="0" borderId="23" xfId="4" applyFont="1" applyBorder="1" applyAlignment="1">
      <alignment horizontal="left" indent="2"/>
    </xf>
    <xf numFmtId="165" fontId="19" fillId="0" borderId="19" xfId="1" applyNumberFormat="1" applyFont="1" applyBorder="1" applyAlignment="1">
      <alignment horizontal="right"/>
    </xf>
    <xf numFmtId="165" fontId="0" fillId="0" borderId="19" xfId="1" applyNumberFormat="1" applyFont="1" applyBorder="1"/>
    <xf numFmtId="165" fontId="0" fillId="0" borderId="19" xfId="0" applyNumberFormat="1" applyBorder="1"/>
    <xf numFmtId="165" fontId="0" fillId="26" borderId="19" xfId="0" applyNumberFormat="1" applyFill="1" applyBorder="1"/>
    <xf numFmtId="165" fontId="19" fillId="0" borderId="19" xfId="1" applyNumberFormat="1" applyFont="1" applyFill="1" applyBorder="1" applyAlignment="1">
      <alignment horizontal="right"/>
    </xf>
    <xf numFmtId="2" fontId="0" fillId="16" borderId="0" xfId="0" applyNumberFormat="1" applyFill="1" applyAlignment="1">
      <alignment horizontal="center"/>
    </xf>
    <xf numFmtId="10" fontId="0" fillId="9" borderId="2" xfId="0" applyNumberFormat="1" applyFill="1" applyBorder="1"/>
    <xf numFmtId="10" fontId="0" fillId="9" borderId="0" xfId="0" applyNumberFormat="1" applyFill="1" applyAlignment="1">
      <alignment horizontal="center"/>
    </xf>
    <xf numFmtId="10" fontId="0" fillId="9" borderId="10" xfId="0" applyNumberFormat="1" applyFill="1" applyBorder="1" applyAlignment="1">
      <alignment horizontal="center"/>
    </xf>
    <xf numFmtId="10" fontId="0" fillId="0" borderId="0" xfId="0" applyNumberFormat="1"/>
    <xf numFmtId="171" fontId="0" fillId="2" borderId="10" xfId="0" applyNumberFormat="1" applyFill="1" applyBorder="1" applyAlignment="1">
      <alignment horizontal="center"/>
    </xf>
    <xf numFmtId="165" fontId="0" fillId="34" borderId="0" xfId="0" applyNumberFormat="1" applyFill="1"/>
    <xf numFmtId="0" fontId="0" fillId="16" borderId="4" xfId="0" applyFill="1" applyBorder="1"/>
    <xf numFmtId="0" fontId="0" fillId="16" borderId="5" xfId="0" applyFill="1" applyBorder="1"/>
    <xf numFmtId="10" fontId="0" fillId="16" borderId="0" xfId="0" applyNumberFormat="1" applyFill="1"/>
    <xf numFmtId="0" fontId="0" fillId="0" borderId="0" xfId="0" applyAlignment="1">
      <alignment vertical="center" wrapText="1"/>
    </xf>
    <xf numFmtId="44" fontId="0" fillId="0" borderId="0" xfId="1" applyFont="1" applyAlignment="1">
      <alignment vertical="center" wrapText="1"/>
    </xf>
    <xf numFmtId="165" fontId="0" fillId="0" borderId="0" xfId="1" applyNumberFormat="1" applyFont="1" applyAlignment="1">
      <alignment vertical="center" wrapText="1"/>
    </xf>
    <xf numFmtId="165" fontId="0" fillId="0" borderId="0" xfId="1" applyNumberFormat="1" applyFont="1"/>
    <xf numFmtId="6" fontId="0" fillId="0" borderId="0" xfId="0" applyNumberFormat="1" applyAlignment="1">
      <alignment vertical="center" wrapText="1"/>
    </xf>
    <xf numFmtId="172" fontId="0" fillId="0" borderId="0" xfId="1" applyNumberFormat="1" applyFont="1"/>
    <xf numFmtId="4" fontId="14" fillId="0" borderId="7" xfId="0" applyNumberFormat="1" applyFont="1" applyBorder="1"/>
    <xf numFmtId="0" fontId="14" fillId="0" borderId="7" xfId="0" applyFont="1" applyBorder="1"/>
    <xf numFmtId="165" fontId="0" fillId="15" borderId="7" xfId="0" applyNumberFormat="1" applyFill="1" applyBorder="1" applyAlignment="1">
      <alignment horizontal="center"/>
    </xf>
    <xf numFmtId="0" fontId="11" fillId="35" borderId="0" xfId="0" applyFont="1" applyFill="1"/>
    <xf numFmtId="44" fontId="11" fillId="35" borderId="7" xfId="0" applyNumberFormat="1" applyFont="1" applyFill="1" applyBorder="1"/>
    <xf numFmtId="44" fontId="11" fillId="35" borderId="0" xfId="1" applyFont="1" applyFill="1"/>
    <xf numFmtId="44" fontId="11" fillId="35" borderId="7" xfId="1" applyFont="1" applyFill="1" applyBorder="1"/>
    <xf numFmtId="44" fontId="11" fillId="35" borderId="0" xfId="1" applyFont="1" applyFill="1" applyBorder="1"/>
    <xf numFmtId="8" fontId="0" fillId="17" borderId="0" xfId="1" applyNumberFormat="1" applyFont="1" applyFill="1" applyBorder="1"/>
    <xf numFmtId="0" fontId="0" fillId="14" borderId="14" xfId="0" applyFill="1" applyBorder="1"/>
    <xf numFmtId="0" fontId="0" fillId="14" borderId="4" xfId="0" applyFill="1" applyBorder="1"/>
    <xf numFmtId="0" fontId="0" fillId="33" borderId="0" xfId="0" applyFill="1" applyAlignment="1">
      <alignment horizontal="center"/>
    </xf>
    <xf numFmtId="0" fontId="14" fillId="36" borderId="0" xfId="0" applyFont="1" applyFill="1" applyAlignment="1">
      <alignment vertical="center" wrapText="1"/>
    </xf>
    <xf numFmtId="0" fontId="0" fillId="0" borderId="0" xfId="0" applyAlignment="1">
      <alignment horizontal="left" indent="1"/>
    </xf>
    <xf numFmtId="4" fontId="8" fillId="2" borderId="2" xfId="0" applyNumberFormat="1" applyFont="1" applyFill="1" applyBorder="1"/>
    <xf numFmtId="4" fontId="0" fillId="2" borderId="0" xfId="0" applyNumberFormat="1" applyFill="1"/>
    <xf numFmtId="4" fontId="0" fillId="11" borderId="0" xfId="0" applyNumberFormat="1" applyFill="1"/>
    <xf numFmtId="4" fontId="0" fillId="0" borderId="0" xfId="0" applyNumberFormat="1"/>
    <xf numFmtId="44" fontId="8" fillId="12" borderId="2" xfId="1" applyFont="1" applyFill="1" applyBorder="1"/>
    <xf numFmtId="44" fontId="0" fillId="12" borderId="0" xfId="0" applyNumberFormat="1" applyFill="1" applyAlignment="1">
      <alignment horizontal="center"/>
    </xf>
    <xf numFmtId="0" fontId="8" fillId="12" borderId="2" xfId="0" applyFont="1" applyFill="1" applyBorder="1"/>
    <xf numFmtId="0" fontId="8" fillId="12" borderId="6" xfId="0" applyFont="1" applyFill="1" applyBorder="1"/>
    <xf numFmtId="0" fontId="0" fillId="12" borderId="7" xfId="0" applyFill="1" applyBorder="1"/>
    <xf numFmtId="44" fontId="0" fillId="12" borderId="7" xfId="0" applyNumberFormat="1" applyFill="1" applyBorder="1"/>
    <xf numFmtId="0" fontId="0" fillId="12" borderId="7" xfId="0" applyFill="1" applyBorder="1" applyAlignment="1">
      <alignment horizontal="center"/>
    </xf>
    <xf numFmtId="44" fontId="0" fillId="12" borderId="7" xfId="1" applyFont="1" applyFill="1" applyBorder="1" applyAlignment="1">
      <alignment horizontal="center"/>
    </xf>
    <xf numFmtId="0" fontId="8" fillId="29" borderId="6" xfId="0" applyFont="1" applyFill="1" applyBorder="1" applyAlignment="1">
      <alignment horizontal="center"/>
    </xf>
    <xf numFmtId="0" fontId="0" fillId="29" borderId="7" xfId="0" applyFill="1" applyBorder="1" applyAlignment="1">
      <alignment horizontal="center"/>
    </xf>
    <xf numFmtId="165" fontId="0" fillId="29" borderId="7" xfId="0" applyNumberFormat="1" applyFill="1" applyBorder="1" applyAlignment="1">
      <alignment horizontal="center"/>
    </xf>
    <xf numFmtId="0" fontId="0" fillId="0" borderId="0" xfId="0" applyAlignment="1">
      <alignment horizontal="left" indent="2"/>
    </xf>
    <xf numFmtId="22" fontId="0" fillId="0" borderId="0" xfId="0" applyNumberFormat="1" applyAlignment="1">
      <alignment horizontal="left"/>
    </xf>
    <xf numFmtId="0" fontId="8" fillId="0" borderId="0" xfId="0" applyFont="1" applyAlignment="1">
      <alignment horizontal="left"/>
    </xf>
    <xf numFmtId="0" fontId="8" fillId="2" borderId="0" xfId="0" applyFont="1" applyFill="1"/>
    <xf numFmtId="0" fontId="16" fillId="2" borderId="8" xfId="0" applyFont="1" applyFill="1" applyBorder="1"/>
    <xf numFmtId="0" fontId="16" fillId="2" borderId="10" xfId="0" applyFont="1" applyFill="1" applyBorder="1"/>
    <xf numFmtId="0" fontId="16" fillId="2" borderId="9" xfId="0" applyFont="1" applyFill="1" applyBorder="1"/>
    <xf numFmtId="4" fontId="16" fillId="2" borderId="10" xfId="0" applyNumberFormat="1" applyFont="1" applyFill="1" applyBorder="1"/>
    <xf numFmtId="0" fontId="16" fillId="12" borderId="10" xfId="0" applyFont="1" applyFill="1" applyBorder="1"/>
    <xf numFmtId="0" fontId="16" fillId="2" borderId="8" xfId="0" applyFont="1" applyFill="1" applyBorder="1" applyAlignment="1">
      <alignment wrapText="1"/>
    </xf>
    <xf numFmtId="0" fontId="16" fillId="12" borderId="11" xfId="0" applyFont="1" applyFill="1" applyBorder="1"/>
    <xf numFmtId="44" fontId="16" fillId="15" borderId="11" xfId="1" applyFont="1" applyFill="1" applyBorder="1"/>
    <xf numFmtId="0" fontId="16" fillId="29" borderId="11" xfId="0" applyFont="1" applyFill="1" applyBorder="1" applyAlignment="1">
      <alignment horizontal="center"/>
    </xf>
    <xf numFmtId="0" fontId="16" fillId="2" borderId="10" xfId="0" applyFont="1" applyFill="1" applyBorder="1" applyAlignment="1">
      <alignment horizontal="center"/>
    </xf>
    <xf numFmtId="0" fontId="11" fillId="3" borderId="0" xfId="0" applyFont="1" applyFill="1" applyAlignment="1">
      <alignment horizontal="center"/>
    </xf>
    <xf numFmtId="44" fontId="8" fillId="15" borderId="2" xfId="0" applyNumberFormat="1" applyFont="1" applyFill="1" applyBorder="1"/>
    <xf numFmtId="44" fontId="0" fillId="15" borderId="10" xfId="0" applyNumberFormat="1" applyFill="1" applyBorder="1"/>
    <xf numFmtId="44" fontId="0" fillId="3" borderId="0" xfId="0" applyNumberFormat="1" applyFill="1"/>
    <xf numFmtId="165" fontId="11" fillId="37" borderId="0" xfId="0" applyNumberFormat="1" applyFont="1" applyFill="1" applyAlignment="1">
      <alignment horizontal="center"/>
    </xf>
    <xf numFmtId="0" fontId="20" fillId="0" borderId="0" xfId="0" applyFont="1"/>
    <xf numFmtId="4" fontId="20" fillId="0" borderId="0" xfId="0" applyNumberFormat="1" applyFont="1"/>
    <xf numFmtId="0" fontId="21" fillId="0" borderId="0" xfId="0" applyFont="1"/>
    <xf numFmtId="2" fontId="11" fillId="35" borderId="7" xfId="0" applyNumberFormat="1" applyFont="1" applyFill="1" applyBorder="1"/>
    <xf numFmtId="14" fontId="22" fillId="0" borderId="0" xfId="0" applyNumberFormat="1" applyFont="1"/>
    <xf numFmtId="14" fontId="23" fillId="0" borderId="0" xfId="0" applyNumberFormat="1" applyFont="1"/>
    <xf numFmtId="14" fontId="8" fillId="0" borderId="0" xfId="0" applyNumberFormat="1" applyFont="1"/>
    <xf numFmtId="0" fontId="8" fillId="0" borderId="5" xfId="0" applyFont="1" applyBorder="1"/>
    <xf numFmtId="44" fontId="8" fillId="2" borderId="0" xfId="1" applyFont="1" applyFill="1" applyBorder="1"/>
    <xf numFmtId="0" fontId="8" fillId="5" borderId="4" xfId="0" applyFont="1" applyFill="1" applyBorder="1"/>
    <xf numFmtId="0" fontId="8" fillId="5" borderId="0" xfId="0" applyFont="1" applyFill="1"/>
    <xf numFmtId="0" fontId="8" fillId="5" borderId="5" xfId="0" applyFont="1" applyFill="1" applyBorder="1"/>
    <xf numFmtId="0" fontId="8" fillId="9" borderId="4" xfId="0" applyFont="1" applyFill="1" applyBorder="1"/>
    <xf numFmtId="0" fontId="8" fillId="9" borderId="0" xfId="0" applyFont="1" applyFill="1"/>
    <xf numFmtId="0" fontId="8" fillId="9" borderId="5" xfId="0" applyFont="1" applyFill="1" applyBorder="1"/>
    <xf numFmtId="44" fontId="8" fillId="10" borderId="0" xfId="0" applyNumberFormat="1" applyFont="1" applyFill="1"/>
    <xf numFmtId="44" fontId="8" fillId="15" borderId="0" xfId="0" applyNumberFormat="1" applyFont="1" applyFill="1"/>
    <xf numFmtId="0" fontId="8" fillId="12" borderId="0" xfId="0" applyFont="1" applyFill="1"/>
    <xf numFmtId="44" fontId="8" fillId="12" borderId="0" xfId="0" applyNumberFormat="1" applyFont="1" applyFill="1"/>
    <xf numFmtId="0" fontId="8" fillId="5" borderId="0" xfId="0" applyFont="1" applyFill="1" applyAlignment="1">
      <alignment horizontal="center"/>
    </xf>
    <xf numFmtId="0" fontId="8" fillId="13" borderId="0" xfId="0" applyFont="1" applyFill="1"/>
    <xf numFmtId="0" fontId="8" fillId="2" borderId="4" xfId="0" applyFont="1" applyFill="1" applyBorder="1" applyAlignment="1">
      <alignment horizontal="center"/>
    </xf>
    <xf numFmtId="0" fontId="8" fillId="2" borderId="0" xfId="0" applyFont="1" applyFill="1" applyAlignment="1">
      <alignment horizontal="center"/>
    </xf>
    <xf numFmtId="0" fontId="8" fillId="4" borderId="7" xfId="0" applyFont="1" applyFill="1" applyBorder="1"/>
    <xf numFmtId="0" fontId="8" fillId="6" borderId="4" xfId="0" applyFont="1" applyFill="1" applyBorder="1"/>
    <xf numFmtId="0" fontId="8" fillId="6" borderId="5" xfId="0" applyFont="1" applyFill="1" applyBorder="1"/>
    <xf numFmtId="0" fontId="8" fillId="6" borderId="0" xfId="0" applyFont="1" applyFill="1"/>
    <xf numFmtId="0" fontId="8" fillId="14" borderId="0" xfId="0" applyFont="1" applyFill="1"/>
    <xf numFmtId="44" fontId="8" fillId="16" borderId="7" xfId="0" applyNumberFormat="1" applyFont="1" applyFill="1" applyBorder="1"/>
    <xf numFmtId="44" fontId="8" fillId="16" borderId="7" xfId="1" applyFont="1" applyFill="1" applyBorder="1"/>
    <xf numFmtId="44" fontId="8" fillId="16" borderId="4" xfId="1" applyFont="1" applyFill="1" applyBorder="1" applyAlignment="1">
      <alignment horizontal="center"/>
    </xf>
    <xf numFmtId="165" fontId="8" fillId="15" borderId="7" xfId="0" applyNumberFormat="1" applyFont="1" applyFill="1" applyBorder="1" applyAlignment="1">
      <alignment horizontal="center"/>
    </xf>
    <xf numFmtId="2" fontId="8" fillId="16" borderId="7" xfId="0" applyNumberFormat="1" applyFont="1" applyFill="1" applyBorder="1" applyAlignment="1">
      <alignment horizontal="center"/>
    </xf>
    <xf numFmtId="165" fontId="8" fillId="0" borderId="0" xfId="0" applyNumberFormat="1" applyFont="1" applyAlignment="1">
      <alignment horizontal="center"/>
    </xf>
    <xf numFmtId="165" fontId="8" fillId="0" borderId="0" xfId="1" applyNumberFormat="1" applyFont="1" applyFill="1" applyBorder="1" applyAlignment="1">
      <alignment horizontal="center"/>
    </xf>
    <xf numFmtId="0" fontId="24" fillId="0" borderId="0" xfId="2" applyFont="1" applyFill="1" applyBorder="1" applyAlignment="1">
      <alignment horizontal="center"/>
    </xf>
    <xf numFmtId="0" fontId="25" fillId="0" borderId="0" xfId="0" applyFont="1"/>
    <xf numFmtId="0" fontId="26" fillId="0" borderId="0" xfId="0" applyFont="1"/>
    <xf numFmtId="14" fontId="27" fillId="0" borderId="0" xfId="0" applyNumberFormat="1" applyFont="1"/>
    <xf numFmtId="14" fontId="26" fillId="0" borderId="0" xfId="0" applyNumberFormat="1" applyFont="1"/>
    <xf numFmtId="0" fontId="26" fillId="0" borderId="5" xfId="0" applyFont="1" applyBorder="1"/>
    <xf numFmtId="0" fontId="26" fillId="2" borderId="0" xfId="0" applyFont="1" applyFill="1"/>
    <xf numFmtId="44" fontId="26" fillId="2" borderId="0" xfId="1" applyFont="1" applyFill="1" applyBorder="1"/>
    <xf numFmtId="0" fontId="26" fillId="5" borderId="4" xfId="0" applyFont="1" applyFill="1" applyBorder="1"/>
    <xf numFmtId="0" fontId="26" fillId="5" borderId="0" xfId="0" applyFont="1" applyFill="1"/>
    <xf numFmtId="0" fontId="26" fillId="5" borderId="5" xfId="0" applyFont="1" applyFill="1" applyBorder="1"/>
    <xf numFmtId="0" fontId="26" fillId="9" borderId="4" xfId="0" applyFont="1" applyFill="1" applyBorder="1"/>
    <xf numFmtId="0" fontId="26" fillId="9" borderId="0" xfId="0" applyFont="1" applyFill="1"/>
    <xf numFmtId="0" fontId="26" fillId="9" borderId="5" xfId="0" applyFont="1" applyFill="1" applyBorder="1"/>
    <xf numFmtId="44" fontId="26" fillId="10" borderId="0" xfId="0" applyNumberFormat="1" applyFont="1" applyFill="1"/>
    <xf numFmtId="44" fontId="26" fillId="15" borderId="0" xfId="0" applyNumberFormat="1" applyFont="1" applyFill="1"/>
    <xf numFmtId="0" fontId="26" fillId="12" borderId="0" xfId="0" applyFont="1" applyFill="1"/>
    <xf numFmtId="44" fontId="26" fillId="12" borderId="0" xfId="0" applyNumberFormat="1" applyFont="1" applyFill="1"/>
    <xf numFmtId="0" fontId="26" fillId="5" borderId="0" xfId="0" applyFont="1" applyFill="1" applyAlignment="1">
      <alignment horizontal="center"/>
    </xf>
    <xf numFmtId="0" fontId="26" fillId="13" borderId="0" xfId="0" applyFont="1" applyFill="1"/>
    <xf numFmtId="0" fontId="26" fillId="2" borderId="4" xfId="0" applyFont="1" applyFill="1" applyBorder="1" applyAlignment="1">
      <alignment horizontal="center"/>
    </xf>
    <xf numFmtId="0" fontId="26" fillId="2" borderId="0" xfId="0" applyFont="1" applyFill="1" applyAlignment="1">
      <alignment horizontal="center"/>
    </xf>
    <xf numFmtId="0" fontId="26" fillId="4" borderId="7" xfId="0" applyFont="1" applyFill="1" applyBorder="1"/>
    <xf numFmtId="0" fontId="26" fillId="6" borderId="4" xfId="0" applyFont="1" applyFill="1" applyBorder="1"/>
    <xf numFmtId="0" fontId="26" fillId="6" borderId="5" xfId="0" applyFont="1" applyFill="1" applyBorder="1"/>
    <xf numFmtId="0" fontId="26" fillId="6" borderId="0" xfId="0" applyFont="1" applyFill="1"/>
    <xf numFmtId="0" fontId="26" fillId="7" borderId="0" xfId="0" applyFont="1" applyFill="1" applyAlignment="1">
      <alignment horizontal="center"/>
    </xf>
    <xf numFmtId="0" fontId="26" fillId="14" borderId="0" xfId="0" applyFont="1" applyFill="1"/>
    <xf numFmtId="44" fontId="26" fillId="16" borderId="7" xfId="0" applyNumberFormat="1" applyFont="1" applyFill="1" applyBorder="1"/>
    <xf numFmtId="44" fontId="26" fillId="16" borderId="7" xfId="1" applyFont="1" applyFill="1" applyBorder="1"/>
    <xf numFmtId="44" fontId="26" fillId="16" borderId="4" xfId="1" applyFont="1" applyFill="1" applyBorder="1" applyAlignment="1">
      <alignment horizontal="center"/>
    </xf>
    <xf numFmtId="165" fontId="26" fillId="15" borderId="7" xfId="0" applyNumberFormat="1" applyFont="1" applyFill="1" applyBorder="1" applyAlignment="1">
      <alignment horizontal="center"/>
    </xf>
    <xf numFmtId="2" fontId="26" fillId="16" borderId="7" xfId="0" applyNumberFormat="1" applyFont="1" applyFill="1" applyBorder="1" applyAlignment="1">
      <alignment horizontal="center"/>
    </xf>
    <xf numFmtId="165" fontId="26" fillId="0" borderId="0" xfId="0" applyNumberFormat="1" applyFont="1" applyAlignment="1">
      <alignment horizontal="center"/>
    </xf>
    <xf numFmtId="165" fontId="26" fillId="0" borderId="0" xfId="1" applyNumberFormat="1" applyFont="1" applyFill="1" applyBorder="1" applyAlignment="1">
      <alignment horizontal="center"/>
    </xf>
    <xf numFmtId="0" fontId="28" fillId="0" borderId="0" xfId="2" applyFont="1" applyFill="1" applyBorder="1" applyAlignment="1">
      <alignment horizontal="center"/>
    </xf>
    <xf numFmtId="0" fontId="0" fillId="0" borderId="24" xfId="0" applyBorder="1" applyAlignment="1">
      <alignment vertical="center" wrapText="1"/>
    </xf>
    <xf numFmtId="47" fontId="0" fillId="0" borderId="24" xfId="0" applyNumberFormat="1" applyBorder="1" applyAlignment="1">
      <alignment vertical="center" wrapText="1"/>
    </xf>
    <xf numFmtId="21" fontId="0" fillId="0" borderId="24" xfId="0" applyNumberFormat="1" applyBorder="1" applyAlignment="1">
      <alignment vertical="center" wrapText="1"/>
    </xf>
    <xf numFmtId="14" fontId="0" fillId="0" borderId="24" xfId="0" applyNumberFormat="1" applyBorder="1" applyAlignment="1">
      <alignment vertical="center" wrapText="1"/>
    </xf>
    <xf numFmtId="49" fontId="0" fillId="14" borderId="4" xfId="0" applyNumberFormat="1" applyFill="1" applyBorder="1"/>
    <xf numFmtId="49" fontId="8" fillId="15" borderId="1" xfId="0" applyNumberFormat="1" applyFont="1" applyFill="1" applyBorder="1"/>
    <xf numFmtId="49" fontId="0" fillId="15" borderId="4" xfId="0" applyNumberFormat="1" applyFill="1" applyBorder="1"/>
    <xf numFmtId="49" fontId="0" fillId="15" borderId="8" xfId="0" applyNumberFormat="1" applyFill="1" applyBorder="1"/>
    <xf numFmtId="49" fontId="0" fillId="3" borderId="4" xfId="0" applyNumberFormat="1" applyFill="1" applyBorder="1"/>
    <xf numFmtId="49" fontId="0" fillId="0" borderId="4" xfId="0" applyNumberFormat="1" applyBorder="1"/>
    <xf numFmtId="49" fontId="26" fillId="0" borderId="4" xfId="0" applyNumberFormat="1" applyFont="1" applyBorder="1"/>
    <xf numFmtId="49" fontId="8" fillId="0" borderId="4" xfId="0" applyNumberFormat="1" applyFont="1" applyBorder="1"/>
    <xf numFmtId="49" fontId="0" fillId="0" borderId="0" xfId="0" applyNumberFormat="1"/>
    <xf numFmtId="49" fontId="8" fillId="15" borderId="2" xfId="0" applyNumberFormat="1" applyFont="1" applyFill="1" applyBorder="1"/>
    <xf numFmtId="49" fontId="0" fillId="15" borderId="0" xfId="0" applyNumberFormat="1" applyFill="1"/>
    <xf numFmtId="49" fontId="0" fillId="15" borderId="10" xfId="0" applyNumberFormat="1" applyFill="1" applyBorder="1"/>
    <xf numFmtId="49" fontId="0" fillId="3" borderId="0" xfId="0" applyNumberFormat="1" applyFill="1"/>
    <xf numFmtId="49" fontId="8" fillId="0" borderId="0" xfId="0" applyNumberFormat="1" applyFont="1"/>
    <xf numFmtId="0" fontId="0" fillId="0" borderId="0" xfId="0" applyProtection="1">
      <protection locked="0"/>
    </xf>
    <xf numFmtId="14" fontId="0" fillId="2" borderId="10" xfId="0" applyNumberFormat="1" applyFill="1" applyBorder="1"/>
    <xf numFmtId="170" fontId="0" fillId="2" borderId="11" xfId="0" applyNumberFormat="1" applyFill="1" applyBorder="1" applyAlignment="1">
      <alignment horizontal="center"/>
    </xf>
    <xf numFmtId="170" fontId="0" fillId="16" borderId="7" xfId="0" applyNumberFormat="1" applyFill="1" applyBorder="1" applyAlignment="1">
      <alignment horizontal="center"/>
    </xf>
    <xf numFmtId="170" fontId="0" fillId="0" borderId="7" xfId="0" applyNumberFormat="1" applyBorder="1" applyAlignment="1">
      <alignment horizontal="center"/>
    </xf>
    <xf numFmtId="44" fontId="0" fillId="9" borderId="7" xfId="0" applyNumberFormat="1" applyFill="1" applyBorder="1" applyAlignment="1">
      <alignment horizontal="center"/>
    </xf>
    <xf numFmtId="0" fontId="0" fillId="5" borderId="10" xfId="0" applyFill="1" applyBorder="1" applyAlignment="1">
      <alignment horizontal="center"/>
    </xf>
    <xf numFmtId="0" fontId="0" fillId="14" borderId="12" xfId="0" applyFill="1" applyBorder="1" applyAlignment="1">
      <alignment horizontal="center"/>
    </xf>
    <xf numFmtId="0" fontId="0" fillId="14" borderId="13" xfId="0" applyFill="1" applyBorder="1" applyAlignment="1">
      <alignment horizontal="center"/>
    </xf>
    <xf numFmtId="0" fontId="0" fillId="8" borderId="4" xfId="0" applyFill="1" applyBorder="1" applyAlignment="1">
      <alignment horizontal="right"/>
    </xf>
    <xf numFmtId="0" fontId="0" fillId="8" borderId="0" xfId="0" applyFill="1" applyAlignment="1">
      <alignment horizontal="right"/>
    </xf>
    <xf numFmtId="0" fontId="0" fillId="16" borderId="0" xfId="0" applyFill="1" applyAlignment="1">
      <alignment horizontal="right"/>
    </xf>
    <xf numFmtId="0" fontId="0" fillId="16" borderId="5" xfId="0" applyFill="1" applyBorder="1" applyAlignment="1">
      <alignment horizontal="right"/>
    </xf>
    <xf numFmtId="0" fontId="0" fillId="0" borderId="0" xfId="0" applyAlignment="1">
      <alignment vertical="center" wrapText="1"/>
    </xf>
    <xf numFmtId="0" fontId="8" fillId="0" borderId="0" xfId="0" applyFont="1" applyAlignment="1">
      <alignment vertical="center" wrapText="1"/>
    </xf>
  </cellXfs>
  <cellStyles count="8">
    <cellStyle name="Comma" xfId="3" builtinId="3"/>
    <cellStyle name="Comma 2" xfId="7" xr:uid="{0873A2F5-0485-4DB5-A0F8-A11067B95DA1}"/>
    <cellStyle name="Currency" xfId="1" builtinId="4"/>
    <cellStyle name="Currency 2" xfId="6" xr:uid="{B79D2BE9-ADF0-4B4F-8BB0-FCEE9D43255F}"/>
    <cellStyle name="Hyperlink" xfId="2" builtinId="8"/>
    <cellStyle name="Normal" xfId="0" builtinId="0"/>
    <cellStyle name="Normal 126" xfId="4" xr:uid="{450C78B9-D423-4E94-90B7-4451917A0974}"/>
    <cellStyle name="Percent" xfId="5" builtinId="5"/>
  </cellStyles>
  <dxfs count="212">
    <dxf>
      <font>
        <color rgb="FF9C5700"/>
      </font>
      <fill>
        <patternFill>
          <bgColor rgb="FFFFEB9C"/>
        </patternFill>
      </fill>
    </dxf>
    <dxf>
      <font>
        <color rgb="FF9C0006"/>
      </font>
      <fill>
        <patternFill>
          <bgColor rgb="FFFFC7CE"/>
        </patternFill>
      </fill>
    </dxf>
    <dxf>
      <font>
        <b/>
        <i val="0"/>
      </font>
      <border>
        <left/>
        <right/>
        <top style="dashDot">
          <color rgb="FFC00000"/>
        </top>
        <bottom style="dashDot">
          <color rgb="FFC00000"/>
        </bottom>
        <vertical/>
        <horizontal/>
      </border>
    </dxf>
    <dxf>
      <font>
        <b/>
        <i val="0"/>
      </font>
      <border>
        <left style="dashDot">
          <color rgb="FFC00000"/>
        </left>
        <right style="dashDot">
          <color rgb="FFC00000"/>
        </right>
        <top style="dashDot">
          <color rgb="FFC00000"/>
        </top>
        <bottom style="dashDot">
          <color rgb="FFC00000"/>
        </bottom>
        <vertical/>
        <horizontal/>
      </border>
    </dxf>
    <dxf>
      <font>
        <b/>
        <i val="0"/>
      </font>
      <border>
        <top style="dashDotDot">
          <color rgb="FFC00000"/>
        </top>
        <bottom style="dashDot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style="dashDot">
          <color rgb="FFC00000"/>
        </left>
        <right style="dashDot">
          <color rgb="FFC00000"/>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top style="dashDotDot">
          <color rgb="FFC00000"/>
        </top>
        <bottom style="dashDot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style="dashDot">
          <color rgb="FFC00000"/>
        </left>
        <right style="dashDot">
          <color rgb="FFC00000"/>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top style="dashDotDot">
          <color rgb="FFC00000"/>
        </top>
        <bottom style="dashDot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ill>
        <patternFill>
          <bgColor theme="5" tint="0.59996337778862885"/>
        </patternFill>
      </fill>
    </dxf>
    <dxf>
      <fill>
        <patternFill>
          <bgColor theme="5" tint="0.59996337778862885"/>
        </patternFill>
      </fill>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border>
        <left/>
        <right/>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border>
        <top style="dashDotDot">
          <color rgb="FFC00000"/>
        </top>
        <bottom style="dashDotDot">
          <color rgb="FFC00000"/>
        </bottom>
        <vertical/>
        <horizontal/>
      </border>
    </dxf>
    <dxf>
      <font>
        <b/>
        <i val="0"/>
      </font>
      <numFmt numFmtId="0" formatCode="General"/>
      <border>
        <top style="dashDot">
          <color rgb="FFC00000"/>
        </top>
        <bottom style="dashDot">
          <color rgb="FFC00000"/>
        </bottom>
        <vertical/>
        <horizontal/>
      </border>
    </dxf>
    <dxf>
      <font>
        <b/>
        <i val="0"/>
        <color theme="1"/>
      </font>
      <border>
        <top style="dashDot">
          <color rgb="FFC00000"/>
        </top>
        <bottom style="dashDot">
          <color rgb="FFC00000"/>
        </bottom>
        <vertical/>
        <horizontal/>
      </border>
    </dxf>
    <dxf>
      <font>
        <b/>
        <i val="0"/>
      </font>
      <border>
        <top style="dashDotDot">
          <color rgb="FFC00000"/>
        </top>
        <bottom style="dashDotDot">
          <color rgb="FFC00000"/>
        </bottom>
        <vertical/>
        <horizontal/>
      </border>
    </dxf>
    <dxf>
      <font>
        <b/>
        <i val="0"/>
      </font>
      <border>
        <top style="dashDotDot">
          <color rgb="FFC00000"/>
        </top>
        <bottom style="dashDotDot">
          <color rgb="FFC00000"/>
        </bottom>
        <vertical/>
        <horizontal/>
      </border>
    </dxf>
    <dxf>
      <font>
        <b/>
        <i val="0"/>
      </font>
      <border>
        <top style="dashDotDot">
          <color rgb="FFC00000"/>
        </top>
        <bottom style="dashDotDot">
          <color rgb="FFC00000"/>
        </bottom>
        <vertical/>
        <horizontal/>
      </border>
    </dxf>
    <dxf>
      <fill>
        <patternFill>
          <bgColor theme="9" tint="0.39994506668294322"/>
        </patternFill>
      </fill>
    </dxf>
    <dxf>
      <font>
        <b/>
        <i val="0"/>
      </font>
      <border>
        <top style="dashDotDot">
          <color rgb="FFC00000"/>
        </top>
        <bottom style="dashDotDot">
          <color rgb="FFC00000"/>
        </bottom>
        <vertical/>
        <horizontal/>
      </border>
    </dxf>
    <dxf>
      <font>
        <b/>
        <i val="0"/>
      </font>
      <border>
        <top style="dashDotDot">
          <color rgb="FFC00000"/>
        </top>
        <bottom style="dashDot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ill>
        <patternFill>
          <bgColor theme="5" tint="0.59996337778862885"/>
        </patternFill>
      </fill>
    </dxf>
    <dxf>
      <font>
        <color rgb="FF006100"/>
      </font>
      <fill>
        <patternFill>
          <bgColor rgb="FFC6EFCE"/>
        </patternFill>
      </fill>
    </dxf>
    <dxf>
      <font>
        <color rgb="FFC00000"/>
      </font>
      <fill>
        <patternFill>
          <bgColor rgb="FFFFC5C5"/>
        </patternFill>
      </fill>
    </dxf>
    <dxf>
      <font>
        <color auto="1"/>
      </font>
      <fill>
        <patternFill patternType="none">
          <bgColor auto="1"/>
        </patternFill>
      </fill>
    </dxf>
    <dxf>
      <font>
        <color auto="1"/>
      </font>
      <fill>
        <patternFill patternType="none">
          <bgColor auto="1"/>
        </patternFill>
      </fill>
    </dxf>
    <dxf>
      <font>
        <color rgb="FFC00000"/>
      </font>
      <fill>
        <patternFill>
          <bgColor rgb="FFFFC5C5"/>
        </patternFill>
      </fill>
    </dxf>
    <dxf>
      <font>
        <color rgb="FFC00000"/>
      </font>
      <fill>
        <patternFill>
          <bgColor rgb="FFFFC5C5"/>
        </patternFill>
      </fill>
    </dxf>
    <dxf>
      <font>
        <color rgb="FF006100"/>
      </font>
      <fill>
        <patternFill>
          <bgColor rgb="FFC6EFCE"/>
        </patternFill>
      </fill>
    </dxf>
    <dxf>
      <font>
        <b/>
        <i val="0"/>
      </font>
      <border>
        <top style="dashDotDot">
          <color rgb="FFC00000"/>
        </top>
        <bottom style="dashDotDot">
          <color rgb="FFC00000"/>
        </bottom>
        <vertical/>
        <horizontal/>
      </border>
    </dxf>
    <dxf>
      <font>
        <b/>
        <i val="0"/>
      </font>
      <border>
        <top style="dashDotDot">
          <color rgb="FFC00000"/>
        </top>
        <bottom style="dashDot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border>
        <top style="dashDotDot">
          <color rgb="FFC00000"/>
        </top>
        <bottom style="dashDot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ill>
        <patternFill>
          <bgColor theme="5" tint="0.39994506668294322"/>
        </patternFill>
      </fill>
    </dxf>
    <dxf>
      <fill>
        <patternFill>
          <bgColor theme="5" tint="0.39994506668294322"/>
        </patternFill>
      </fill>
    </dxf>
    <dxf>
      <fill>
        <patternFill>
          <bgColor theme="5" tint="0.39994506668294322"/>
        </patternFill>
      </fill>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border>
        <top style="dashDotDot">
          <color rgb="FFC00000"/>
        </top>
        <bottom style="dashDot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numFmt numFmtId="0" formatCode="General"/>
      <border>
        <top style="dashDot">
          <color rgb="FFC00000"/>
        </top>
        <bottom style="dashDot">
          <color rgb="FFC00000"/>
        </bottom>
        <vertical/>
        <horizontal/>
      </border>
    </dxf>
    <dxf>
      <font>
        <b/>
        <i val="0"/>
      </font>
      <border>
        <top style="dashDotDot">
          <color rgb="FFC00000"/>
        </top>
        <bottom style="dashDotDot">
          <color rgb="FFC00000"/>
        </bottom>
        <vertical/>
        <horizontal/>
      </border>
    </dxf>
    <dxf>
      <font>
        <b/>
        <i val="0"/>
      </font>
      <border>
        <top style="dashDotDot">
          <color rgb="FFC00000"/>
        </top>
        <bottom style="dashDotDot">
          <color rgb="FFC00000"/>
        </bottom>
        <vertical/>
        <horizontal/>
      </border>
    </dxf>
    <dxf>
      <font>
        <b/>
        <i val="0"/>
      </font>
      <border>
        <top style="dashDotDot">
          <color rgb="FFC00000"/>
        </top>
        <bottom style="dashDotDot">
          <color rgb="FFC00000"/>
        </bottom>
        <vertical/>
        <horizontal/>
      </border>
    </dxf>
    <dxf>
      <fill>
        <patternFill>
          <bgColor theme="9" tint="0.39994506668294322"/>
        </patternFill>
      </fill>
    </dxf>
    <dxf>
      <fill>
        <patternFill>
          <bgColor theme="5" tint="0.39994506668294322"/>
        </patternFill>
      </fill>
    </dxf>
    <dxf>
      <fill>
        <patternFill>
          <bgColor theme="5" tint="0.39994506668294322"/>
        </patternFill>
      </fill>
    </dxf>
    <dxf>
      <font>
        <color rgb="FF006100"/>
      </font>
      <fill>
        <patternFill>
          <bgColor rgb="FFC6EFCE"/>
        </patternFill>
      </fill>
    </dxf>
    <dxf>
      <font>
        <color rgb="FFC00000"/>
      </font>
      <fill>
        <patternFill>
          <bgColor rgb="FFFFC5C5"/>
        </patternFill>
      </fill>
    </dxf>
    <dxf>
      <font>
        <color auto="1"/>
      </font>
      <fill>
        <patternFill patternType="none">
          <bgColor auto="1"/>
        </patternFill>
      </fill>
    </dxf>
    <dxf>
      <font>
        <b/>
        <i val="0"/>
      </font>
      <border>
        <top style="dashDotDot">
          <color rgb="FFC00000"/>
        </top>
        <bottom style="dashDotDot">
          <color rgb="FFC00000"/>
        </bottom>
        <vertical/>
        <horizontal/>
      </border>
    </dxf>
    <dxf>
      <font>
        <b/>
        <i val="0"/>
      </font>
      <border>
        <top style="dashDotDot">
          <color rgb="FFC00000"/>
        </top>
        <bottom style="dashDotDot">
          <color rgb="FFC00000"/>
        </bottom>
        <vertical/>
        <horizontal/>
      </border>
    </dxf>
    <dxf>
      <font>
        <b/>
        <i val="0"/>
      </font>
      <numFmt numFmtId="0" formatCode="General"/>
      <border>
        <top style="dashDot">
          <color rgb="FFC00000"/>
        </top>
        <bottom style="dashDot">
          <color rgb="FFC00000"/>
        </bottom>
        <vertical/>
        <horizontal/>
      </border>
    </dxf>
    <dxf>
      <fill>
        <patternFill>
          <bgColor theme="5" tint="0.39994506668294322"/>
        </patternFill>
      </fill>
    </dxf>
    <dxf>
      <font>
        <color rgb="FF006100"/>
      </font>
      <fill>
        <patternFill>
          <bgColor rgb="FFC6EFCE"/>
        </patternFill>
      </fill>
    </dxf>
    <dxf>
      <font>
        <color rgb="FFC00000"/>
      </font>
      <fill>
        <patternFill>
          <bgColor rgb="FFFFC5C5"/>
        </patternFill>
      </fill>
    </dxf>
    <dxf>
      <font>
        <color auto="1"/>
      </font>
      <fill>
        <patternFill patternType="none">
          <bgColor auto="1"/>
        </patternFill>
      </fill>
    </dxf>
    <dxf>
      <font>
        <b/>
        <i val="0"/>
      </font>
      <border>
        <top style="dashDotDot">
          <color rgb="FFC00000"/>
        </top>
        <bottom style="dashDotDot">
          <color rgb="FFC00000"/>
        </bottom>
        <vertical/>
        <horizontal/>
      </border>
    </dxf>
    <dxf>
      <font>
        <b/>
        <i val="0"/>
      </font>
      <border>
        <top style="dashDotDot">
          <color rgb="FFC00000"/>
        </top>
        <bottom style="dashDotDot">
          <color rgb="FFC00000"/>
        </bottom>
        <vertical/>
        <horizontal/>
      </border>
    </dxf>
    <dxf>
      <font>
        <b/>
        <i val="0"/>
      </font>
      <border>
        <top style="dashDotDot">
          <color rgb="FFC00000"/>
        </top>
        <bottom style="dashDotDot">
          <color rgb="FFC00000"/>
        </bottom>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font>
        <color rgb="FF9C0006"/>
      </font>
      <fill>
        <patternFill>
          <bgColor rgb="FFFFC7CE"/>
        </patternFill>
      </fill>
    </dxf>
    <dxf>
      <font>
        <color rgb="FF006100"/>
      </font>
      <fill>
        <patternFill>
          <bgColor rgb="FFC6EFCE"/>
        </patternFill>
      </fill>
    </dxf>
    <dxf>
      <border>
        <left style="dashDot">
          <color rgb="FFC00000"/>
        </left>
        <right style="dashDot">
          <color rgb="FFC00000"/>
        </right>
        <vertical/>
        <horizontal/>
      </border>
    </dxf>
    <dxf>
      <font>
        <color rgb="FF006100"/>
      </font>
      <fill>
        <patternFill>
          <bgColor rgb="FFC6EFCE"/>
        </patternFill>
      </fill>
    </dxf>
    <dxf>
      <font>
        <color rgb="FF9C0006"/>
      </font>
      <fill>
        <patternFill>
          <bgColor rgb="FFFFC7CE"/>
        </patternFill>
      </fill>
    </dxf>
    <dxf>
      <border>
        <left style="dashDot">
          <color rgb="FFC00000"/>
        </left>
        <right style="dashDot">
          <color rgb="FFC00000"/>
        </right>
        <vertical/>
        <horizontal/>
      </border>
    </dxf>
    <dxf>
      <border>
        <left style="dashDot">
          <color rgb="FFC00000"/>
        </left>
        <right style="dashDot">
          <color rgb="FFC00000"/>
        </right>
        <vertical/>
        <horizontal/>
      </border>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dashDot">
          <color rgb="FFC00000"/>
        </left>
        <right style="dashDot">
          <color rgb="FFC00000"/>
        </right>
        <vertical/>
        <horizontal/>
      </border>
    </dxf>
    <dxf>
      <font>
        <color rgb="FF006100"/>
      </font>
      <fill>
        <patternFill>
          <bgColor rgb="FFC6EFCE"/>
        </patternFill>
      </fill>
    </dxf>
    <dxf>
      <border>
        <left style="dashDot">
          <color rgb="FFC00000"/>
        </left>
        <right style="dashDot">
          <color rgb="FFC00000"/>
        </right>
        <vertical/>
        <horizontal/>
      </border>
    </dxf>
    <dxf>
      <font>
        <color rgb="FF006100"/>
      </font>
      <fill>
        <patternFill>
          <bgColor rgb="FFC6EFCE"/>
        </patternFill>
      </fill>
    </dxf>
    <dxf>
      <border>
        <left style="dashDot">
          <color rgb="FFC00000"/>
        </left>
        <right style="dashDot">
          <color rgb="FFC00000"/>
        </right>
        <vertical/>
        <horizontal/>
      </border>
    </dxf>
    <dxf>
      <font>
        <color rgb="FF9C0006"/>
      </font>
      <fill>
        <patternFill>
          <bgColor rgb="FFFFC7CE"/>
        </patternFill>
      </fill>
    </dxf>
    <dxf>
      <font>
        <color rgb="FF006100"/>
      </font>
      <fill>
        <patternFill>
          <bgColor rgb="FFC6EFCE"/>
        </patternFill>
      </fill>
    </dxf>
    <dxf>
      <border>
        <left style="dashDot">
          <color rgb="FFC00000"/>
        </left>
        <right style="dashDot">
          <color rgb="FFC00000"/>
        </right>
        <vertical/>
        <horizontal/>
      </border>
    </dxf>
    <dxf>
      <font>
        <color rgb="FF9C0006"/>
      </font>
      <fill>
        <patternFill>
          <bgColor rgb="FFFFC7CE"/>
        </patternFill>
      </fill>
    </dxf>
    <dxf>
      <border>
        <left style="dashDot">
          <color rgb="FFC00000"/>
        </left>
        <right style="dashDot">
          <color rgb="FFC00000"/>
        </right>
        <vertical/>
        <horizontal/>
      </border>
    </dxf>
    <dxf>
      <font>
        <color rgb="FF9C0006"/>
      </font>
      <fill>
        <patternFill>
          <bgColor rgb="FFFFC7CE"/>
        </patternFill>
      </fill>
    </dxf>
    <dxf>
      <font>
        <color rgb="FF006100"/>
      </font>
      <fill>
        <patternFill>
          <bgColor rgb="FFC6EFCE"/>
        </patternFill>
      </fill>
    </dxf>
    <dxf>
      <font>
        <b/>
        <i val="0"/>
      </font>
      <border>
        <top style="dashDotDot">
          <color rgb="FFC00000"/>
        </top>
        <bottom style="dashDotDot">
          <color rgb="FFC00000"/>
        </bottom>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border>
        <left style="dashDot">
          <color rgb="FFC00000"/>
        </left>
        <right style="dashDot">
          <color rgb="FFC00000"/>
        </right>
        <vertical/>
        <horizontal/>
      </border>
    </dxf>
    <dxf>
      <font>
        <color rgb="FF9C0006"/>
      </font>
      <fill>
        <patternFill>
          <bgColor rgb="FFFFC7CE"/>
        </patternFill>
      </fill>
    </dxf>
    <dxf>
      <font>
        <color rgb="FF006100"/>
      </font>
      <fill>
        <patternFill>
          <bgColor rgb="FFC6EFCE"/>
        </patternFill>
      </fill>
    </dxf>
    <dxf>
      <numFmt numFmtId="2" formatCode="0.00"/>
    </dxf>
    <dxf>
      <numFmt numFmtId="2" formatCode="0.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ill>
        <patternFill patternType="solid">
          <fgColor indexed="64"/>
          <bgColor theme="9" tint="0.79998168889431442"/>
        </patternFill>
      </fill>
    </dxf>
    <dxf>
      <numFmt numFmtId="165" formatCode="&quot;$&quot;#,##0.00"/>
      <alignment horizontal="center" vertical="bottom" textRotation="0" wrapText="0" indent="0" justifyLastLine="0" shrinkToFit="0" readingOrder="0"/>
    </dxf>
    <dxf>
      <numFmt numFmtId="165" formatCode="&quot;$&quot;#,##0.00"/>
      <fill>
        <patternFill patternType="solid">
          <fgColor indexed="64"/>
          <bgColor theme="0" tint="-4.9989318521683403E-2"/>
        </patternFill>
      </fill>
      <alignment horizontal="center" vertical="bottom" textRotation="0" wrapText="0" indent="0" justifyLastLine="0" shrinkToFit="0" readingOrder="0"/>
      <border outline="0">
        <left style="medium">
          <color indexed="64"/>
        </left>
      </border>
    </dxf>
    <dxf>
      <numFmt numFmtId="165" formatCode="&quot;$&quot;#,##0.00"/>
      <fill>
        <patternFill patternType="solid">
          <fgColor indexed="64"/>
          <bgColor theme="9" tint="0.79998168889431442"/>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2" tint="-0.249977111117893"/>
        </patternFill>
      </fill>
      <alignment horizontal="center" vertical="bottom" textRotation="0" wrapText="0" indent="0" justifyLastLine="0" shrinkToFit="0" readingOrder="0"/>
      <border diagonalUp="0" diagonalDown="0" outline="0">
        <left style="medium">
          <color indexed="64"/>
        </left>
        <right style="medium">
          <color indexed="64"/>
        </right>
        <top/>
        <bottom/>
      </border>
    </dxf>
    <dxf>
      <numFmt numFmtId="34" formatCode="_-&quot;$&quot;* #,##0.00_-;\-&quot;$&quot;* #,##0.00_-;_-&quot;$&quot;* &quot;-&quot;??_-;_-@_-"/>
      <fill>
        <patternFill patternType="solid">
          <fgColor indexed="64"/>
          <bgColor theme="0" tint="-4.9989318521683403E-2"/>
        </patternFill>
      </fill>
      <border diagonalUp="0" diagonalDown="0" outline="0">
        <left style="medium">
          <color indexed="64"/>
        </left>
        <right style="medium">
          <color indexed="64"/>
        </right>
        <top/>
        <bottom/>
      </border>
    </dxf>
    <dxf>
      <numFmt numFmtId="34" formatCode="_-&quot;$&quot;* #,##0.00_-;\-&quot;$&quot;* #,##0.00_-;_-&quot;$&quot;* &quot;-&quot;??_-;_-@_-"/>
      <fill>
        <patternFill patternType="solid">
          <fgColor indexed="64"/>
          <bgColor theme="2" tint="-0.249977111117893"/>
        </patternFill>
      </fill>
      <border diagonalUp="0" diagonalDown="0" outline="0">
        <left style="medium">
          <color indexed="64"/>
        </left>
        <right style="medium">
          <color indexed="64"/>
        </right>
        <top/>
        <bottom/>
      </border>
    </dxf>
    <dxf>
      <numFmt numFmtId="0" formatCode="General"/>
      <fill>
        <patternFill patternType="solid">
          <fgColor indexed="64"/>
          <bgColor rgb="FF99CCFF"/>
        </patternFill>
      </fill>
      <alignment horizontal="center" vertical="bottom" textRotation="0" wrapText="0" indent="0" justifyLastLine="0" shrinkToFit="0" readingOrder="0"/>
      <border>
        <right style="medium">
          <color indexed="64"/>
        </right>
      </border>
    </dxf>
    <dxf>
      <fill>
        <patternFill patternType="solid">
          <fgColor indexed="64"/>
          <bgColor rgb="FFFFC5C5"/>
        </patternFill>
      </fill>
      <border diagonalUp="0" diagonalDown="0">
        <left/>
        <right style="medium">
          <color indexed="64"/>
        </right>
        <top/>
        <bottom/>
        <vertical/>
        <horizontal/>
      </border>
    </dxf>
    <dxf>
      <fill>
        <patternFill patternType="solid">
          <fgColor indexed="64"/>
          <bgColor rgb="FFFFC5C5"/>
        </patternFill>
      </fill>
    </dxf>
    <dxf>
      <numFmt numFmtId="34" formatCode="_-&quot;$&quot;* #,##0.00_-;\-&quot;$&quot;* #,##0.00_-;_-&quot;$&quot;* &quot;-&quot;??_-;_-@_-"/>
      <fill>
        <patternFill patternType="solid">
          <fgColor indexed="64"/>
          <bgColor theme="2" tint="-0.249977111117893"/>
        </patternFill>
      </fill>
      <alignment horizontal="center" vertical="bottom" textRotation="0" wrapText="0" indent="0" justifyLastLine="0" shrinkToFit="0" readingOrder="0"/>
    </dxf>
    <dxf>
      <fill>
        <patternFill patternType="solid">
          <fgColor indexed="64"/>
          <bgColor theme="5" tint="0.79998168889431442"/>
        </patternFill>
      </fill>
      <alignment horizontal="center" vertical="bottom" textRotation="0" wrapText="0" indent="0" justifyLastLine="0" shrinkToFit="0" readingOrder="0"/>
    </dxf>
    <dxf>
      <fill>
        <patternFill patternType="solid">
          <fgColor indexed="64"/>
          <bgColor theme="5" tint="0.79998168889431442"/>
        </patternFill>
      </fill>
      <alignment horizontal="center" vertical="bottom" textRotation="0" wrapText="0" indent="0" justifyLastLine="0" shrinkToFit="0" readingOrder="0"/>
    </dxf>
    <dxf>
      <numFmt numFmtId="34" formatCode="_-&quot;$&quot;* #,##0.00_-;\-&quot;$&quot;* #,##0.00_-;_-&quot;$&quot;* &quot;-&quot;??_-;_-@_-"/>
      <fill>
        <patternFill patternType="solid">
          <fgColor indexed="64"/>
          <bgColor theme="2" tint="-0.249977111117893"/>
        </patternFill>
      </fill>
      <alignment horizontal="center" vertical="bottom" textRotation="0" wrapText="0" indent="0" justifyLastLine="0" shrinkToFit="0" readingOrder="0"/>
    </dxf>
    <dxf>
      <fill>
        <patternFill patternType="solid">
          <fgColor indexed="64"/>
          <bgColor theme="6" tint="0.79998168889431442"/>
        </patternFill>
      </fill>
      <alignment horizontal="center" vertical="bottom" textRotation="0" wrapText="0" indent="0" justifyLastLine="0" shrinkToFit="0" readingOrder="0"/>
    </dxf>
    <dxf>
      <fill>
        <patternFill patternType="solid">
          <fgColor indexed="64"/>
          <bgColor theme="6" tint="0.79998168889431442"/>
        </patternFill>
      </fill>
      <alignment horizontal="center" vertical="bottom" textRotation="0" wrapText="0" indent="0" justifyLastLine="0" shrinkToFit="0" readingOrder="0"/>
      <border diagonalUp="0" diagonalDown="0">
        <left style="medium">
          <color indexed="64"/>
        </left>
        <right/>
        <top/>
        <bottom/>
        <vertical/>
        <horizontal/>
      </border>
    </dxf>
    <dxf>
      <numFmt numFmtId="34" formatCode="_-&quot;$&quot;* #,##0.00_-;\-&quot;$&quot;* #,##0.00_-;_-&quot;$&quot;* &quot;-&quot;??_-;_-@_-"/>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fill>
        <patternFill patternType="solid">
          <fgColor indexed="64"/>
          <bgColor theme="2" tint="-0.249977111117893"/>
        </patternFill>
      </fill>
    </dxf>
    <dxf>
      <numFmt numFmtId="4" formatCode="#,##0.00"/>
      <fill>
        <patternFill patternType="solid">
          <fgColor indexed="64"/>
          <bgColor theme="7" tint="0.39997558519241921"/>
        </patternFill>
      </fill>
    </dxf>
    <dxf>
      <numFmt numFmtId="34" formatCode="_-&quot;$&quot;* #,##0.00_-;\-&quot;$&quot;* #,##0.00_-;_-&quot;$&quot;* &quot;-&quot;??_-;_-@_-"/>
      <fill>
        <patternFill patternType="solid">
          <fgColor indexed="64"/>
          <bgColor theme="7"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border diagonalUp="0" diagonalDown="0">
        <left/>
        <right style="medium">
          <color indexed="64"/>
        </right>
        <top/>
        <bottom/>
        <vertical/>
        <horizontal/>
      </border>
    </dxf>
    <dxf>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6" tint="0.79998168889431442"/>
        </patternFill>
      </fill>
      <border diagonalUp="0" diagonalDown="0">
        <left/>
        <right style="medium">
          <color indexed="64"/>
        </right>
        <top/>
        <bottom/>
        <vertical/>
        <horizontal/>
      </border>
    </dxf>
    <dxf>
      <fill>
        <patternFill patternType="solid">
          <fgColor indexed="64"/>
          <bgColor theme="6" tint="0.79998168889431442"/>
        </patternFill>
      </fill>
    </dxf>
    <dxf>
      <fill>
        <patternFill patternType="solid">
          <fgColor indexed="64"/>
          <bgColor theme="6" tint="0.79998168889431442"/>
        </patternFill>
      </fill>
      <border diagonalUp="0" diagonalDown="0">
        <left style="medium">
          <color indexed="64"/>
        </left>
        <right/>
        <top/>
        <bottom/>
        <vertical/>
        <horizontal/>
      </border>
    </dxf>
    <dxf>
      <fill>
        <patternFill patternType="solid">
          <fgColor indexed="64"/>
          <bgColor theme="8" tint="0.79998168889431442"/>
        </patternFill>
      </fill>
      <border diagonalUp="0" diagonalDown="0">
        <left/>
        <right style="medium">
          <color indexed="64"/>
        </right>
        <top/>
        <bottom/>
        <vertical/>
        <horizontal/>
      </border>
    </dxf>
    <dxf>
      <fill>
        <patternFill patternType="solid">
          <fgColor indexed="64"/>
          <bgColor theme="8" tint="0.79998168889431442"/>
        </patternFill>
      </fill>
    </dxf>
    <dxf>
      <fill>
        <patternFill patternType="solid">
          <fgColor indexed="64"/>
          <bgColor theme="8" tint="0.79998168889431442"/>
        </patternFill>
      </fill>
      <border diagonalUp="0" diagonalDown="0">
        <left style="medium">
          <color indexed="64"/>
        </left>
        <right/>
        <top/>
        <bottom/>
        <vertical/>
        <horizontal/>
      </border>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border diagonalUp="0" diagonalDown="0">
        <left style="medium">
          <color indexed="64"/>
        </left>
        <right/>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5" tint="0.79998168889431442"/>
        </patternFill>
      </fill>
    </dxf>
    <dxf>
      <fill>
        <patternFill patternType="solid">
          <fgColor indexed="64"/>
          <bgColor theme="5" tint="0.79998168889431442"/>
        </patternFill>
      </fill>
    </dxf>
    <dxf>
      <border diagonalUp="0" diagonalDown="0">
        <left style="medium">
          <color indexed="64"/>
        </left>
        <right/>
        <top/>
        <bottom/>
        <vertical/>
        <horizontal/>
      </border>
    </dxf>
    <dxf>
      <numFmt numFmtId="19" formatCode="d/mm/yyyy"/>
    </dxf>
    <dxf>
      <font>
        <b val="0"/>
        <i val="0"/>
        <strike val="0"/>
        <condense val="0"/>
        <extend val="0"/>
        <outline val="0"/>
        <shadow val="0"/>
        <u val="none"/>
        <vertAlign val="baseline"/>
        <sz val="11"/>
        <color auto="1"/>
        <name val="Aptos Narrow"/>
        <family val="2"/>
        <scheme val="minor"/>
      </font>
      <numFmt numFmtId="2" formatCode="0.00"/>
    </dxf>
    <dxf>
      <font>
        <b val="0"/>
        <i val="0"/>
        <strike val="0"/>
        <condense val="0"/>
        <extend val="0"/>
        <outline val="0"/>
        <shadow val="0"/>
        <u val="none"/>
        <vertAlign val="baseline"/>
        <sz val="11"/>
        <color auto="1"/>
        <name val="Aptos Narrow"/>
        <family val="2"/>
        <scheme val="minor"/>
      </font>
      <numFmt numFmtId="2" formatCode="0.00"/>
    </dxf>
    <dxf>
      <border outline="0">
        <bottom style="medium">
          <color indexed="64"/>
        </bottom>
      </border>
    </dxf>
    <dxf>
      <font>
        <strike val="0"/>
        <outline val="0"/>
        <shadow val="0"/>
        <u val="none"/>
        <vertAlign val="baseline"/>
        <sz val="11"/>
        <color auto="1"/>
        <name val="Aptos Narrow"/>
        <family val="2"/>
        <scheme val="minor"/>
      </font>
      <fill>
        <patternFill patternType="solid">
          <fgColor indexed="64"/>
          <bgColor theme="5" tint="0.79998168889431442"/>
        </patternFill>
      </fill>
    </dxf>
    <dxf>
      <numFmt numFmtId="34" formatCode="_-&quot;$&quot;* #,##0.00_-;\-&quot;$&quot;* #,##0.00_-;_-&quot;$&quot;* &quot;-&quot;??_-;_-@_-"/>
    </dxf>
    <dxf>
      <numFmt numFmtId="34" formatCode="_-&quot;$&quot;* #,##0.00_-;\-&quot;$&quot;* #,##0.00_-;_-&quot;$&quot;* &quot;-&quot;??_-;_-@_-"/>
    </dxf>
    <dxf>
      <numFmt numFmtId="34" formatCode="_-&quot;$&quot;* #,##0.00_-;\-&quot;$&quot;* #,##0.00_-;_-&quot;$&quot;* &quot;-&quot;??_-;_-@_-"/>
    </dxf>
  </dxfs>
  <tableStyles count="0" defaultTableStyle="TableStyleMedium2" defaultPivotStyle="PivotStyleLight16"/>
  <colors>
    <mruColors>
      <color rgb="FFC89800"/>
      <color rgb="FFFCD0D0"/>
      <color rgb="FFFFB7B7"/>
      <color rgb="FFFFA3A3"/>
      <color rgb="FFFFC5C5"/>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microsoft.com/office/2017/06/relationships/rdRichValueTypes" Target="richData/rdRichValueTypes.xml"/><Relationship Id="rId21" Type="http://schemas.openxmlformats.org/officeDocument/2006/relationships/pivotCacheDefinition" Target="pivotCache/pivotCacheDefinition3.xml"/><Relationship Id="rId34" Type="http://schemas.openxmlformats.org/officeDocument/2006/relationships/styles" Target="styles.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theme" Target="theme/theme1.xml"/><Relationship Id="rId37" Type="http://schemas.microsoft.com/office/2017/06/relationships/rdRichValue" Target="richData/rdrichvalue.xml"/><Relationship Id="rId40" Type="http://schemas.openxmlformats.org/officeDocument/2006/relationships/powerPivotData" Target="model/item.data"/><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microsoft.com/office/2007/relationships/slicerCache" Target="slicerCaches/slicerCache1.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11/relationships/timelineCache" Target="timelineCaches/timelineCache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microsoft.com/office/2007/relationships/slicerCache" Target="slicerCaches/slicerCache3.xml"/><Relationship Id="rId35" Type="http://schemas.openxmlformats.org/officeDocument/2006/relationships/sharedStrings" Target="sharedStrings.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connections" Target="connections.xml"/><Relationship Id="rId38" Type="http://schemas.microsoft.com/office/2017/06/relationships/rdRichValueStructure" Target="richData/rdrichvaluestructure.xml"/><Relationship Id="rId46" Type="http://schemas.openxmlformats.org/officeDocument/2006/relationships/customXml" Target="../customXml/item4.xml"/><Relationship Id="rId20" Type="http://schemas.openxmlformats.org/officeDocument/2006/relationships/pivotCacheDefinition" Target="pivotCache/pivotCacheDefinition2.xml"/><Relationship Id="rId41" Type="http://schemas.microsoft.com/office/2017/10/relationships/person" Target="persons/person.xml"/></Relationships>
</file>

<file path=xl/documenttasks/documenttask1.xml><?xml version="1.0" encoding="utf-8"?>
<Tasks xmlns="http://schemas.microsoft.com/office/tasks/2019/documenttasks">
  <Task id="{314EB018-5D97-4371-AA3C-45837C763950}">
    <Anchor>
      <Comment id="{BDE79B22-D3D7-4C77-8FB3-BEC7F4DA70D5}"/>
    </Anchor>
    <History>
      <Event time="2025-06-29T23:27:19.04" id="{FD89F64B-F148-4F56-8C3F-6153B264FADB}">
        <Attribution userId="S::Thomas.Pilote@tivan.com.au::37932978-f31f-43de-9358-d7416f2da3aa" userName="Thomas Pilote" userProvider="AD"/>
        <Anchor>
          <Comment id="{BDE79B22-D3D7-4C77-8FB3-BEC7F4DA70D5}"/>
        </Anchor>
        <Create/>
      </Event>
      <Event time="2025-06-29T23:27:19.04" id="{A831D256-5A3B-43FB-A87E-45E9ED64AE2F}">
        <Attribution userId="S::Thomas.Pilote@tivan.com.au::37932978-f31f-43de-9358-d7416f2da3aa" userName="Thomas Pilote" userProvider="AD"/>
        <Anchor>
          <Comment id="{BDE79B22-D3D7-4C77-8FB3-BEC7F4DA70D5}"/>
        </Anchor>
        <Assign userId="S::Stephen.Walsh@tivan.com.au::77cdd9e6-5c0a-4863-baff-af6ed2699aa3" userName="Stephen Walsh" userProvider="AD"/>
      </Event>
      <Event time="2025-06-29T23:27:19.04" id="{A51C073F-B3B0-4E8A-86EA-3D15EA50541F}">
        <Attribution userId="S::Thomas.Pilote@tivan.com.au::37932978-f31f-43de-9358-d7416f2da3aa" userName="Thomas Pilote" userProvider="AD"/>
        <Anchor>
          <Comment id="{BDE79B22-D3D7-4C77-8FB3-BEC7F4DA70D5}"/>
        </Anchor>
        <SetTitle title="@Stephen Walsh The cut sheet says there should be 6 people under accom we are getting charged 7. Please advise."/>
      </Event>
    </History>
  </Task>
  <Task id="{7473E774-D6E1-435D-8EB8-EF4D3F8719E6}">
    <Anchor>
      <Comment id="{BE31F2AF-0A40-4F2B-B8FC-DA845DAB099B}"/>
    </Anchor>
    <History>
      <Event time="2025-06-30T01:10:35.70" id="{FDCCEA4F-05D4-47A4-A8A7-20CDD90613C3}">
        <Attribution userId="S::Thomas.Pilote@tivan.com.au::37932978-f31f-43de-9358-d7416f2da3aa" userName="Thomas Pilote" userProvider="AD"/>
        <Anchor>
          <Comment id="{56C43AB9-FDD4-4726-9E68-E0E7BBEF3176}"/>
        </Anchor>
        <Create/>
      </Event>
      <Event time="2025-06-30T01:10:35.70" id="{BC368350-AD7C-4EE1-9CCA-5BCF56052BF4}">
        <Attribution userId="S::Thomas.Pilote@tivan.com.au::37932978-f31f-43de-9358-d7416f2da3aa" userName="Thomas Pilote" userProvider="AD"/>
        <Anchor>
          <Comment id="{56C43AB9-FDD4-4726-9E68-E0E7BBEF3176}"/>
        </Anchor>
        <Assign userId="S::Matthew.Draddy@tivan.com.au::d1f7d310-8b52-4ac3-823a-4162c6d88c8f" userName="Matthew Draddy" userProvider="AD"/>
      </Event>
      <Event time="2025-06-30T01:10:35.70" id="{CB57BD8E-2B4E-4EDC-B6ED-C979DF432552}">
        <Attribution userId="S::Thomas.Pilote@tivan.com.au::37932978-f31f-43de-9358-d7416f2da3aa" userName="Thomas Pilote" userProvider="AD"/>
        <Anchor>
          <Comment id="{56C43AB9-FDD4-4726-9E68-E0E7BBEF3176}"/>
        </Anchor>
        <SetTitle title="@Matthew Draddy can you provide clarity on this?"/>
      </Event>
    </History>
  </Task>
</Task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114300</xdr:colOff>
      <xdr:row>7</xdr:row>
      <xdr:rowOff>38100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A224BF7D-F9BE-782D-9994-7C6DE37B5FA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0"/>
              <a:ext cx="3333750" cy="1371600"/>
            </a:xfrm>
            <a:prstGeom prst="rect">
              <a:avLst/>
            </a:prstGeom>
            <a:solidFill>
              <a:prstClr val="white"/>
            </a:solidFill>
            <a:ln w="1">
              <a:solidFill>
                <a:prstClr val="green"/>
              </a:solidFill>
            </a:ln>
          </xdr:spPr>
          <xdr:txBody>
            <a:bodyPr vertOverflow="clip" horzOverflow="clip"/>
            <a:lstStyle/>
            <a:p>
              <a:r>
                <a:rPr lang="en-NZ" sz="1100"/>
                <a:t>Timeline: Works in Excel 2013 or higher. Do not move or resize.</a:t>
              </a:r>
            </a:p>
          </xdr:txBody>
        </xdr:sp>
      </mc:Fallback>
    </mc:AlternateContent>
    <xdr:clientData/>
  </xdr:twoCellAnchor>
  <xdr:twoCellAnchor editAs="oneCell">
    <xdr:from>
      <xdr:col>3</xdr:col>
      <xdr:colOff>0</xdr:colOff>
      <xdr:row>18</xdr:row>
      <xdr:rowOff>76200</xdr:rowOff>
    </xdr:from>
    <xdr:to>
      <xdr:col>4</xdr:col>
      <xdr:colOff>352425</xdr:colOff>
      <xdr:row>32</xdr:row>
      <xdr:rowOff>76200</xdr:rowOff>
    </xdr:to>
    <mc:AlternateContent xmlns:mc="http://schemas.openxmlformats.org/markup-compatibility/2006" xmlns:a14="http://schemas.microsoft.com/office/drawing/2010/main">
      <mc:Choice Requires="a14">
        <xdr:graphicFrame macro="">
          <xdr:nvGraphicFramePr>
            <xdr:cNvPr id="4" name="Budget">
              <a:extLst>
                <a:ext uri="{FF2B5EF4-FFF2-40B4-BE49-F238E27FC236}">
                  <a16:creationId xmlns:a16="http://schemas.microsoft.com/office/drawing/2014/main" id="{B0EB3D3D-19CA-7AA1-E8E0-BBE32218D834}"/>
                </a:ext>
              </a:extLst>
            </xdr:cNvPr>
            <xdr:cNvGraphicFramePr/>
          </xdr:nvGraphicFramePr>
          <xdr:xfrm>
            <a:off x="0" y="0"/>
            <a:ext cx="0" cy="0"/>
          </xdr:xfrm>
          <a:graphic>
            <a:graphicData uri="http://schemas.microsoft.com/office/drawing/2010/slicer">
              <sle:slicer xmlns:sle="http://schemas.microsoft.com/office/drawing/2010/slicer" name="Budget"/>
            </a:graphicData>
          </a:graphic>
        </xdr:graphicFrame>
      </mc:Choice>
      <mc:Fallback xmlns="">
        <xdr:sp macro="" textlink="">
          <xdr:nvSpPr>
            <xdr:cNvPr id="0" name=""/>
            <xdr:cNvSpPr>
              <a:spLocks noTextEdit="1"/>
            </xdr:cNvSpPr>
          </xdr:nvSpPr>
          <xdr:spPr>
            <a:xfrm>
              <a:off x="3971925" y="3505200"/>
              <a:ext cx="1828800" cy="2667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323850</xdr:colOff>
      <xdr:row>18</xdr:row>
      <xdr:rowOff>76200</xdr:rowOff>
    </xdr:from>
    <xdr:to>
      <xdr:col>5</xdr:col>
      <xdr:colOff>342900</xdr:colOff>
      <xdr:row>32</xdr:row>
      <xdr:rowOff>76200</xdr:rowOff>
    </xdr:to>
    <mc:AlternateContent xmlns:mc="http://schemas.openxmlformats.org/markup-compatibility/2006" xmlns:a14="http://schemas.microsoft.com/office/drawing/2010/main">
      <mc:Choice Requires="a14">
        <xdr:graphicFrame macro="">
          <xdr:nvGraphicFramePr>
            <xdr:cNvPr id="5" name="Hole Type">
              <a:extLst>
                <a:ext uri="{FF2B5EF4-FFF2-40B4-BE49-F238E27FC236}">
                  <a16:creationId xmlns:a16="http://schemas.microsoft.com/office/drawing/2014/main" id="{3024DF6B-2231-E63F-1720-280A2A2D0282}"/>
                </a:ext>
              </a:extLst>
            </xdr:cNvPr>
            <xdr:cNvGraphicFramePr/>
          </xdr:nvGraphicFramePr>
          <xdr:xfrm>
            <a:off x="0" y="0"/>
            <a:ext cx="0" cy="0"/>
          </xdr:xfrm>
          <a:graphic>
            <a:graphicData uri="http://schemas.microsoft.com/office/drawing/2010/slicer">
              <sle:slicer xmlns:sle="http://schemas.microsoft.com/office/drawing/2010/slicer" name="Hole Type"/>
            </a:graphicData>
          </a:graphic>
        </xdr:graphicFrame>
      </mc:Choice>
      <mc:Fallback xmlns="">
        <xdr:sp macro="" textlink="">
          <xdr:nvSpPr>
            <xdr:cNvPr id="0" name=""/>
            <xdr:cNvSpPr>
              <a:spLocks noTextEdit="1"/>
            </xdr:cNvSpPr>
          </xdr:nvSpPr>
          <xdr:spPr>
            <a:xfrm>
              <a:off x="5791200" y="3505200"/>
              <a:ext cx="1828800" cy="2667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323850</xdr:colOff>
      <xdr:row>18</xdr:row>
      <xdr:rowOff>85725</xdr:rowOff>
    </xdr:from>
    <xdr:to>
      <xdr:col>6</xdr:col>
      <xdr:colOff>247650</xdr:colOff>
      <xdr:row>32</xdr:row>
      <xdr:rowOff>85725</xdr:rowOff>
    </xdr:to>
    <mc:AlternateContent xmlns:mc="http://schemas.openxmlformats.org/markup-compatibility/2006" xmlns:a14="http://schemas.microsoft.com/office/drawing/2010/main">
      <mc:Choice Requires="a14">
        <xdr:graphicFrame macro="">
          <xdr:nvGraphicFramePr>
            <xdr:cNvPr id="6" name="Campaign">
              <a:extLst>
                <a:ext uri="{FF2B5EF4-FFF2-40B4-BE49-F238E27FC236}">
                  <a16:creationId xmlns:a16="http://schemas.microsoft.com/office/drawing/2014/main" id="{EDCE342D-A7D5-0D21-8A8E-011FDE5B1FAB}"/>
                </a:ext>
              </a:extLst>
            </xdr:cNvPr>
            <xdr:cNvGraphicFramePr/>
          </xdr:nvGraphicFramePr>
          <xdr:xfrm>
            <a:off x="0" y="0"/>
            <a:ext cx="0" cy="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7629525" y="3514725"/>
              <a:ext cx="1828800" cy="2667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Tom" id="{CCBF9F0B-DA2A-457E-9B11-FD3C009B9AB0}" userId="Tom" providerId="None"/>
  <person displayName="Felix Moore" id="{BDE7D679-A885-455D-ADB6-1A37CE00BCBA}" userId="Felix.Moore@tivan.com.au" providerId="PeoplePicker"/>
  <person displayName="George Manton" id="{736DCCAB-2EEC-4656-97F9-736402A43402}" userId="George.Manton@tivan.com.au" providerId="PeoplePicker"/>
  <person displayName="Stephen Walsh" id="{013FCEE4-2132-4F40-8D55-CE50D037DE9B}" userId="Stephen.Walsh@tivan.com.au" providerId="PeoplePicker"/>
  <person displayName="Jeremy Simpson" id="{46F415EC-C045-4E2C-9103-BC1BAE0631FE}" userId="Jeremy.Simpson@tivan.com.au" providerId="PeoplePicker"/>
  <person displayName="Matthew Draddy" id="{32D3151A-888B-4223-9ABF-520AE912D8A8}" userId="Matthew.Draddy@tivan.com.au" providerId="PeoplePicker"/>
  <person displayName="rcheal@srk.com.au" id="{796A0CF3-FFCD-4C13-B618-231E36A91306}" userId="S::urn:spo:guest#rcheal@srk.com.au::" providerId="AD"/>
  <person displayName="pdiliscia@srk.com.au" id="{2E3E24E6-B45C-41CD-BDDA-3621FBE8F143}" userId="S::urn:spo:guest#pdiliscia@srk.com.au::" providerId="AD"/>
  <person displayName="Aaron Stowe" id="{2507058F-7914-4C7B-8A23-E3CCDC20DCDD}" userId="S::Aaron.Stowe@tivan.com.au::3aa6158f-a81a-4785-ab41-2e57e33e2397" providerId="AD"/>
  <person displayName="Thomas Pilote" id="{5CCEC2CC-05D7-B84D-96F4-85A277DB46D0}" userId="S::Thomas.Pilote@tivan.com.au::37932978-f31f-43de-9358-d7416f2da3aa" providerId="AD"/>
  <person displayName="Matthew Draddy" id="{F589E374-C04F-4483-9E2D-CEE3DDDB92CB}" userId="S::Matthew.Draddy@tivan.com.au::d1f7d310-8b52-4ac3-823a-4162c6d88c8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as Pilote" refreshedDate="45869.648322685185" createdVersion="8" refreshedVersion="8" minRefreshableVersion="3" recordCount="40" xr:uid="{421BE47E-41F5-467F-94FE-A4B1C6DA90FB}">
  <cacheSource type="worksheet">
    <worksheetSource ref="C4:AT44" sheet="STR RIG 18"/>
  </cacheSource>
  <cacheFields count="37">
    <cacheField name="Hole Purpose" numFmtId="0">
      <sharedItems containsBlank="1" count="3">
        <s v="Index"/>
        <m/>
        <s v="INF"/>
      </sharedItems>
    </cacheField>
    <cacheField name="Date" numFmtId="0">
      <sharedItems containsSemiMixedTypes="0" containsDate="1" containsString="0" containsMixedTypes="1" minDate="1899-12-31T04:01:03" maxDate="2025-07-31T00:00:00"/>
    </cacheField>
    <cacheField name="Hole ID" numFmtId="0">
      <sharedItems containsBlank="1" containsMixedTypes="1" containsNumber="1" containsInteger="1" minValue="2" maxValue="2"/>
    </cacheField>
    <cacheField name="Hole ID2" numFmtId="0">
      <sharedItems containsBlank="1" containsMixedTypes="1" containsNumber="1" containsInteger="1" minValue="3" maxValue="3"/>
    </cacheField>
    <cacheField name="Hole ID3" numFmtId="0">
      <sharedItems containsBlank="1" containsMixedTypes="1" containsNumber="1" containsInteger="1" minValue="4" maxValue="4"/>
    </cacheField>
    <cacheField name="Hole ID4" numFmtId="0">
      <sharedItems containsBlank="1" containsMixedTypes="1" containsNumber="1" containsInteger="1" minValue="5" maxValue="5"/>
    </cacheField>
    <cacheField name="Driller Name " numFmtId="0">
      <sharedItems containsMixedTypes="1" containsNumber="1" containsInteger="1" minValue="6" maxValue="6"/>
    </cacheField>
    <cacheField name="Personel (incl driller) " numFmtId="0">
      <sharedItems containsString="0" containsBlank="1" containsNumber="1" containsInteger="1" minValue="3" maxValue="7"/>
    </cacheField>
    <cacheField name="Accom Cost" numFmtId="0">
      <sharedItems containsString="0" containsBlank="1" containsNumber="1" containsInteger="1" minValue="8" maxValue="520"/>
    </cacheField>
    <cacheField name="0-50m" numFmtId="0">
      <sharedItems containsString="0" containsBlank="1" containsNumber="1" containsInteger="1" minValue="0" maxValue="146"/>
    </cacheField>
    <cacheField name="50m-100m" numFmtId="0">
      <sharedItems containsString="0" containsBlank="1" containsNumber="1" containsInteger="1" minValue="0" maxValue="100"/>
    </cacheField>
    <cacheField name="100m-150m" numFmtId="0">
      <sharedItems containsString="0" containsBlank="1" containsNumber="1" containsInteger="1" minValue="0" maxValue="98"/>
    </cacheField>
    <cacheField name="150m-200m" numFmtId="0">
      <sharedItems containsString="0" containsBlank="1" containsNumber="1" containsInteger="1" minValue="0" maxValue="40"/>
    </cacheField>
    <cacheField name="200m-250m" numFmtId="0">
      <sharedItems containsString="0" containsBlank="1" containsNumber="1" containsInteger="1" minValue="13" maxValue="13"/>
    </cacheField>
    <cacheField name="250m-300m" numFmtId="0">
      <sharedItems containsString="0" containsBlank="1" containsNumber="1" containsInteger="1" minValue="14" maxValue="14"/>
    </cacheField>
    <cacheField name="Total Daily Meters" numFmtId="0">
      <sharedItems containsString="0" containsBlank="1" containsNumber="1" containsInteger="1" minValue="0" maxValue="284"/>
    </cacheField>
    <cacheField name="Drilling Cost" numFmtId="0">
      <sharedItems containsString="0" containsBlank="1" containsNumber="1" containsInteger="1" minValue="0" maxValue="12340"/>
    </cacheField>
    <cacheField name="Drill Time" numFmtId="0">
      <sharedItems containsString="0" containsBlank="1" containsNumber="1" minValue="0" maxValue="17"/>
    </cacheField>
    <cacheField name="Charged Drilling Cost" numFmtId="0">
      <sharedItems containsSemiMixedTypes="0" containsString="0" containsNumber="1" minValue="0" maxValue="12340"/>
    </cacheField>
    <cacheField name="Booster (p/hr)" numFmtId="0">
      <sharedItems containsString="0" containsBlank="1" containsNumber="1" minValue="0" maxValue="19"/>
    </cacheField>
    <cacheField name="Aux Compressor (p/hr)" numFmtId="0">
      <sharedItems containsString="0" containsBlank="1" containsNumber="1" minValue="0" maxValue="20"/>
    </cacheField>
    <cacheField name="Azi Aligner (p/day)" numFmtId="0">
      <sharedItems containsString="0" containsBlank="1" containsNumber="1" containsInteger="1" minValue="0" maxValue="21"/>
    </cacheField>
    <cacheField name="Survey camera (p/day)" numFmtId="0">
      <sharedItems containsString="0" containsBlank="1" containsNumber="1" containsInteger="1" minValue="0" maxValue="22"/>
    </cacheField>
    <cacheField name="Active Rate Total hours" numFmtId="0">
      <sharedItems containsSemiMixedTypes="0" containsString="0" containsNumber="1" minValue="0" maxValue="23"/>
    </cacheField>
    <cacheField name="Inactive Total" numFmtId="0">
      <sharedItems containsString="0" containsBlank="1" containsNumber="1" minValue="0" maxValue="24"/>
    </cacheField>
    <cacheField name="Standby Total Hours" numFmtId="0">
      <sharedItems containsString="0" containsBlank="1" containsNumber="1" minValue="0" maxValue="25"/>
    </cacheField>
    <cacheField name="non-charged Hours" numFmtId="0">
      <sharedItems containsString="0" containsBlank="1" containsNumber="1" minValue="0.25" maxValue="12"/>
    </cacheField>
    <cacheField name="Maintenance" numFmtId="0">
      <sharedItems containsString="0" containsBlank="1" containsNumber="1" minValue="1.75" maxValue="1.75"/>
    </cacheField>
    <cacheField name="Comment" numFmtId="0">
      <sharedItems containsBlank="1"/>
    </cacheField>
    <cacheField name="Total (Fix if not 12hrs)" numFmtId="0">
      <sharedItems containsString="0" containsBlank="1" containsNumber="1" containsInteger="1" minValue="12" maxValue="12"/>
    </cacheField>
    <cacheField name="Total Activity hours Cost" numFmtId="0">
      <sharedItems containsSemiMixedTypes="0" containsString="0" containsNumber="1" minValue="0" maxValue="6480"/>
    </cacheField>
    <cacheField name="Total Consumables Cost (-Accom)" numFmtId="0">
      <sharedItems containsString="0" containsBlank="1" containsNumber="1" minValue="0" maxValue="6069.4"/>
    </cacheField>
    <cacheField name="Total Costs" numFmtId="0">
      <sharedItems containsSemiMixedTypes="0" containsString="0" containsNumber="1" minValue="28" maxValue="18696.03"/>
    </cacheField>
    <cacheField name="Cummulative Cost" numFmtId="0">
      <sharedItems containsSemiMixedTypes="0" containsString="0" containsNumber="1" minValue="29" maxValue="430246.91999999993"/>
    </cacheField>
    <cacheField name="EOM Cummulative Cost" numFmtId="0">
      <sharedItems containsSemiMixedTypes="0" containsString="0" containsNumber="1" minValue="30" maxValue="333959.17000000004"/>
    </cacheField>
    <cacheField name="Combined Cost Per Metre" numFmtId="0">
      <sharedItems containsMixedTypes="1" containsNumber="1" minValue="31" maxValue="208.6930434782609"/>
    </cacheField>
    <cacheField name="Provide context on Maintenanc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as Pilote" refreshedDate="45871.412324074074" createdVersion="8" refreshedVersion="8" minRefreshableVersion="3" recordCount="231" xr:uid="{5C0CD4A5-8B65-49FC-A30A-798B0DB7A5A6}">
  <cacheSource type="worksheet">
    <worksheetSource ref="C4:BA237" sheet="DDH1 RIG 38"/>
  </cacheSource>
  <cacheFields count="45">
    <cacheField name="Hole Type" numFmtId="0">
      <sharedItems count="4">
        <s v="Index"/>
        <s v=""/>
        <s v="MET"/>
        <s v="GT"/>
      </sharedItems>
    </cacheField>
    <cacheField name="Date" numFmtId="0">
      <sharedItems containsSemiMixedTypes="0" containsDate="1" containsString="0" containsMixedTypes="1" minDate="1899-12-31T04:01:03" maxDate="2025-10-28T17:02:24"/>
    </cacheField>
    <cacheField name="Shift" numFmtId="0">
      <sharedItems containsMixedTypes="1" containsNumber="1" containsInteger="1" minValue="2" maxValue="2"/>
    </cacheField>
    <cacheField name="Hole ID" numFmtId="0">
      <sharedItems containsBlank="1" containsMixedTypes="1" containsNumber="1" containsInteger="1" minValue="3" maxValue="3"/>
    </cacheField>
    <cacheField name="Hole ID2" numFmtId="0">
      <sharedItems containsBlank="1" containsMixedTypes="1" containsNumber="1" containsInteger="1" minValue="4" maxValue="4"/>
    </cacheField>
    <cacheField name="Driller Name " numFmtId="0">
      <sharedItems containsBlank="1" containsMixedTypes="1" containsNumber="1" containsInteger="1" minValue="5" maxValue="5"/>
    </cacheField>
    <cacheField name="Personel (incl driller) " numFmtId="0">
      <sharedItems containsString="0" containsBlank="1" containsNumber="1" containsInteger="1" minValue="3" maxValue="6"/>
    </cacheField>
    <cacheField name="Accom Cost" numFmtId="0">
      <sharedItems containsBlank="1" containsMixedTypes="1" containsNumber="1" containsInteger="1" minValue="7" maxValue="780" count="5">
        <n v="7"/>
        <s v=""/>
        <n v="780"/>
        <n v="390"/>
        <m/>
      </sharedItems>
    </cacheField>
    <cacheField name="Depth From" numFmtId="0">
      <sharedItems containsString="0" containsBlank="1" containsNumber="1" minValue="0" maxValue="101.1"/>
    </cacheField>
    <cacheField name="Depth To" numFmtId="0">
      <sharedItems containsString="0" containsBlank="1" containsNumber="1" minValue="0" maxValue="120.7"/>
    </cacheField>
    <cacheField name="Length" numFmtId="0">
      <sharedItems containsBlank="1" containsMixedTypes="1" containsNumber="1" minValue="0" maxValue="30.700000000000003"/>
    </cacheField>
    <cacheField name="Depth From2" numFmtId="0">
      <sharedItems containsString="0" containsBlank="1" containsNumber="1" minValue="0" maxValue="107.7"/>
    </cacheField>
    <cacheField name="Depth To2" numFmtId="0">
      <sharedItems containsString="0" containsBlank="1" containsNumber="1" minValue="1.7" maxValue="130"/>
    </cacheField>
    <cacheField name="Length2" numFmtId="0">
      <sharedItems containsString="0" containsBlank="1" containsNumber="1" minValue="0" maxValue="30.400000000000002"/>
    </cacheField>
    <cacheField name="Depth From3" numFmtId="0">
      <sharedItems containsString="0" containsBlank="1" containsNumber="1" containsInteger="1" minValue="0" maxValue="14"/>
    </cacheField>
    <cacheField name="Depth To3" numFmtId="0">
      <sharedItems containsString="0" containsBlank="1" containsNumber="1" containsInteger="1" minValue="9" maxValue="15"/>
    </cacheField>
    <cacheField name="Length3" numFmtId="0">
      <sharedItems containsString="0" containsBlank="1" containsNumber="1" containsInteger="1" minValue="0" maxValue="16"/>
    </cacheField>
    <cacheField name="Depth From4" numFmtId="0">
      <sharedItems containsString="0" containsBlank="1" containsNumber="1" containsInteger="1" minValue="0" maxValue="17"/>
    </cacheField>
    <cacheField name="Depth To4" numFmtId="0">
      <sharedItems containsString="0" containsBlank="1" containsNumber="1" containsInteger="1" minValue="2" maxValue="18"/>
    </cacheField>
    <cacheField name="Length4" numFmtId="0">
      <sharedItems containsString="0" containsBlank="1" containsNumber="1" containsInteger="1" minValue="0" maxValue="19"/>
    </cacheField>
    <cacheField name="Total Length" numFmtId="0">
      <sharedItems containsBlank="1" containsMixedTypes="1" containsNumber="1" minValue="0" maxValue="30.700000000000003"/>
    </cacheField>
    <cacheField name="Drilling Cost" numFmtId="0">
      <sharedItems containsMixedTypes="1" containsNumber="1" minValue="0" maxValue="5372.5000000000009" count="49">
        <n v="20"/>
        <s v=""/>
        <n v="0"/>
        <n v="1925"/>
        <n v="2730.0000000000005"/>
        <n v="1242.5000000000002"/>
        <n v="5250"/>
        <n v="3569.9999999999986"/>
        <n v="2730.0000000000014"/>
        <n v="3325"/>
        <n v="2887.5"/>
        <n v="4007.4999999999995"/>
        <n v="3710.0000000000005"/>
        <n v="2309.9999999999991"/>
        <n v="4777.4999999999991"/>
        <n v="3430.0000000000014"/>
        <n v="3587.5"/>
        <n v="5267.4999999999991"/>
        <n v="3815"/>
        <n v="4585"/>
        <n v="4847.5000000000009"/>
        <n v="1050"/>
        <n v="2607.5"/>
        <n v="5372.5000000000009"/>
        <n v="5249.9999999999991"/>
        <n v="1360.5"/>
        <n v="2362.5"/>
        <n v="2902.4999999999995"/>
        <n v="2956.5000000000009"/>
        <n v="1632.9999999999995"/>
        <n v="2870.0000000000005"/>
        <n v="1329.9999999999995"/>
        <n v="4795"/>
        <n v="5180"/>
        <n v="2869.9999999999986"/>
        <n v="810"/>
        <n v="1053"/>
        <n v="431.99999999999989"/>
        <n v="1755"/>
        <n v="2875.5"/>
        <n v="4104"/>
        <n v="3645"/>
        <n v="1890"/>
        <n v="2025"/>
        <n v="3010.4999999999995"/>
        <n v="229.5"/>
        <n v="1120"/>
        <n v="2502.5"/>
        <n v="787.5"/>
      </sharedItems>
    </cacheField>
    <cacheField name="Charged Drilling Cost" numFmtId="0">
      <sharedItems containsMixedTypes="1" containsNumber="1" minValue="0" maxValue="5372.5000000000009"/>
    </cacheField>
    <cacheField name="Ori Tool" numFmtId="0">
      <sharedItems containsString="0" containsBlank="1" containsNumber="1" containsInteger="1" minValue="1" maxValue="22"/>
    </cacheField>
    <cacheField name="Gyro Tool" numFmtId="0">
      <sharedItems containsString="0" containsBlank="1" containsNumber="1" containsInteger="1" minValue="1" maxValue="23"/>
    </cacheField>
    <cacheField name="Tool ID" numFmtId="0">
      <sharedItems containsString="0" containsBlank="1" containsNumber="1" containsInteger="1" minValue="24" maxValue="13170"/>
    </cacheField>
    <cacheField name="Drill Time" numFmtId="0">
      <sharedItems containsString="0" containsBlank="1" containsNumber="1" minValue="0" maxValue="25"/>
    </cacheField>
    <cacheField name="Active hours (Other than drilling)" numFmtId="0">
      <sharedItems containsString="0" containsBlank="1" containsNumber="1" minValue="0" maxValue="26"/>
    </cacheField>
    <cacheField name="Comment (IF less than 10hours EXPLAIN)" numFmtId="0">
      <sharedItems containsBlank="1" containsMixedTypes="1" containsNumber="1" containsInteger="1" minValue="27" maxValue="27"/>
    </cacheField>
    <cacheField name="Inactive Hours (Other than client standby)" numFmtId="0">
      <sharedItems containsString="0" containsBlank="1" containsNumber="1" minValue="0.25" maxValue="28"/>
    </cacheField>
    <cacheField name="Standby Total Hours" numFmtId="0">
      <sharedItems containsString="0" containsBlank="1" containsNumber="1" containsInteger="1" minValue="5" maxValue="29"/>
    </cacheField>
    <cacheField name="Comment (IF more than 2 hours EXPLAIN)" numFmtId="0">
      <sharedItems containsBlank="1" containsMixedTypes="1" containsNumber="1" containsInteger="1" minValue="30" maxValue="30"/>
    </cacheField>
    <cacheField name="Uncharged Hours" numFmtId="0">
      <sharedItems containsString="0" containsBlank="1" containsNumber="1" minValue="0.5" maxValue="31"/>
    </cacheField>
    <cacheField name="Maintenance" numFmtId="0">
      <sharedItems containsString="0" containsBlank="1" containsNumber="1" minValue="0.5" maxValue="32"/>
    </cacheField>
    <cacheField name="Comments" numFmtId="0">
      <sharedItems containsBlank="1"/>
    </cacheField>
    <cacheField name="Total Daily Hours" numFmtId="0">
      <sharedItems containsBlank="1" containsMixedTypes="1" containsNumber="1" containsInteger="1" minValue="12" maxValue="33"/>
    </cacheField>
    <cacheField name="Comments (IF not 12hrs EXPLAIN)" numFmtId="0">
      <sharedItems containsString="0" containsBlank="1" containsNumber="1" containsInteger="1" minValue="34" maxValue="34"/>
    </cacheField>
    <cacheField name="Total Activity Hours Cost" numFmtId="0">
      <sharedItems containsString="0" containsBlank="1" containsNumber="1" containsInteger="1" minValue="0" maxValue="5070"/>
    </cacheField>
    <cacheField name="Total Consumables Cost (-accom)" numFmtId="0">
      <sharedItems containsString="0" containsBlank="1" containsNumber="1" minValue="0" maxValue="879.56"/>
    </cacheField>
    <cacheField name="Total Costs" numFmtId="0">
      <sharedItems containsString="0" containsBlank="1" containsNumber="1" minValue="0" maxValue="7734.5599999999995"/>
    </cacheField>
    <cacheField name="Cummulative Cost" numFmtId="0">
      <sharedItems containsString="0" containsBlank="1" containsNumber="1" minValue="38" maxValue="309907.97999999992"/>
    </cacheField>
    <cacheField name="EOM Cummulative Cost" numFmtId="0">
      <sharedItems containsBlank="1" containsMixedTypes="1" containsNumber="1" minValue="39" maxValue="297422.97999999992"/>
    </cacheField>
    <cacheField name="Combined Cost Per Metre" numFmtId="0">
      <sharedItems containsBlank="1" containsMixedTypes="1" containsNumber="1" minValue="40" maxValue="3197.0588235294117"/>
    </cacheField>
    <cacheField name="PLOD LINK" numFmtId="0">
      <sharedItems containsBlank="1" containsMixedTypes="1" containsNumber="1" containsInteger="1" minValue="41" maxValue="41"/>
    </cacheField>
    <cacheField name="Comments2" numFmtId="0">
      <sharedItems containsBlank="1" containsMixedTypes="1" containsNumber="1" containsInteger="1" minValue="42" maxValue="42"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as Pilote" refreshedDate="45871.415294560182" createdVersion="8" refreshedVersion="8" minRefreshableVersion="3" recordCount="274" xr:uid="{990B0D9E-53F0-4CC2-9052-3115E66A8FAC}">
  <cacheSource type="worksheet">
    <worksheetSource ref="D87" sheet="DDH1 RIG 41"/>
  </cacheSource>
  <cacheFields count="45">
    <cacheField name="Drill Type" numFmtId="0">
      <sharedItems containsDate="1" containsBlank="1" containsMixedTypes="1" minDate="2025-06-13T05:02:24" maxDate="2025-06-17T17:02:24" count="14">
        <s v="Index"/>
        <d v="2025-06-13T05:02:24"/>
        <d v="2025-06-13T17:02:24"/>
        <d v="2025-06-14T05:02:24"/>
        <d v="2025-06-14T17:02:24"/>
        <d v="2025-06-15T05:02:24"/>
        <d v="2025-06-15T17:02:24"/>
        <d v="2025-06-16T05:02:24"/>
        <d v="2025-06-16T17:02:24"/>
        <d v="2025-06-17T05:02:24"/>
        <d v="2025-06-17T17:02:24"/>
        <s v="MET"/>
        <s v="GT"/>
        <m/>
      </sharedItems>
    </cacheField>
    <cacheField name="Date" numFmtId="0">
      <sharedItems containsSemiMixedTypes="0" containsDate="1" containsString="0" containsMixedTypes="1" minDate="1899-12-31T04:01:03" maxDate="2025-10-27T05:02:24"/>
    </cacheField>
    <cacheField name="Shift" numFmtId="0">
      <sharedItems containsMixedTypes="1" containsNumber="1" containsInteger="1" minValue="2" maxValue="2"/>
    </cacheField>
    <cacheField name="Hole ID" numFmtId="0">
      <sharedItems containsBlank="1" containsMixedTypes="1" containsNumber="1" containsInteger="1" minValue="3" maxValue="3"/>
    </cacheField>
    <cacheField name="Hole ID2" numFmtId="0">
      <sharedItems containsBlank="1" containsMixedTypes="1" containsNumber="1" containsInteger="1" minValue="4" maxValue="4"/>
    </cacheField>
    <cacheField name="Driller Name " numFmtId="0">
      <sharedItems containsBlank="1" containsMixedTypes="1" containsNumber="1" containsInteger="1" minValue="5" maxValue="5"/>
    </cacheField>
    <cacheField name="Personel (incl driller) " numFmtId="0">
      <sharedItems containsString="0" containsBlank="1" containsNumber="1" containsInteger="1" minValue="0" maxValue="6"/>
    </cacheField>
    <cacheField name="Accom Cost" numFmtId="0">
      <sharedItems containsBlank="1" containsMixedTypes="1" containsNumber="1" containsInteger="1" minValue="0" maxValue="650"/>
    </cacheField>
    <cacheField name="Depth From" numFmtId="0">
      <sharedItems containsString="0" containsBlank="1" containsNumber="1" minValue="0" maxValue="117.6"/>
    </cacheField>
    <cacheField name="Depth To" numFmtId="0">
      <sharedItems containsString="0" containsBlank="1" containsNumber="1" minValue="1.8" maxValue="120.5"/>
    </cacheField>
    <cacheField name="Length" numFmtId="0">
      <sharedItems containsBlank="1" containsMixedTypes="1" containsNumber="1" minValue="0" maxValue="33"/>
    </cacheField>
    <cacheField name="Depth From2" numFmtId="0">
      <sharedItems containsString="0" containsBlank="1" containsNumber="1" minValue="0" maxValue="108.5"/>
    </cacheField>
    <cacheField name="Depth To2" numFmtId="0">
      <sharedItems containsString="0" containsBlank="1" containsNumber="1" minValue="11.9" maxValue="130.69999999999999"/>
    </cacheField>
    <cacheField name="Length2" numFmtId="0">
      <sharedItems containsString="0" containsBlank="1" containsNumber="1" minValue="0" maxValue="34"/>
    </cacheField>
    <cacheField name="Depth From3" numFmtId="0">
      <sharedItems containsString="0" containsBlank="1" containsNumber="1" containsInteger="1" minValue="0" maxValue="14"/>
    </cacheField>
    <cacheField name="Depth To3" numFmtId="0">
      <sharedItems containsString="0" containsBlank="1" containsNumber="1" minValue="0" maxValue="15"/>
    </cacheField>
    <cacheField name="Length3" numFmtId="0">
      <sharedItems containsString="0" containsBlank="1" containsNumber="1" minValue="0" maxValue="16"/>
    </cacheField>
    <cacheField name="Depth From4" numFmtId="0">
      <sharedItems containsString="0" containsBlank="1" containsNumber="1" containsInteger="1" minValue="17" maxValue="17"/>
    </cacheField>
    <cacheField name="Depth To4" numFmtId="0">
      <sharedItems containsString="0" containsBlank="1" containsNumber="1" containsInteger="1" minValue="18" maxValue="18"/>
    </cacheField>
    <cacheField name="Length4" numFmtId="0">
      <sharedItems containsString="0" containsBlank="1" containsNumber="1" containsInteger="1" minValue="0" maxValue="19"/>
    </cacheField>
    <cacheField name="Total Length" numFmtId="0">
      <sharedItems containsBlank="1" containsMixedTypes="1" containsNumber="1" minValue="0" maxValue="34"/>
    </cacheField>
    <cacheField name="Drilling Cost" numFmtId="0">
      <sharedItems containsMixedTypes="1" containsNumber="1" minValue="0" maxValue="5775"/>
    </cacheField>
    <cacheField name="Charged Drilling Cost" numFmtId="0">
      <sharedItems containsMixedTypes="1" containsNumber="1" minValue="0" maxValue="5775"/>
    </cacheField>
    <cacheField name="Ori Tool" numFmtId="0">
      <sharedItems containsString="0" containsBlank="1" containsNumber="1" containsInteger="1" minValue="1" maxValue="22"/>
    </cacheField>
    <cacheField name="Gyro Tool" numFmtId="0">
      <sharedItems containsString="0" containsBlank="1" containsNumber="1" containsInteger="1" minValue="1" maxValue="23"/>
    </cacheField>
    <cacheField name="Tool ID" numFmtId="0">
      <sharedItems containsString="0" containsBlank="1" containsNumber="1" containsInteger="1" minValue="24" maxValue="13122"/>
    </cacheField>
    <cacheField name="Drill Time" numFmtId="0">
      <sharedItems containsString="0" containsBlank="1" containsNumber="1" minValue="0" maxValue="25"/>
    </cacheField>
    <cacheField name="Active hours (Other than drilling)" numFmtId="0">
      <sharedItems containsString="0" containsBlank="1" containsNumber="1" minValue="0.25" maxValue="26"/>
    </cacheField>
    <cacheField name="Comment (IF less than 10hours EXPLAIN)" numFmtId="0">
      <sharedItems containsBlank="1" containsMixedTypes="1" containsNumber="1" containsInteger="1" minValue="27" maxValue="27"/>
    </cacheField>
    <cacheField name="Inactive Hours (Other than client standby)" numFmtId="0">
      <sharedItems containsString="0" containsBlank="1" containsNumber="1" minValue="0.25" maxValue="28"/>
    </cacheField>
    <cacheField name="Standby Total Hours" numFmtId="0">
      <sharedItems containsString="0" containsBlank="1" containsNumber="1" minValue="0.25" maxValue="29"/>
    </cacheField>
    <cacheField name="Comment (IF more than 2 hours EXPLAIN)" numFmtId="0">
      <sharedItems containsBlank="1" containsMixedTypes="1" containsNumber="1" containsInteger="1" minValue="30" maxValue="30"/>
    </cacheField>
    <cacheField name="Uncharged Hours" numFmtId="0">
      <sharedItems containsString="0" containsBlank="1" containsNumber="1" minValue="0.25" maxValue="31"/>
    </cacheField>
    <cacheField name="Maintenance" numFmtId="0">
      <sharedItems containsString="0" containsBlank="1" containsNumber="1" minValue="0.5" maxValue="32"/>
    </cacheField>
    <cacheField name="Comments" numFmtId="0">
      <sharedItems containsNonDate="0" containsString="0" containsBlank="1"/>
    </cacheField>
    <cacheField name="Total Daily Hours" numFmtId="0">
      <sharedItems containsBlank="1" containsMixedTypes="1" containsNumber="1" containsInteger="1" minValue="0" maxValue="33"/>
    </cacheField>
    <cacheField name="Comments (IF not 12hrs EXPLAIN)" numFmtId="0">
      <sharedItems containsString="0" containsBlank="1" containsNumber="1" containsInteger="1" minValue="34" maxValue="34"/>
    </cacheField>
    <cacheField name="Total Activity Hours Cost" numFmtId="0">
      <sharedItems containsString="0" containsBlank="1" containsNumber="1" containsInteger="1" minValue="0" maxValue="5395"/>
    </cacheField>
    <cacheField name="Total Consumables Cost (-Accom)" numFmtId="0">
      <sharedItems containsString="0" containsBlank="1" containsNumber="1" minValue="0" maxValue="3105.93"/>
    </cacheField>
    <cacheField name="Total Costs" numFmtId="0">
      <sharedItems containsString="0" containsBlank="1" containsNumber="1" minValue="0" maxValue="8201.43"/>
    </cacheField>
    <cacheField name="Cummulative Cost" numFmtId="0">
      <sharedItems containsString="0" containsBlank="1" containsNumber="1" minValue="38" maxValue="578977.20999999973"/>
    </cacheField>
    <cacheField name="EOM Cummulative Cost" numFmtId="0">
      <sharedItems containsString="0" containsBlank="1" containsNumber="1" minValue="0" maxValue="376286.69"/>
    </cacheField>
    <cacheField name="Combined Cost Per Metre" numFmtId="0">
      <sharedItems containsBlank="1" containsMixedTypes="1" containsNumber="1" minValue="40" maxValue="3231.5789473684213"/>
    </cacheField>
    <cacheField name="PLOD LINK" numFmtId="0">
      <sharedItems containsBlank="1" containsMixedTypes="1" containsNumber="1" containsInteger="1" minValue="41" maxValue="41"/>
    </cacheField>
    <cacheField name="Comments2" numFmtId="0">
      <sharedItems containsBlank="1" containsMixedTypes="1" containsNumber="1" containsInteger="1" minValue="42" maxValue="42" longText="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on stowe" refreshedDate="45880.43898900463" createdVersion="8" refreshedVersion="8" minRefreshableVersion="3" recordCount="14" xr:uid="{7464CD8B-8E7F-4BA2-944A-D3C34C0C3D81}">
  <cacheSource type="worksheet">
    <worksheetSource name="Planned"/>
  </cacheSource>
  <cacheFields count="5">
    <cacheField name="Budget" numFmtId="0">
      <sharedItems containsBlank="1" count="9">
        <s v="DFS Met Sample collection (24 no. Holes, 2,045m)"/>
        <s v="Geotechnical drilling (12 no. HQ Holes, 1040m)"/>
        <m/>
        <s v="Infill Drilling"/>
        <s v="G-Vein Resource Extension"/>
        <s v="A-Vein Resource Extension"/>
        <s v="Dingo Vein Exploration"/>
        <s v="Southern Veins Exploration"/>
        <s v="Total EXP (RC)" u="1"/>
      </sharedItems>
    </cacheField>
    <cacheField name="Hole Type" numFmtId="0">
      <sharedItems containsBlank="1" count="3">
        <s v="DD"/>
        <m/>
        <s v="RC"/>
      </sharedItems>
    </cacheField>
    <cacheField name="Campaign" numFmtId="0">
      <sharedItems containsBlank="1" count="6">
        <s v="MET"/>
        <s v="GT"/>
        <m/>
        <s v="INF"/>
        <s v="RD"/>
        <s v="EXP"/>
      </sharedItems>
    </cacheField>
    <cacheField name="Planned Holes" numFmtId="0">
      <sharedItems containsString="0" containsBlank="1" containsNumber="1" containsInteger="1" minValue="5" maxValue="155"/>
    </cacheField>
    <cacheField name="Planned Metres" numFmtId="0">
      <sharedItems containsString="0" containsBlank="1" containsNumber="1" containsInteger="1" minValue="450" maxValue="18025"/>
    </cacheField>
  </cacheFields>
  <extLst>
    <ext xmlns:x14="http://schemas.microsoft.com/office/spreadsheetml/2009/9/main" uri="{725AE2AE-9491-48be-B2B4-4EB974FC3084}">
      <x14:pivotCacheDefinition pivotCacheId="72050698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on stowe" refreshedDate="45880.438989351853" createdVersion="8" refreshedVersion="8" minRefreshableVersion="3" recordCount="185" xr:uid="{1CF655FF-8224-4462-819E-2DCA79BF8F51}">
  <cacheSource type="worksheet">
    <worksheetSource name="Table3"/>
  </cacheSource>
  <cacheFields count="50">
    <cacheField name="Hole Type" numFmtId="2">
      <sharedItems containsBlank="1" count="5">
        <s v=""/>
        <s v="MET"/>
        <m/>
        <s v="GT"/>
        <s v="DDRD"/>
      </sharedItems>
    </cacheField>
    <cacheField name="Completion" numFmtId="2">
      <sharedItems containsString="0" containsBlank="1" containsNumber="1" containsInteger="1" minValue="1" maxValue="1"/>
    </cacheField>
    <cacheField name="Date" numFmtId="14">
      <sharedItems containsSemiMixedTypes="0" containsNonDate="0" containsDate="1" containsString="0" minDate="2025-07-05T00:00:00" maxDate="2025-10-05T05:02:24" count="185">
        <d v="2025-07-05T05:02:24"/>
        <d v="2025-07-05T00:00:00"/>
        <d v="2025-07-06T05:02:24"/>
        <d v="2025-07-06T17:02:24"/>
        <d v="2025-07-07T05:02:24"/>
        <d v="2025-07-07T17:02:24"/>
        <d v="2025-07-08T05:02:24"/>
        <d v="2025-07-08T17:02:24"/>
        <d v="2025-07-09T05:02:24"/>
        <d v="2025-07-09T17:02:24"/>
        <d v="2025-07-10T05:02:24"/>
        <d v="2025-07-10T17:02:24"/>
        <d v="2025-07-11T05:02:24"/>
        <d v="2025-07-11T17:02:24"/>
        <d v="2025-07-12T05:02:24"/>
        <d v="2025-07-12T17:02:24"/>
        <d v="2025-07-13T05:02:24"/>
        <d v="2025-07-13T17:02:24"/>
        <d v="2025-07-14T05:02:24"/>
        <d v="2025-07-14T17:02:24"/>
        <d v="2025-07-15T05:02:24"/>
        <d v="2025-07-15T17:02:24"/>
        <d v="2025-07-16T05:02:24"/>
        <d v="2025-07-16T17:02:24"/>
        <d v="2025-07-17T05:02:24"/>
        <d v="2025-07-17T17:02:24"/>
        <d v="2025-07-18T05:02:24"/>
        <d v="2025-07-18T17:02:24"/>
        <d v="2025-07-19T05:02:24"/>
        <d v="2025-07-19T17:02:24"/>
        <d v="2025-07-20T05:02:24"/>
        <d v="2025-07-20T17:02:24"/>
        <d v="2025-07-21T05:02:24"/>
        <d v="2025-07-21T17:02:24"/>
        <d v="2025-07-22T05:02:24"/>
        <d v="2025-07-22T17:02:24"/>
        <d v="2025-07-23T05:02:24"/>
        <d v="2025-07-23T17:02:24"/>
        <d v="2025-07-24T05:02:24"/>
        <d v="2025-07-24T17:02:24"/>
        <d v="2025-07-25T05:02:24"/>
        <d v="2025-07-25T17:02:24"/>
        <d v="2025-07-26T05:02:24"/>
        <d v="2025-07-26T17:02:24"/>
        <d v="2025-07-27T05:02:24"/>
        <d v="2025-07-27T17:02:24"/>
        <d v="2025-07-28T05:02:24"/>
        <d v="2025-07-28T17:02:24"/>
        <d v="2025-07-29T05:02:24"/>
        <d v="2025-07-29T17:02:24"/>
        <d v="2025-07-30T05:02:24"/>
        <d v="2025-07-30T17:02:24"/>
        <d v="2025-07-31T05:02:24"/>
        <d v="2025-07-31T17:02:24"/>
        <d v="2025-08-01T05:02:24"/>
        <d v="2025-08-01T17:02:24"/>
        <d v="2025-08-02T05:02:24"/>
        <d v="2025-08-02T17:02:24"/>
        <d v="2025-08-03T05:02:24"/>
        <d v="2025-08-03T17:02:24"/>
        <d v="2025-08-04T05:02:24"/>
        <d v="2025-08-04T17:02:24"/>
        <d v="2025-08-05T05:02:24"/>
        <d v="2025-08-05T17:02:24"/>
        <d v="2025-08-06T05:02:24"/>
        <d v="2025-08-06T17:02:24"/>
        <d v="2025-08-07T05:02:24"/>
        <d v="2025-08-07T17:02:24"/>
        <d v="2025-08-08T05:02:24"/>
        <d v="2025-08-08T17:02:24"/>
        <d v="2025-08-09T05:02:24"/>
        <d v="2025-08-09T17:02:24"/>
        <d v="2025-08-10T05:02:24"/>
        <d v="2025-08-10T17:02:24"/>
        <d v="2025-08-11T05:02:24"/>
        <d v="2025-08-11T17:02:24"/>
        <d v="2025-08-12T05:02:24"/>
        <d v="2025-08-12T17:02:24"/>
        <d v="2025-08-13T05:02:24"/>
        <d v="2025-08-13T17:02:24"/>
        <d v="2025-08-14T05:02:24"/>
        <d v="2025-08-14T17:02:24"/>
        <d v="2025-08-15T05:02:24"/>
        <d v="2025-08-15T17:02:24"/>
        <d v="2025-08-16T05:02:24"/>
        <d v="2025-08-16T17:02:24"/>
        <d v="2025-08-17T05:02:24"/>
        <d v="2025-08-17T17:02:24"/>
        <d v="2025-08-18T05:02:24"/>
        <d v="2025-08-18T17:02:24"/>
        <d v="2025-08-19T05:02:24"/>
        <d v="2025-08-19T17:02:24"/>
        <d v="2025-08-20T05:02:24"/>
        <d v="2025-08-20T17:02:24"/>
        <d v="2025-08-21T05:02:24"/>
        <d v="2025-08-21T17:02:24"/>
        <d v="2025-08-22T05:02:24"/>
        <d v="2025-08-22T17:02:24"/>
        <d v="2025-08-23T05:02:24"/>
        <d v="2025-08-23T17:02:24"/>
        <d v="2025-08-24T05:02:24"/>
        <d v="2025-08-24T17:02:24"/>
        <d v="2025-08-25T05:02:24"/>
        <d v="2025-08-25T17:02:24"/>
        <d v="2025-08-26T05:02:24"/>
        <d v="2025-08-26T17:02:24"/>
        <d v="2025-08-27T05:02:24"/>
        <d v="2025-08-27T17:02:24"/>
        <d v="2025-08-28T05:02:24"/>
        <d v="2025-08-28T17:02:24"/>
        <d v="2025-08-29T05:02:24"/>
        <d v="2025-08-29T17:02:24"/>
        <d v="2025-08-30T05:02:24"/>
        <d v="2025-08-30T17:02:24"/>
        <d v="2025-08-31T05:02:24"/>
        <d v="2025-08-31T17:02:24"/>
        <d v="2025-09-01T05:02:24"/>
        <d v="2025-09-01T17:02:24"/>
        <d v="2025-09-02T05:02:24"/>
        <d v="2025-09-02T17:02:24"/>
        <d v="2025-09-03T05:02:24"/>
        <d v="2025-09-03T17:02:24"/>
        <d v="2025-09-04T05:02:24"/>
        <d v="2025-09-04T17:02:24"/>
        <d v="2025-09-05T05:02:24"/>
        <d v="2025-09-05T17:02:24"/>
        <d v="2025-09-06T05:02:24"/>
        <d v="2025-09-06T17:02:24"/>
        <d v="2025-09-07T05:02:24"/>
        <d v="2025-09-07T17:02:24"/>
        <d v="2025-09-08T05:02:24"/>
        <d v="2025-09-08T17:02:24"/>
        <d v="2025-09-09T05:02:24"/>
        <d v="2025-09-09T17:02:24"/>
        <d v="2025-09-10T05:02:24"/>
        <d v="2025-09-10T17:02:24"/>
        <d v="2025-09-11T05:02:24"/>
        <d v="2025-09-11T17:02:24"/>
        <d v="2025-09-12T05:02:24"/>
        <d v="2025-09-12T17:02:24"/>
        <d v="2025-09-13T05:02:24"/>
        <d v="2025-09-13T17:02:24"/>
        <d v="2025-09-14T05:02:24"/>
        <d v="2025-09-14T17:02:24"/>
        <d v="2025-09-15T05:02:24"/>
        <d v="2025-09-15T17:02:24"/>
        <d v="2025-09-16T05:02:24"/>
        <d v="2025-09-16T17:02:24"/>
        <d v="2025-09-17T05:02:24"/>
        <d v="2025-09-17T17:02:24"/>
        <d v="2025-09-18T05:02:24"/>
        <d v="2025-09-18T17:02:24"/>
        <d v="2025-09-19T05:02:24"/>
        <d v="2025-09-19T17:02:24"/>
        <d v="2025-09-20T05:02:24"/>
        <d v="2025-09-20T17:02:24"/>
        <d v="2025-09-21T05:02:24"/>
        <d v="2025-09-21T17:02:24"/>
        <d v="2025-09-22T05:02:24"/>
        <d v="2025-09-22T17:02:24"/>
        <d v="2025-09-23T05:02:24"/>
        <d v="2025-09-23T17:02:24"/>
        <d v="2025-09-24T05:02:24"/>
        <d v="2025-09-24T17:02:24"/>
        <d v="2025-09-25T05:02:24"/>
        <d v="2025-09-25T17:02:24"/>
        <d v="2025-09-26T05:02:24"/>
        <d v="2025-09-26T17:02:24"/>
        <d v="2025-09-27T05:02:24"/>
        <d v="2025-09-27T17:02:24"/>
        <d v="2025-09-28T05:02:24"/>
        <d v="2025-09-28T17:02:24"/>
        <d v="2025-09-29T05:02:24"/>
        <d v="2025-09-29T17:02:24"/>
        <d v="2025-09-30T05:02:24"/>
        <d v="2025-09-30T17:02:24"/>
        <d v="2025-10-01T05:02:24"/>
        <d v="2025-10-01T17:02:24"/>
        <d v="2025-10-02T05:02:24"/>
        <d v="2025-10-02T17:02:24"/>
        <d v="2025-10-03T05:02:24"/>
        <d v="2025-10-03T17:02:24"/>
        <d v="2025-10-04T05:02:24"/>
        <d v="2025-10-04T17:02:24"/>
        <d v="2025-10-05T05:02:24"/>
      </sharedItems>
      <fieldGroup par="49"/>
    </cacheField>
    <cacheField name="Shift" numFmtId="0">
      <sharedItems/>
    </cacheField>
    <cacheField name="Hole ID" numFmtId="0">
      <sharedItems containsBlank="1"/>
    </cacheField>
    <cacheField name="Hole ID2" numFmtId="0">
      <sharedItems containsBlank="1"/>
    </cacheField>
    <cacheField name="Personel (incl driller) " numFmtId="0">
      <sharedItems containsString="0" containsBlank="1" containsNumber="1" containsInteger="1" minValue="3" maxValue="6"/>
    </cacheField>
    <cacheField name="Accom Cost" numFmtId="44">
      <sharedItems containsMixedTypes="1" containsNumber="1" containsInteger="1" minValue="390" maxValue="780"/>
    </cacheField>
    <cacheField name="Depth From" numFmtId="0">
      <sharedItems containsString="0" containsBlank="1" containsNumber="1" minValue="0" maxValue="101.1"/>
    </cacheField>
    <cacheField name="Depth To" numFmtId="0">
      <sharedItems containsString="0" containsBlank="1" containsNumber="1" minValue="0" maxValue="120.7"/>
    </cacheField>
    <cacheField name="Length" numFmtId="0">
      <sharedItems containsMixedTypes="1" containsNumber="1" minValue="0" maxValue="32.299999999999997"/>
    </cacheField>
    <cacheField name="Depth From3" numFmtId="0">
      <sharedItems containsString="0" containsBlank="1" containsNumber="1" minValue="0" maxValue="107.7"/>
    </cacheField>
    <cacheField name="Depth To4" numFmtId="0">
      <sharedItems containsString="0" containsBlank="1" containsNumber="1" minValue="1.7" maxValue="130"/>
    </cacheField>
    <cacheField name="Length5" numFmtId="0">
      <sharedItems containsSemiMixedTypes="0" containsString="0" containsNumber="1" minValue="0" maxValue="35.799999999999997"/>
    </cacheField>
    <cacheField name="Depth From6" numFmtId="0">
      <sharedItems containsString="0" containsBlank="1" containsNumber="1" containsInteger="1" minValue="0" maxValue="0"/>
    </cacheField>
    <cacheField name="Depth To7" numFmtId="0">
      <sharedItems containsString="0" containsBlank="1" containsNumber="1" containsInteger="1" minValue="0" maxValue="9"/>
    </cacheField>
    <cacheField name="Length8" numFmtId="0">
      <sharedItems containsSemiMixedTypes="0" containsString="0" containsNumber="1" containsInteger="1" minValue="0" maxValue="9"/>
    </cacheField>
    <cacheField name="Depth From9" numFmtId="0">
      <sharedItems containsString="0" containsBlank="1" containsNumber="1" containsInteger="1" minValue="0" maxValue="0"/>
    </cacheField>
    <cacheField name="Depth To10" numFmtId="0">
      <sharedItems containsString="0" containsBlank="1" containsNumber="1" containsInteger="1" minValue="2" maxValue="2"/>
    </cacheField>
    <cacheField name="Length11" numFmtId="0">
      <sharedItems containsSemiMixedTypes="0" containsString="0" containsNumber="1" containsInteger="1" minValue="0" maxValue="2"/>
    </cacheField>
    <cacheField name="Total Length PQ" numFmtId="0">
      <sharedItems containsSemiMixedTypes="0" containsString="0" containsNumber="1" minValue="0" maxValue="32.299999999999997"/>
    </cacheField>
    <cacheField name="Total Length HQ" numFmtId="0">
      <sharedItems containsSemiMixedTypes="0" containsString="0" containsNumber="1" minValue="0" maxValue="35.799999999999997"/>
    </cacheField>
    <cacheField name="Total Length" numFmtId="0">
      <sharedItems containsMixedTypes="1" containsNumber="1" minValue="0" maxValue="35.799999999999997"/>
    </cacheField>
    <cacheField name="Drilling Cost" numFmtId="44">
      <sharedItems containsMixedTypes="1" containsNumber="1" minValue="0" maxValue="5652.4999999999991"/>
    </cacheField>
    <cacheField name="Charged Drilling Cost" numFmtId="4">
      <sharedItems containsMixedTypes="1" containsNumber="1" minValue="0" maxValue="5652.4999999999991"/>
    </cacheField>
    <cacheField name="PQ Ori Tool" numFmtId="0">
      <sharedItems containsString="0" containsBlank="1" containsNumber="1" containsInteger="1" minValue="1" maxValue="1"/>
    </cacheField>
    <cacheField name="HQ Ori Tool" numFmtId="0">
      <sharedItems containsString="0" containsBlank="1" containsNumber="1" containsInteger="1" minValue="1" maxValue="1"/>
    </cacheField>
    <cacheField name="Gyro Tool" numFmtId="0">
      <sharedItems containsString="0" containsBlank="1" containsNumber="1" containsInteger="1" minValue="1" maxValue="1"/>
    </cacheField>
    <cacheField name="Tool ID" numFmtId="0">
      <sharedItems containsString="0" containsBlank="1" containsNumber="1" containsInteger="1" minValue="13170" maxValue="13170"/>
    </cacheField>
    <cacheField name="Tool Hire Cost" numFmtId="0">
      <sharedItems containsString="0" containsBlank="1" containsNumber="1" containsInteger="1" minValue="0" maxValue="750"/>
    </cacheField>
    <cacheField name="Drill Time" numFmtId="0">
      <sharedItems containsString="0" containsBlank="1" containsNumber="1" minValue="0" maxValue="11"/>
    </cacheField>
    <cacheField name="Active hours (Other than drilling)" numFmtId="0">
      <sharedItems containsString="0" containsBlank="1" containsNumber="1" minValue="0" maxValue="11.5"/>
    </cacheField>
    <cacheField name="Active Hours total Cost" numFmtId="44">
      <sharedItems containsSemiMixedTypes="0" containsString="0" containsNumber="1" containsInteger="1" minValue="0" maxValue="5290"/>
    </cacheField>
    <cacheField name="Inactive Hours (Other than client standby)" numFmtId="0">
      <sharedItems containsString="0" containsBlank="1" containsNumber="1" minValue="0.25" maxValue="5"/>
    </cacheField>
    <cacheField name="Standby Total Hours" numFmtId="0">
      <sharedItems containsString="0" containsBlank="1" containsNumber="1" minValue="1" maxValue="9.5"/>
    </cacheField>
    <cacheField name="Standby &amp; Inactive Total Cost" numFmtId="44">
      <sharedItems containsSemiMixedTypes="0" containsString="0" containsNumber="1" minValue="0" maxValue="1980"/>
    </cacheField>
    <cacheField name="Uncharged Hours" numFmtId="0">
      <sharedItems containsString="0" containsBlank="1" containsNumber="1" minValue="0.5" maxValue="8.5"/>
    </cacheField>
    <cacheField name="Maintenance" numFmtId="0">
      <sharedItems containsString="0" containsBlank="1" containsNumber="1" minValue="0.5" maxValue="5.5"/>
    </cacheField>
    <cacheField name="Total Daily Hours" numFmtId="0">
      <sharedItems containsMixedTypes="1" containsNumber="1" containsInteger="1" minValue="11" maxValue="12"/>
    </cacheField>
    <cacheField name="Total Activity Hours Cost" numFmtId="44">
      <sharedItems containsSemiMixedTypes="0" containsString="0" containsNumber="1" containsInteger="1" minValue="0" maxValue="5470"/>
    </cacheField>
    <cacheField name="***Insert Total Consumable Costs***" numFmtId="44">
      <sharedItems containsString="0" containsBlank="1" containsNumber="1" minValue="390" maxValue="14376.12"/>
    </cacheField>
    <cacheField name="Total Consumables Cost (-accom)" numFmtId="44">
      <sharedItems containsString="0" containsBlank="1" containsNumber="1" minValue="0" maxValue="13986.12"/>
    </cacheField>
    <cacheField name="Total Costs" numFmtId="165">
      <sharedItems containsSemiMixedTypes="0" containsString="0" containsNumber="1" minValue="0" maxValue="19846.120000000003"/>
    </cacheField>
    <cacheField name="Plod Cost (Comparison)" numFmtId="165">
      <sharedItems containsString="0" containsBlank="1" containsNumber="1" minValue="0" maxValue="19846.12"/>
    </cacheField>
    <cacheField name="Cummulative Cost" numFmtId="165">
      <sharedItems containsSemiMixedTypes="0" containsString="0" containsNumber="1" minValue="1260" maxValue="424427.97999999992"/>
    </cacheField>
    <cacheField name="Month" numFmtId="0">
      <sharedItems/>
    </cacheField>
    <cacheField name="Day" numFmtId="0">
      <sharedItems containsSemiMixedTypes="0" containsString="0" containsNumber="1" containsInteger="1" minValue="1" maxValue="31"/>
    </cacheField>
    <cacheField name="Shift Shorthand" numFmtId="0">
      <sharedItems/>
    </cacheField>
    <cacheField name="Days (Date)" numFmtId="0" databaseField="0">
      <fieldGroup base="2">
        <rangePr groupBy="days" startDate="2025-07-05T00:00:00" endDate="2025-10-05T05:02:24"/>
        <groupItems count="368">
          <s v="&lt;5/07/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10/2025"/>
        </groupItems>
      </fieldGroup>
    </cacheField>
    <cacheField name="Months (Date)" numFmtId="0" databaseField="0">
      <fieldGroup base="2">
        <rangePr groupBy="months" startDate="2025-07-05T00:00:00" endDate="2025-10-05T05:02:24"/>
        <groupItems count="14">
          <s v="&lt;5/07/2025"/>
          <s v="Jan"/>
          <s v="Feb"/>
          <s v="Mar"/>
          <s v="Apr"/>
          <s v="May"/>
          <s v="Jun"/>
          <s v="Jul"/>
          <s v="Aug"/>
          <s v="Sep"/>
          <s v="Oct"/>
          <s v="Nov"/>
          <s v="Dec"/>
          <s v="&gt;5/10/2025"/>
        </groupItems>
      </fieldGroup>
    </cacheField>
  </cacheFields>
  <extLst>
    <ext xmlns:x14="http://schemas.microsoft.com/office/spreadsheetml/2009/9/main" uri="{725AE2AE-9491-48be-B2B4-4EB974FC3084}">
      <x14:pivotCacheDefinition pivotCacheId="204411562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Walsh" refreshedDate="45883.354167361111" createdVersion="8" refreshedVersion="8" minRefreshableVersion="3" recordCount="238" xr:uid="{BE86A715-3AB3-41D3-A41A-9DF6BC8DC33C}">
  <cacheSource type="worksheet">
    <worksheetSource ref="C4:AS242" sheet="DDH1 RIG 38"/>
  </cacheSource>
  <cacheFields count="43">
    <cacheField name="Hole Type" numFmtId="0">
      <sharedItems containsBlank="1" count="6">
        <s v="Index"/>
        <s v=""/>
        <s v="MET"/>
        <m/>
        <s v="GT"/>
        <s v="DDRD"/>
      </sharedItems>
    </cacheField>
    <cacheField name="Date" numFmtId="0">
      <sharedItems containsDate="1" containsMixedTypes="1" minDate="1899-12-31T04:01:03" maxDate="2025-10-30T17:02:24"/>
    </cacheField>
    <cacheField name="Shift" numFmtId="0">
      <sharedItems containsMixedTypes="1" containsNumber="1" containsInteger="1" minValue="2" maxValue="2"/>
    </cacheField>
    <cacheField name="Hole ID" numFmtId="0">
      <sharedItems containsBlank="1" containsMixedTypes="1" containsNumber="1" containsInteger="1" minValue="3" maxValue="3"/>
    </cacheField>
    <cacheField name="Hole ID2" numFmtId="0">
      <sharedItems containsBlank="1" containsMixedTypes="1" containsNumber="1" containsInteger="1" minValue="4" maxValue="4"/>
    </cacheField>
    <cacheField name="Driller Name " numFmtId="0">
      <sharedItems containsBlank="1" containsMixedTypes="1" containsNumber="1" containsInteger="1" minValue="5" maxValue="5"/>
    </cacheField>
    <cacheField name="Personel (incl driller) " numFmtId="0">
      <sharedItems containsBlank="1" containsMixedTypes="1" containsNumber="1" containsInteger="1" minValue="3" maxValue="6"/>
    </cacheField>
    <cacheField name="Accom Cost" numFmtId="0">
      <sharedItems containsBlank="1" containsMixedTypes="1" containsNumber="1" containsInteger="1" minValue="7" maxValue="780"/>
    </cacheField>
    <cacheField name="Depth From" numFmtId="0">
      <sharedItems containsBlank="1" containsMixedTypes="1" containsNumber="1" minValue="0" maxValue="101.1"/>
    </cacheField>
    <cacheField name="Depth To" numFmtId="0">
      <sharedItems containsBlank="1" containsMixedTypes="1" containsNumber="1" minValue="0" maxValue="120.7"/>
    </cacheField>
    <cacheField name="Length" numFmtId="0">
      <sharedItems containsBlank="1" containsMixedTypes="1" containsNumber="1" minValue="0" maxValue="32.299999999999997" count="42">
        <n v="10"/>
        <s v=""/>
        <n v="0"/>
        <n v="11"/>
        <n v="15.600000000000001"/>
        <n v="7.1000000000000014"/>
        <n v="30"/>
        <n v="20.399999999999991"/>
        <n v="15.600000000000009"/>
        <n v="19"/>
        <n v="16.5"/>
        <n v="22.9"/>
        <n v="21.200000000000003"/>
        <n v="13.199999999999996"/>
        <n v="27.299999999999997"/>
        <n v="19.600000000000009"/>
        <n v="20.5"/>
        <n v="30.099999999999994"/>
        <n v="21.8"/>
        <n v="26.2"/>
        <n v="27.700000000000003"/>
        <n v="6"/>
        <n v="14.9"/>
        <n v="30.700000000000003"/>
        <n v="29.999999999999993"/>
        <n v="3.7"/>
        <n v="16.400000000000002"/>
        <n v="7.5999999999999979"/>
        <n v="27.400000000000002"/>
        <n v="29.6"/>
        <n v="16.399999999999991"/>
        <n v="6.4"/>
        <n v="14.3"/>
        <n v="4.5"/>
        <n v="17.8"/>
        <n v="32.299999999999997"/>
        <n v="5.7"/>
        <n v="2.7"/>
        <n v="31.300000000000004"/>
        <n v="10.699999999999996"/>
        <m/>
        <s v="END OF SHEET"/>
      </sharedItems>
    </cacheField>
    <cacheField name="Depth From2" numFmtId="0">
      <sharedItems containsBlank="1" containsMixedTypes="1" containsNumber="1" minValue="0" maxValue="107.7"/>
    </cacheField>
    <cacheField name="Depth To2" numFmtId="0">
      <sharedItems containsBlank="1" containsMixedTypes="1" containsNumber="1" minValue="1.7" maxValue="130"/>
    </cacheField>
    <cacheField name="Length2" numFmtId="0">
      <sharedItems containsBlank="1" containsMixedTypes="1" containsNumber="1" minValue="0" maxValue="36"/>
    </cacheField>
    <cacheField name="Depth From3" numFmtId="0">
      <sharedItems containsBlank="1" containsMixedTypes="1" containsNumber="1" containsInteger="1" minValue="0" maxValue="14"/>
    </cacheField>
    <cacheField name="Depth To3" numFmtId="0">
      <sharedItems containsBlank="1" containsMixedTypes="1" containsNumber="1" containsInteger="1" minValue="0" maxValue="15"/>
    </cacheField>
    <cacheField name="Length3" numFmtId="0">
      <sharedItems containsBlank="1" containsMixedTypes="1" containsNumber="1" containsInteger="1" minValue="0" maxValue="16"/>
    </cacheField>
    <cacheField name="Depth From4" numFmtId="0">
      <sharedItems containsBlank="1" containsMixedTypes="1" containsNumber="1" containsInteger="1" minValue="0" maxValue="17"/>
    </cacheField>
    <cacheField name="Depth To4" numFmtId="0">
      <sharedItems containsBlank="1" containsMixedTypes="1" containsNumber="1" containsInteger="1" minValue="0" maxValue="18"/>
    </cacheField>
    <cacheField name="Length4" numFmtId="0">
      <sharedItems containsBlank="1" containsMixedTypes="1" containsNumber="1" containsInteger="1" minValue="0" maxValue="19"/>
    </cacheField>
    <cacheField name="Total Length" numFmtId="0">
      <sharedItems containsBlank="1" containsMixedTypes="1" containsNumber="1" minValue="0" maxValue="36"/>
    </cacheField>
    <cacheField name="Drilling Cost" numFmtId="0">
      <sharedItems containsMixedTypes="1" containsNumber="1" minValue="0" maxValue="5652.4999999999991"/>
    </cacheField>
    <cacheField name="Charged Drilling Cost" numFmtId="0">
      <sharedItems containsMixedTypes="1" containsNumber="1" minValue="0" maxValue="5652.4999999999991"/>
    </cacheField>
    <cacheField name="PQ Ori Tool" numFmtId="0">
      <sharedItems containsString="0" containsBlank="1" containsNumber="1" containsInteger="1" minValue="1" maxValue="1"/>
    </cacheField>
    <cacheField name="HQ Ori Tool" numFmtId="0">
      <sharedItems containsBlank="1" containsMixedTypes="1" containsNumber="1" containsInteger="1" minValue="1" maxValue="22"/>
    </cacheField>
    <cacheField name="Gyro Tool" numFmtId="0">
      <sharedItems containsBlank="1" containsMixedTypes="1" containsNumber="1" containsInteger="1" minValue="1" maxValue="23"/>
    </cacheField>
    <cacheField name="Tool ID" numFmtId="0">
      <sharedItems containsBlank="1" containsMixedTypes="1" containsNumber="1" containsInteger="1" minValue="24" maxValue="13170"/>
    </cacheField>
    <cacheField name="Tool Hire Cost" numFmtId="0">
      <sharedItems containsString="0" containsBlank="1" containsNumber="1" containsInteger="1" minValue="0" maxValue="750"/>
    </cacheField>
    <cacheField name="Drill Time" numFmtId="0">
      <sharedItems containsBlank="1" containsMixedTypes="1" containsNumber="1" minValue="0" maxValue="25"/>
    </cacheField>
    <cacheField name="Active hours (Other than drilling)" numFmtId="0">
      <sharedItems containsBlank="1" containsMixedTypes="1" containsNumber="1" minValue="0" maxValue="26"/>
    </cacheField>
    <cacheField name="Comment (IF less than 10hours EXPLAIN)" numFmtId="0">
      <sharedItems containsBlank="1" containsMixedTypes="1" containsNumber="1" containsInteger="1" minValue="27" maxValue="27"/>
    </cacheField>
    <cacheField name="Inactive Hours (Other than client standby)" numFmtId="0">
      <sharedItems containsBlank="1" containsMixedTypes="1" containsNumber="1" minValue="0.25" maxValue="28"/>
    </cacheField>
    <cacheField name="Standby Total Hours" numFmtId="0">
      <sharedItems containsBlank="1" containsMixedTypes="1" containsNumber="1" minValue="1" maxValue="29"/>
    </cacheField>
    <cacheField name="Comment (IF more than 2 hours EXPLAIN)" numFmtId="0">
      <sharedItems containsBlank="1" containsMixedTypes="1" containsNumber="1" containsInteger="1" minValue="30" maxValue="30"/>
    </cacheField>
    <cacheField name="Uncharged Hours" numFmtId="0">
      <sharedItems containsBlank="1" containsMixedTypes="1" containsNumber="1" minValue="0.5" maxValue="31"/>
    </cacheField>
    <cacheField name="Maintenance" numFmtId="0">
      <sharedItems containsBlank="1" containsMixedTypes="1" containsNumber="1" minValue="0.5" maxValue="32"/>
    </cacheField>
    <cacheField name="Comments" numFmtId="0">
      <sharedItems containsBlank="1"/>
    </cacheField>
    <cacheField name="Total Daily Hours" numFmtId="0">
      <sharedItems containsBlank="1" containsMixedTypes="1" containsNumber="1" containsInteger="1" minValue="11" maxValue="33"/>
    </cacheField>
    <cacheField name="Comments (IF not 12hrs EXPLAIN)" numFmtId="0">
      <sharedItems containsBlank="1" containsMixedTypes="1" containsNumber="1" containsInteger="1" minValue="34" maxValue="34"/>
    </cacheField>
    <cacheField name="Total Activity Hours Cost" numFmtId="0">
      <sharedItems containsBlank="1" containsMixedTypes="1" containsNumber="1" containsInteger="1" minValue="0" maxValue="5470"/>
    </cacheField>
    <cacheField name="***Insert Total Consumable Costs***" numFmtId="0">
      <sharedItems containsString="0" containsBlank="1" containsNumber="1" minValue="390" maxValue="14376.12"/>
    </cacheField>
    <cacheField name="Total Consumables Cost (-accom)" numFmtId="0">
      <sharedItems containsBlank="1" containsMixedTypes="1" containsNumber="1" minValue="0" maxValue="13986.12"/>
    </cacheField>
    <cacheField name="Total Costs" numFmtId="0">
      <sharedItems containsBlank="1" containsMixedTypes="1" containsNumber="1" minValue="0" maxValue="19846.120000000003" count="62">
        <n v="37"/>
        <n v="1260"/>
        <n v="0"/>
        <n v="6631"/>
        <n v="7096.34"/>
        <n v="4622.93"/>
        <n v="2550"/>
        <n v="6282.93"/>
        <n v="6862.99"/>
        <n v="6636.68"/>
        <n v="6435"/>
        <n v="6256.12"/>
        <n v="6356.79"/>
        <n v="5747.93"/>
        <n v="6488.23"/>
        <n v="5977.93"/>
        <n v="6095.86"/>
        <n v="7734.5599999999995"/>
        <n v="6648.9899999999989"/>
        <n v="6720"/>
        <n v="6225.4300000000012"/>
        <n v="6385"/>
        <n v="6316.55"/>
        <n v="6862.5000000000009"/>
        <n v="6397.9299999999994"/>
        <n v="6205"/>
        <n v="6144.05"/>
        <n v="6586.79"/>
        <n v="5219.05"/>
        <n v="3100"/>
        <n v="5860"/>
        <n v="7041.06"/>
        <n v="6291.06"/>
        <n v="5410"/>
        <n v="6235"/>
        <n v="5460"/>
        <n v="5705"/>
        <n v="6316.61"/>
        <n v="5630"/>
        <n v="3905"/>
        <n v="4617.5"/>
        <n v="5435"/>
        <n v="6135"/>
        <n v="19846.120000000003"/>
        <n v="6800"/>
        <n v="6800.7"/>
        <n v="6610"/>
        <n v="6510"/>
        <n v="7317.4999999999991"/>
        <n v="4917.5"/>
        <n v="3226.12"/>
        <n v="6277.5000000000009"/>
        <n v="6642.4999999999991"/>
        <n v="10728"/>
        <n v="6208.5599999999995"/>
        <n v="5970.5"/>
        <n v="6026.12"/>
        <n v="7488.93"/>
        <n v="6560"/>
        <n v="6303.68"/>
        <m/>
        <s v="END OF SHEET"/>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Walsh" refreshedDate="45883.360203703705" createdVersion="8" refreshedVersion="8" minRefreshableVersion="3" recordCount="282" xr:uid="{5F4CB333-4D10-44F9-A9CA-C5B55EDE1352}">
  <cacheSource type="worksheet">
    <worksheetSource ref="C4:AT296" sheet="DDH1 RIG 41"/>
  </cacheSource>
  <cacheFields count="44">
    <cacheField name="Hole Type" numFmtId="0">
      <sharedItems containsDate="1" containsBlank="1" containsMixedTypes="1" minDate="2025-06-13T17:02:24" maxDate="2025-06-16T17:02:24" count="9">
        <s v="Index"/>
        <s v="MET"/>
        <d v="2025-06-13T17:02:24"/>
        <d v="2025-06-14T17:02:24"/>
        <d v="2025-06-15T17:02:24"/>
        <d v="2025-06-16T17:02:24"/>
        <s v="GT"/>
        <s v="DDRD"/>
        <m/>
      </sharedItems>
    </cacheField>
    <cacheField name="Date" numFmtId="0">
      <sharedItems containsDate="1" containsMixedTypes="1" minDate="1899-12-31T04:01:03" maxDate="2025-10-30T17:02:24"/>
    </cacheField>
    <cacheField name="Shift" numFmtId="0">
      <sharedItems containsMixedTypes="1" containsNumber="1" containsInteger="1" minValue="2" maxValue="2"/>
    </cacheField>
    <cacheField name="Hole ID" numFmtId="0">
      <sharedItems containsBlank="1" containsMixedTypes="1" containsNumber="1" containsInteger="1" minValue="3" maxValue="3"/>
    </cacheField>
    <cacheField name="Hole ID2" numFmtId="0">
      <sharedItems containsBlank="1" containsMixedTypes="1" containsNumber="1" containsInteger="1" minValue="4" maxValue="4"/>
    </cacheField>
    <cacheField name="Driller Name " numFmtId="0">
      <sharedItems containsBlank="1" containsMixedTypes="1" containsNumber="1" containsInteger="1" minValue="5" maxValue="5"/>
    </cacheField>
    <cacheField name="Personel (incl driller) " numFmtId="0">
      <sharedItems containsBlank="1" containsMixedTypes="1" containsNumber="1" containsInteger="1" minValue="0" maxValue="6"/>
    </cacheField>
    <cacheField name="Accom Cost" numFmtId="0">
      <sharedItems containsBlank="1" containsMixedTypes="1" containsNumber="1" containsInteger="1" minValue="0" maxValue="650"/>
    </cacheField>
    <cacheField name="Depth From" numFmtId="0">
      <sharedItems containsBlank="1" containsMixedTypes="1" containsNumber="1" minValue="0" maxValue="117.6"/>
    </cacheField>
    <cacheField name="Depth To" numFmtId="0">
      <sharedItems containsBlank="1" containsMixedTypes="1" containsNumber="1" minValue="1.8" maxValue="120.5"/>
    </cacheField>
    <cacheField name="Length" numFmtId="0">
      <sharedItems containsBlank="1" containsMixedTypes="1" containsNumber="1" minValue="0" maxValue="33" count="73">
        <n v="10"/>
        <s v=""/>
        <n v="24.5"/>
        <n v="27"/>
        <n v="28.5"/>
        <n v="27.5"/>
        <n v="31.799999999999997"/>
        <n v="20.700000000000003"/>
        <n v="1.9"/>
        <n v="19.5"/>
        <n v="30"/>
        <n v="28.6"/>
        <n v="24.200000000000003"/>
        <n v="5.7999999999999972"/>
        <n v="12"/>
        <n v="30.6"/>
        <n v="6"/>
        <n v="3.1999999999999957"/>
        <n v="0"/>
        <n v="18.100000000000001"/>
        <n v="25.799999999999997"/>
        <n v="31.500000000000007"/>
        <n v="4.5999999999999943"/>
        <n v="15.4"/>
        <n v="17.100000000000001"/>
        <n v="1.8"/>
        <n v="18.399999999999999"/>
        <n v="21.599999999999998"/>
        <n v="8.2000000000000028"/>
        <n v="5.6000000000000014"/>
        <n v="8.3999999999999986"/>
        <n v="11.2"/>
        <n v="19.200000000000003"/>
        <n v="23.299999999999997"/>
        <n v="15.199999999999996"/>
        <n v="17.900000000000006"/>
        <n v="8.2999999999999972"/>
        <n v="26.4"/>
        <n v="27.000000000000007"/>
        <n v="9.5999999999999943"/>
        <n v="11.400000000000006"/>
        <n v="7.9"/>
        <n v="19.600000000000001"/>
        <n v="18"/>
        <n v="10.200000000000003"/>
        <n v="10.799999999999997"/>
        <n v="21"/>
        <n v="3"/>
        <n v="14.5"/>
        <n v="12.699999999999989"/>
        <n v="24"/>
        <n v="2.6000000000000085"/>
        <n v="13.8"/>
        <n v="33"/>
        <n v="11.5"/>
        <n v="21.799999999999997"/>
        <n v="18.2"/>
        <n v="21.000000000000004"/>
        <n v="11.099999999999994"/>
        <n v="5.5"/>
        <n v="22.400000000000006"/>
        <n v="7.2999999999999972"/>
        <n v="30.3"/>
        <n v="29.999999999999993"/>
        <n v="18.400000000000006"/>
        <n v="9.6"/>
        <n v="15.000000000000002"/>
        <n v="25.699999999999996"/>
        <n v="12.5"/>
        <n v="17.299999999999997"/>
        <n v="6.1000000000000085"/>
        <m/>
        <s v="END OF SHEET"/>
      </sharedItems>
    </cacheField>
    <cacheField name="Depth From2" numFmtId="0">
      <sharedItems containsBlank="1" containsMixedTypes="1" containsNumber="1" minValue="0" maxValue="108.5"/>
    </cacheField>
    <cacheField name="Depth To2" numFmtId="0">
      <sharedItems containsBlank="1" containsMixedTypes="1" containsNumber="1" minValue="3.9" maxValue="130.69999999999999"/>
    </cacheField>
    <cacheField name="Length2" numFmtId="0">
      <sharedItems containsBlank="1" containsMixedTypes="1" containsNumber="1" minValue="0" maxValue="34.799999999999997"/>
    </cacheField>
    <cacheField name="Depth From3" numFmtId="0">
      <sharedItems containsBlank="1" containsMixedTypes="1" containsNumber="1" containsInteger="1" minValue="0" maxValue="14"/>
    </cacheField>
    <cacheField name="Depth To3" numFmtId="0">
      <sharedItems containsBlank="1" containsMixedTypes="1" containsNumber="1" minValue="0" maxValue="15"/>
    </cacheField>
    <cacheField name="Length3" numFmtId="0">
      <sharedItems containsBlank="1" containsMixedTypes="1" containsNumber="1" minValue="0" maxValue="16"/>
    </cacheField>
    <cacheField name="Depth From4" numFmtId="0">
      <sharedItems containsBlank="1" containsMixedTypes="1" containsNumber="1" containsInteger="1" minValue="0" maxValue="17"/>
    </cacheField>
    <cacheField name="Depth To4" numFmtId="0">
      <sharedItems containsBlank="1" containsMixedTypes="1" containsNumber="1" containsInteger="1" minValue="0" maxValue="18"/>
    </cacheField>
    <cacheField name="Length4" numFmtId="0">
      <sharedItems containsBlank="1" containsMixedTypes="1" containsNumber="1" containsInteger="1" minValue="0" maxValue="19"/>
    </cacheField>
    <cacheField name="Total Length" numFmtId="0">
      <sharedItems containsBlank="1" containsMixedTypes="1" containsNumber="1" minValue="0" maxValue="34.799999999999997"/>
    </cacheField>
    <cacheField name="Drilling Cost" numFmtId="0">
      <sharedItems containsMixedTypes="1" containsNumber="1" minValue="0" maxValue="5775"/>
    </cacheField>
    <cacheField name="Charged Drilling Cost" numFmtId="0">
      <sharedItems containsMixedTypes="1" containsNumber="1" minValue="0" maxValue="5775"/>
    </cacheField>
    <cacheField name="PQ Ori" numFmtId="0">
      <sharedItems containsString="0" containsBlank="1" containsNumber="1" containsInteger="1" minValue="1" maxValue="1"/>
    </cacheField>
    <cacheField name="HQ Ori " numFmtId="0">
      <sharedItems containsBlank="1" containsMixedTypes="1" containsNumber="1" containsInteger="1" minValue="1" maxValue="22"/>
    </cacheField>
    <cacheField name="Gyro Tool" numFmtId="0">
      <sharedItems containsBlank="1" containsMixedTypes="1" containsNumber="1" containsInteger="1" minValue="1" maxValue="23"/>
    </cacheField>
    <cacheField name="Tool ID" numFmtId="0">
      <sharedItems containsBlank="1" containsMixedTypes="1" containsNumber="1" containsInteger="1" minValue="24" maxValue="13122"/>
    </cacheField>
    <cacheField name="Total tool Cost" numFmtId="0">
      <sharedItems containsString="0" containsBlank="1" containsNumber="1" containsInteger="1" minValue="0" maxValue="750"/>
    </cacheField>
    <cacheField name="Drill Time" numFmtId="0">
      <sharedItems containsBlank="1" containsMixedTypes="1" containsNumber="1" minValue="0" maxValue="25"/>
    </cacheField>
    <cacheField name="Active hours (Other than drilling)" numFmtId="0">
      <sharedItems containsBlank="1" containsMixedTypes="1" containsNumber="1" minValue="0.25" maxValue="26"/>
    </cacheField>
    <cacheField name="Comment (IF less than 10hours EXPLAIN)" numFmtId="0">
      <sharedItems containsBlank="1" containsMixedTypes="1" containsNumber="1" containsInteger="1" minValue="27" maxValue="27"/>
    </cacheField>
    <cacheField name="Inactive Hours (Other than client standby)" numFmtId="0">
      <sharedItems containsBlank="1" containsMixedTypes="1" containsNumber="1" minValue="0.25" maxValue="28"/>
    </cacheField>
    <cacheField name="Standby Total Hours" numFmtId="0">
      <sharedItems containsBlank="1" containsMixedTypes="1" containsNumber="1" minValue="0.25" maxValue="29"/>
    </cacheField>
    <cacheField name="Comment (IF more than 2 hours EXPLAIN)" numFmtId="0">
      <sharedItems containsBlank="1" containsMixedTypes="1" containsNumber="1" containsInteger="1" minValue="30" maxValue="30"/>
    </cacheField>
    <cacheField name="Uncharged Hours" numFmtId="0">
      <sharedItems containsBlank="1" containsMixedTypes="1" containsNumber="1" minValue="0.25" maxValue="31"/>
    </cacheField>
    <cacheField name="Maintenance" numFmtId="0">
      <sharedItems containsBlank="1" containsMixedTypes="1" containsNumber="1" minValue="0.5" maxValue="32"/>
    </cacheField>
    <cacheField name="Comments" numFmtId="0">
      <sharedItems containsBlank="1"/>
    </cacheField>
    <cacheField name="Total Daily Hours" numFmtId="0">
      <sharedItems containsBlank="1" containsMixedTypes="1" containsNumber="1" containsInteger="1" minValue="0" maxValue="33"/>
    </cacheField>
    <cacheField name="Comments (IF not 12hrs EXPLAIN)" numFmtId="0">
      <sharedItems containsBlank="1" containsMixedTypes="1" containsNumber="1" containsInteger="1" minValue="34" maxValue="34"/>
    </cacheField>
    <cacheField name="Total Activity Hours Cost" numFmtId="0">
      <sharedItems containsBlank="1" containsMixedTypes="1" containsNumber="1" containsInteger="1" minValue="0" maxValue="5395"/>
    </cacheField>
    <cacheField name="***Insert Total Consumable Costs***" numFmtId="44">
      <sharedItems containsString="0" containsBlank="1" containsNumber="1" minValue="390" maxValue="21975"/>
    </cacheField>
    <cacheField name="Total Consumables Cost (-Accom)" numFmtId="0">
      <sharedItems containsBlank="1" containsMixedTypes="1" containsNumber="1" minValue="0" maxValue="21585"/>
    </cacheField>
    <cacheField name="Total Costs" numFmtId="0">
      <sharedItems containsBlank="1" containsMixedTypes="1" containsNumber="1" minValue="0" maxValue="28007.5" count="96">
        <n v="37"/>
        <n v="750"/>
        <n v="0"/>
        <n v="3270"/>
        <n v="4645"/>
        <n v="6665"/>
        <n v="5435"/>
        <n v="7425.14"/>
        <n v="6098.98"/>
        <n v="8376.43"/>
        <n v="7243.5"/>
        <n v="8300.7199999999993"/>
        <n v="6130.43"/>
        <n v="6315"/>
        <n v="6582.65"/>
        <n v="6955"/>
        <n v="6102.93"/>
        <n v="6765"/>
        <n v="5817"/>
        <n v="7165.08"/>
        <n v="6567"/>
        <n v="2985"/>
        <n v="5885"/>
        <n v="7643.93"/>
        <n v="7223.35"/>
        <n v="6292.22"/>
        <n v="7220.4300000000012"/>
        <n v="5402.93"/>
        <n v="7341.12"/>
        <n v="6190"/>
        <n v="7541.68"/>
        <n v="5135"/>
        <n v="4961"/>
        <n v="6280"/>
        <n v="6585"/>
        <n v="7116"/>
        <n v="5935"/>
        <n v="6925.49"/>
        <n v="5902.93"/>
        <n v="6752.93"/>
        <n v="5772.93"/>
        <n v="7283.93"/>
        <n v="5472.93"/>
        <n v="6907.05"/>
        <n v="5952.93"/>
        <n v="6870.86"/>
        <n v="5972.9300000000012"/>
        <n v="3885.86"/>
        <n v="5871.4900000000007"/>
        <n v="6190.72"/>
        <n v="6300.8"/>
        <n v="7009.72"/>
        <n v="5977.93"/>
        <n v="6894.72"/>
        <n v="5747.93"/>
        <n v="6805"/>
        <n v="6830"/>
        <n v="6071.49"/>
        <n v="6887.4"/>
        <n v="7360.93"/>
        <n v="1465"/>
        <n v="7267.93"/>
        <n v="6410"/>
        <n v="6197.93"/>
        <n v="6527.93"/>
        <n v="6467.93"/>
        <n v="6360"/>
        <n v="6180"/>
        <n v="5998.7"/>
        <n v="6945.9999999999991"/>
        <n v="5860"/>
        <n v="5772.5"/>
        <n v="7091.12"/>
        <n v="6217.5"/>
        <n v="7181.2"/>
        <n v="4137.93"/>
        <n v="1350"/>
        <n v="5835"/>
        <n v="6674.57"/>
        <n v="28007.5"/>
        <n v="7854.9999999999991"/>
        <n v="6055"/>
        <n v="5605"/>
        <n v="6602.93"/>
        <n v="6723.7"/>
        <n v="6853.7"/>
        <n v="5899.5"/>
        <n v="7762.75"/>
        <n v="6793.7"/>
        <n v="5839.5"/>
        <n v="6493.7"/>
        <n v="6661.5"/>
        <n v="6885.0000000000009"/>
        <e v="#VALUE!"/>
        <m/>
        <s v="END OF SHEET"/>
      </sharedItems>
    </cacheField>
    <cacheField name="Total Cost Charged (Plod)" numFmtId="0">
      <sharedItems containsString="0" containsBlank="1" containsNumber="1" minValue="0" maxValue="28007.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Walsh" refreshedDate="45883.361741666668" createdVersion="8" refreshedVersion="8" minRefreshableVersion="3" recordCount="258" xr:uid="{303110E4-BD54-4DD1-9AAF-2F10525DD57E}">
  <cacheSource type="worksheet">
    <worksheetSource ref="C4:AM262" sheet="STR RIG 18"/>
  </cacheSource>
  <cacheFields count="37">
    <cacheField name="Hole Purpose" numFmtId="0">
      <sharedItems containsBlank="1" count="4">
        <s v="Index"/>
        <s v="INF"/>
        <s v="EXT"/>
        <m/>
      </sharedItems>
    </cacheField>
    <cacheField name="Date" numFmtId="0">
      <sharedItems containsSemiMixedTypes="0" containsDate="1" containsString="0" containsMixedTypes="1" minDate="1899-12-31T04:01:03" maxDate="2026-03-06T00:00:00"/>
    </cacheField>
    <cacheField name="Hole ID" numFmtId="0">
      <sharedItems containsBlank="1" containsMixedTypes="1" containsNumber="1" containsInteger="1" minValue="2" maxValue="2"/>
    </cacheField>
    <cacheField name="Hole ID2" numFmtId="0">
      <sharedItems containsBlank="1" containsMixedTypes="1" containsNumber="1" containsInteger="1" minValue="3" maxValue="3"/>
    </cacheField>
    <cacheField name="Hole ID3" numFmtId="0">
      <sharedItems containsBlank="1" containsMixedTypes="1" containsNumber="1" containsInteger="1" minValue="4" maxValue="4"/>
    </cacheField>
    <cacheField name="Hole ID4" numFmtId="0">
      <sharedItems containsBlank="1" containsMixedTypes="1" containsNumber="1" containsInteger="1" minValue="5" maxValue="5"/>
    </cacheField>
    <cacheField name="Driller Name " numFmtId="0">
      <sharedItems containsBlank="1" containsMixedTypes="1" containsNumber="1" containsInteger="1" minValue="6" maxValue="6"/>
    </cacheField>
    <cacheField name="Personel (incl driller) " numFmtId="0">
      <sharedItems containsString="0" containsBlank="1" containsNumber="1" containsInteger="1" minValue="3" maxValue="7"/>
    </cacheField>
    <cacheField name="Accom Cost" numFmtId="0">
      <sharedItems containsString="0" containsBlank="1" containsNumber="1" containsInteger="1" minValue="0" maxValue="650"/>
    </cacheField>
    <cacheField name="0-50m" numFmtId="0">
      <sharedItems containsString="0" containsBlank="1" containsNumber="1" containsInteger="1" minValue="0" maxValue="146"/>
    </cacheField>
    <cacheField name="50m-100m" numFmtId="0">
      <sharedItems containsString="0" containsBlank="1" containsNumber="1" containsInteger="1" minValue="0" maxValue="100"/>
    </cacheField>
    <cacheField name="100m-150m" numFmtId="0">
      <sharedItems containsString="0" containsBlank="1" containsNumber="1" containsInteger="1" minValue="0" maxValue="98"/>
    </cacheField>
    <cacheField name="150m-200m" numFmtId="0">
      <sharedItems containsString="0" containsBlank="1" containsNumber="1" containsInteger="1" minValue="0" maxValue="68"/>
    </cacheField>
    <cacheField name="200m-250m" numFmtId="0">
      <sharedItems containsString="0" containsBlank="1" containsNumber="1" containsInteger="1" minValue="2" maxValue="13"/>
    </cacheField>
    <cacheField name="250m-300m" numFmtId="0">
      <sharedItems containsString="0" containsBlank="1" containsNumber="1" containsInteger="1" minValue="14" maxValue="14"/>
    </cacheField>
    <cacheField name="Total Daily Meters" numFmtId="0">
      <sharedItems containsString="0" containsBlank="1" containsNumber="1" containsInteger="1" minValue="0" maxValue="302"/>
    </cacheField>
    <cacheField name="Drilling Cost" numFmtId="0">
      <sharedItems containsString="0" containsBlank="1" containsNumber="1" containsInteger="1" minValue="0" maxValue="13960"/>
    </cacheField>
    <cacheField name="Drill Time" numFmtId="0">
      <sharedItems containsString="0" containsBlank="1" containsNumber="1" minValue="0" maxValue="17"/>
    </cacheField>
    <cacheField name="Charged Drilling Cost" numFmtId="0">
      <sharedItems containsSemiMixedTypes="0" containsString="0" containsNumber="1" minValue="0" maxValue="13960"/>
    </cacheField>
    <cacheField name="Booster (p/hr)" numFmtId="0">
      <sharedItems containsString="0" containsBlank="1" containsNumber="1" minValue="0" maxValue="19"/>
    </cacheField>
    <cacheField name="Aux Compressor (p/hr)" numFmtId="0">
      <sharedItems containsString="0" containsBlank="1" containsNumber="1" minValue="0" maxValue="20"/>
    </cacheField>
    <cacheField name="Azi Aligner (p/day)" numFmtId="0">
      <sharedItems containsString="0" containsBlank="1" containsNumber="1" containsInteger="1" minValue="0" maxValue="21"/>
    </cacheField>
    <cacheField name="Survey camera (p/day)" numFmtId="0">
      <sharedItems containsString="0" containsBlank="1" containsNumber="1" containsInteger="1" minValue="0" maxValue="22"/>
    </cacheField>
    <cacheField name="Drill Time2" numFmtId="0">
      <sharedItems containsString="0" containsBlank="1" containsNumber="1" minValue="0" maxValue="7.5"/>
    </cacheField>
    <cacheField name="Active Rate Total hours" numFmtId="0">
      <sharedItems containsString="0" containsBlank="1" containsNumber="1" minValue="0" maxValue="23"/>
    </cacheField>
    <cacheField name="Inactive Total" numFmtId="0">
      <sharedItems containsString="0" containsBlank="1" containsNumber="1" minValue="0" maxValue="24"/>
    </cacheField>
    <cacheField name="Standby Total Hours" numFmtId="0">
      <sharedItems containsString="0" containsBlank="1" containsNumber="1" minValue="0" maxValue="25"/>
    </cacheField>
    <cacheField name="non-charged Hours" numFmtId="0">
      <sharedItems containsString="0" containsBlank="1" containsNumber="1" minValue="0.25" maxValue="12"/>
    </cacheField>
    <cacheField name="Maintenance" numFmtId="0">
      <sharedItems containsString="0" containsBlank="1" containsNumber="1" minValue="0.5" maxValue="9"/>
    </cacheField>
    <cacheField name="Comment" numFmtId="0">
      <sharedItems containsBlank="1"/>
    </cacheField>
    <cacheField name="Total (Fix if not 12hrs)" numFmtId="0">
      <sharedItems containsString="0" containsBlank="1" containsNumber="1" containsInteger="1" minValue="0" maxValue="12"/>
    </cacheField>
    <cacheField name="Total Tooling Cost" numFmtId="0">
      <sharedItems containsString="0" containsBlank="1" containsNumber="1" containsInteger="1" minValue="0" maxValue="595"/>
    </cacheField>
    <cacheField name="Total Auxillary Equipment Cost" numFmtId="0">
      <sharedItems containsString="0" containsBlank="1" containsNumber="1" containsInteger="1" minValue="0" maxValue="1760"/>
    </cacheField>
    <cacheField name="Total Activity hours Cost" numFmtId="0">
      <sharedItems containsString="0" containsBlank="1" containsNumber="1" minValue="0" maxValue="6182.5"/>
    </cacheField>
    <cacheField name="***Insert Total Consumable Costs***" numFmtId="0">
      <sharedItems containsString="0" containsBlank="1" containsNumber="1" minValue="539.77" maxValue="59214.69"/>
    </cacheField>
    <cacheField name="Total Consumables Cost (-Accom)" numFmtId="0">
      <sharedItems containsString="0" containsBlank="1" containsNumber="1" minValue="0" maxValue="58824.69"/>
    </cacheField>
    <cacheField name="Total Costs" numFmtId="0">
      <sharedItems containsMixedTypes="1" containsNumber="1" minValue="0" maxValue="72410.94" count="55">
        <n v="28"/>
        <n v="6182.5"/>
        <n v="4846.25"/>
        <n v="8518.7199999999993"/>
        <n v="8467.4699999999993"/>
        <n v="12779.32"/>
        <n v="14215.87"/>
        <n v="13713.07"/>
        <n v="72410.94"/>
        <n v="13179.93"/>
        <n v="9943.369999999999"/>
        <n v="13952.12"/>
        <n v="14014.619999999999"/>
        <n v="5672.72"/>
        <n v="11038.68"/>
        <n v="16075.869999999999"/>
        <n v="13284.93"/>
        <n v="2422.5"/>
        <n v="1452.5"/>
        <n v="1272.5"/>
        <n v="11762.12"/>
        <n v="12387.119999999999"/>
        <n v="12688.67"/>
        <n v="11780.87"/>
        <n v="16039.4"/>
        <n v="5986.12"/>
        <n v="12352.06"/>
        <n v="13839.05"/>
        <n v="16096.7"/>
        <n v="17916.03"/>
        <n v="14888.17"/>
        <n v="15143.17"/>
        <n v="13268.27"/>
        <n v="702.12"/>
        <n v="520"/>
        <n v="15185.68"/>
        <n v="15742.27"/>
        <n v="16888.28"/>
        <n v="13369.53"/>
        <n v="9469.880000000001"/>
        <n v="37276.89"/>
        <n v="14921.12"/>
        <n v="13967.380000000001"/>
        <n v="10571.38"/>
        <n v="14851.130000000001"/>
        <n v="14049.880000000001"/>
        <n v="15278.630000000001"/>
        <n v="4889.0599999999995"/>
        <n v="16060.31"/>
        <n v="17639.52"/>
        <n v="19097.27"/>
        <n v="15473.52"/>
        <n v="19201.02"/>
        <n v="0"/>
        <s v=""/>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as Pilote" refreshedDate="46036.645026736114" createdVersion="8" refreshedVersion="8" minRefreshableVersion="3" recordCount="682" xr:uid="{5D0C44AE-F2E1-4EAA-AD29-E939633EDE6B}">
  <cacheSource type="worksheet">
    <worksheetSource ref="A1:D1048576" sheet="Sheet2"/>
  </cacheSource>
  <cacheFields count="8">
    <cacheField name="Tenement ID" numFmtId="0">
      <sharedItems containsBlank="1" count="3">
        <s v="MOB\DEMOB"/>
        <s v="M 80/269"/>
        <m/>
      </sharedItems>
    </cacheField>
    <cacheField name="Date" numFmtId="14">
      <sharedItems containsNonDate="0" containsDate="1" containsString="0" containsBlank="1" minDate="2025-07-05T00:00:00" maxDate="2025-07-23T17:02:24" count="39">
        <d v="2025-07-05T05:02:24"/>
        <d v="2025-07-05T00:00:00"/>
        <d v="2025-07-06T05:02:24"/>
        <d v="2025-07-06T17:02:24"/>
        <d v="2025-07-07T05:02:24"/>
        <d v="2025-07-07T17:02:24"/>
        <d v="2025-07-08T05:02:24"/>
        <d v="2025-07-08T17:02:24"/>
        <d v="2025-07-09T05:02:24"/>
        <d v="2025-07-09T17:02:24"/>
        <d v="2025-07-10T05:02:24"/>
        <d v="2025-07-10T17:02:24"/>
        <d v="2025-07-11T05:02:24"/>
        <d v="2025-07-11T17:02:24"/>
        <d v="2025-07-12T05:02:24"/>
        <d v="2025-07-12T17:02:24"/>
        <d v="2025-07-13T05:02:24"/>
        <d v="2025-07-13T17:02:24"/>
        <d v="2025-07-14T05:02:24"/>
        <d v="2025-07-14T17:02:24"/>
        <d v="2025-07-15T05:02:24"/>
        <d v="2025-07-15T17:02:24"/>
        <d v="2025-07-16T05:02:24"/>
        <d v="2025-07-16T17:02:24"/>
        <d v="2025-07-17T05:02:24"/>
        <d v="2025-07-17T17:02:24"/>
        <d v="2025-07-18T05:02:24"/>
        <d v="2025-07-18T17:02:24"/>
        <d v="2025-07-19T05:02:24"/>
        <d v="2025-07-19T17:02:24"/>
        <d v="2025-07-20T05:02:24"/>
        <d v="2025-07-20T17:02:24"/>
        <d v="2025-07-21T05:02:24"/>
        <d v="2025-07-21T17:02:24"/>
        <d v="2025-07-22T05:02:24"/>
        <d v="2025-07-22T17:02:24"/>
        <d v="2025-07-23T05:02:24"/>
        <d v="2025-07-23T17:02:24"/>
        <m/>
      </sharedItems>
      <fieldGroup par="7"/>
    </cacheField>
    <cacheField name="Total Costs" numFmtId="170">
      <sharedItems containsString="0" containsBlank="1" containsNumber="1" minValue="0" maxValue="7734.5599999999995" count="31">
        <n v="1260"/>
        <n v="0"/>
        <n v="6631"/>
        <n v="7096.34"/>
        <n v="4622.93"/>
        <n v="2550"/>
        <n v="6282.93"/>
        <n v="6862.99"/>
        <n v="6636.68"/>
        <n v="6435"/>
        <n v="6256.12"/>
        <n v="6356.79"/>
        <n v="5747.93"/>
        <n v="6488.23"/>
        <n v="5977.93"/>
        <n v="6095.86"/>
        <n v="7734.5599999999995"/>
        <n v="6648.9899999999989"/>
        <n v="6720"/>
        <n v="6225.4300000000012"/>
        <n v="6385"/>
        <n v="6316.55"/>
        <n v="6862.5000000000009"/>
        <n v="6397.9299999999994"/>
        <n v="6205"/>
        <n v="6144.05"/>
        <n v="6586.79"/>
        <n v="5219.05"/>
        <n v="3100"/>
        <n v="5860"/>
        <m/>
      </sharedItems>
    </cacheField>
    <cacheField name="Drill rig" numFmtId="0">
      <sharedItems containsBlank="1"/>
    </cacheField>
    <cacheField name="Seconds (Date)" numFmtId="0" databaseField="0">
      <fieldGroup base="1">
        <rangePr groupBy="seconds" startDate="2025-07-05T00:00:00" endDate="2025-07-23T17:02:24"/>
        <groupItems count="62">
          <s v="&lt;05/07/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23/07/2025"/>
        </groupItems>
      </fieldGroup>
    </cacheField>
    <cacheField name="Minutes (Date)" numFmtId="0" databaseField="0">
      <fieldGroup base="1">
        <rangePr groupBy="minutes" startDate="2025-07-05T00:00:00" endDate="2025-07-23T17:02:24"/>
        <groupItems count="62">
          <s v="&lt;05/07/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23/07/2025"/>
        </groupItems>
      </fieldGroup>
    </cacheField>
    <cacheField name="Hours (Date)" numFmtId="0" databaseField="0">
      <fieldGroup base="1">
        <rangePr groupBy="hours" startDate="2025-07-05T00:00:00" endDate="2025-07-23T17:02:24"/>
        <groupItems count="26">
          <s v="&lt;05/07/2025"/>
          <s v="00"/>
          <s v="01"/>
          <s v="02"/>
          <s v="03"/>
          <s v="04"/>
          <s v="05"/>
          <s v="06"/>
          <s v="07"/>
          <s v="08"/>
          <s v="09"/>
          <s v="10"/>
          <s v="11"/>
          <s v="12"/>
          <s v="13"/>
          <s v="14"/>
          <s v="15"/>
          <s v="16"/>
          <s v="17"/>
          <s v="18"/>
          <s v="19"/>
          <s v="20"/>
          <s v="21"/>
          <s v="22"/>
          <s v="23"/>
          <s v="&gt;23/07/2025"/>
        </groupItems>
      </fieldGroup>
    </cacheField>
    <cacheField name="Days (Date)" numFmtId="0" databaseField="0">
      <fieldGroup base="1">
        <rangePr groupBy="days" startDate="2025-07-05T00:00:00" endDate="2025-07-23T17:02:24"/>
        <groupItems count="368">
          <s v="&lt;05/07/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1"/>
    <n v="2"/>
    <n v="3"/>
    <n v="4"/>
    <n v="5"/>
    <n v="6"/>
    <n v="7"/>
    <n v="8"/>
    <n v="9"/>
    <n v="10"/>
    <n v="11"/>
    <n v="12"/>
    <n v="13"/>
    <n v="14"/>
    <n v="15"/>
    <n v="16"/>
    <n v="17"/>
    <n v="18"/>
    <n v="19"/>
    <n v="20"/>
    <n v="21"/>
    <n v="22"/>
    <n v="23"/>
    <n v="24"/>
    <n v="25"/>
    <m/>
    <m/>
    <m/>
    <m/>
    <n v="26"/>
    <n v="27"/>
    <n v="28"/>
    <n v="29"/>
    <n v="30"/>
    <n v="31"/>
    <m/>
  </r>
  <r>
    <x v="1"/>
    <d v="2025-06-22T00:00:00"/>
    <m/>
    <m/>
    <m/>
    <m/>
    <s v="Tim Leaman"/>
    <m/>
    <m/>
    <m/>
    <m/>
    <m/>
    <m/>
    <m/>
    <m/>
    <m/>
    <m/>
    <n v="0"/>
    <n v="0"/>
    <n v="0"/>
    <n v="0"/>
    <m/>
    <m/>
    <n v="9.5"/>
    <n v="2"/>
    <m/>
    <n v="0.5"/>
    <m/>
    <m/>
    <n v="12"/>
    <n v="6182.5"/>
    <m/>
    <n v="6182.5"/>
    <n v="6182.5"/>
    <n v="6182.5"/>
    <s v="No drilling completed today, if maintenance provide context -&gt;"/>
    <m/>
  </r>
  <r>
    <x v="1"/>
    <d v="2025-06-23T00:00:00"/>
    <m/>
    <m/>
    <m/>
    <m/>
    <s v="Tim Leaman"/>
    <n v="3"/>
    <n v="390"/>
    <m/>
    <m/>
    <m/>
    <m/>
    <m/>
    <m/>
    <m/>
    <m/>
    <m/>
    <n v="0"/>
    <m/>
    <m/>
    <m/>
    <m/>
    <n v="7.75"/>
    <m/>
    <m/>
    <n v="4.25"/>
    <m/>
    <m/>
    <n v="12"/>
    <n v="4456.25"/>
    <m/>
    <n v="4846.25"/>
    <n v="11028.75"/>
    <n v="11028.75"/>
    <s v="No drilling completed today, if maintenance provide context -&gt;"/>
    <m/>
  </r>
  <r>
    <x v="2"/>
    <d v="2025-06-24T00:00:00"/>
    <s v="SF25_RCRD055"/>
    <m/>
    <m/>
    <m/>
    <s v="Tim Leaman"/>
    <n v="3"/>
    <n v="390"/>
    <n v="46"/>
    <m/>
    <m/>
    <m/>
    <m/>
    <m/>
    <n v="46"/>
    <n v="1840"/>
    <n v="3.25"/>
    <n v="1868.75"/>
    <n v="2"/>
    <n v="2"/>
    <n v="1"/>
    <n v="1"/>
    <n v="8"/>
    <m/>
    <n v="0.5"/>
    <n v="0.25"/>
    <m/>
    <m/>
    <n v="12"/>
    <n v="5815"/>
    <n v="444.97"/>
    <n v="8518.7199999999993"/>
    <n v="19547.47"/>
    <n v="19547.47"/>
    <n v="185.18956521739128"/>
    <m/>
  </r>
  <r>
    <x v="2"/>
    <d v="2025-06-25T00:00:00"/>
    <s v="SF25_RCRD055"/>
    <s v="SF25_RCRD056"/>
    <m/>
    <m/>
    <s v="Tim Leaman"/>
    <n v="3"/>
    <n v="390"/>
    <n v="54"/>
    <n v="46"/>
    <m/>
    <m/>
    <m/>
    <m/>
    <n v="100"/>
    <n v="4230"/>
    <n v="6.5"/>
    <n v="4230"/>
    <n v="5"/>
    <n v="5"/>
    <n v="1"/>
    <n v="1"/>
    <n v="2.5"/>
    <n v="0.75"/>
    <m/>
    <n v="2.25"/>
    <m/>
    <m/>
    <n v="12"/>
    <n v="3402.5"/>
    <n v="444.97"/>
    <n v="8467.4699999999993"/>
    <n v="28014.940000000002"/>
    <n v="28014.940000000002"/>
    <n v="84.674699999999987"/>
    <m/>
  </r>
  <r>
    <x v="2"/>
    <d v="2025-06-26T00:00:00"/>
    <s v="SF25_RCRD056"/>
    <s v="SF25_RCRD057"/>
    <m/>
    <m/>
    <s v="Tim Leaman"/>
    <n v="3"/>
    <n v="390"/>
    <n v="50"/>
    <n v="62"/>
    <n v="48"/>
    <m/>
    <m/>
    <m/>
    <n v="160"/>
    <n v="7190"/>
    <n v="4.75"/>
    <n v="7190"/>
    <n v="6"/>
    <n v="6"/>
    <n v="1"/>
    <n v="1"/>
    <n v="2.5"/>
    <n v="1.25"/>
    <m/>
    <n v="3.5"/>
    <m/>
    <m/>
    <n v="12"/>
    <n v="3802.5"/>
    <n v="1396.82"/>
    <n v="12779.32"/>
    <n v="40794.26"/>
    <n v="40794.26"/>
    <n v="79.870750000000001"/>
    <m/>
  </r>
  <r>
    <x v="2"/>
    <d v="2025-06-27T00:00:00"/>
    <s v="SF25_RCRD058"/>
    <s v="SF25_RCRD060"/>
    <m/>
    <m/>
    <s v="Tim Leaman"/>
    <n v="3"/>
    <n v="390"/>
    <n v="100"/>
    <n v="58"/>
    <n v="48"/>
    <m/>
    <m/>
    <m/>
    <n v="206"/>
    <n v="9010"/>
    <n v="7"/>
    <n v="9010"/>
    <n v="6"/>
    <n v="6"/>
    <n v="1"/>
    <n v="1"/>
    <n v="3.5"/>
    <n v="0.25"/>
    <m/>
    <n v="1.25"/>
    <m/>
    <m/>
    <n v="12"/>
    <n v="4017.5"/>
    <n v="798.37"/>
    <n v="14215.87"/>
    <n v="55010.130000000005"/>
    <n v="55010.130000000005"/>
    <n v="69.009077669902922"/>
    <m/>
  </r>
  <r>
    <x v="2"/>
    <d v="2025-06-28T00:00:00"/>
    <s v="SF25_RCRD060"/>
    <s v="SF25_RCRD061"/>
    <s v="SF25_RCRD062"/>
    <m/>
    <s v="Tim Leaman"/>
    <n v="3"/>
    <n v="390"/>
    <n v="138"/>
    <n v="50"/>
    <m/>
    <m/>
    <m/>
    <m/>
    <n v="188"/>
    <n v="7770"/>
    <n v="5.75"/>
    <n v="7770"/>
    <n v="5"/>
    <n v="5"/>
    <n v="1"/>
    <n v="1"/>
    <n v="3.5"/>
    <n v="2"/>
    <m/>
    <n v="0.75"/>
    <m/>
    <m/>
    <n v="12"/>
    <n v="4427.5"/>
    <n v="1125.57"/>
    <n v="13713.07"/>
    <n v="68723.200000000012"/>
    <n v="68723.200000000012"/>
    <n v="72.941861702127653"/>
    <m/>
  </r>
  <r>
    <x v="2"/>
    <d v="2025-06-29T00:00:00"/>
    <s v="SF25_RCRD062"/>
    <s v="SF25_RCRD063"/>
    <s v="SF25_RCRD064"/>
    <m/>
    <s v="Tim Leaman"/>
    <n v="3"/>
    <n v="390"/>
    <n v="106"/>
    <n v="58"/>
    <n v="48"/>
    <m/>
    <m/>
    <m/>
    <n v="212"/>
    <n v="9250"/>
    <n v="7.25"/>
    <n v="9250"/>
    <n v="6"/>
    <n v="6"/>
    <n v="1"/>
    <n v="1"/>
    <n v="2.75"/>
    <n v="1"/>
    <n v="0.25"/>
    <n v="0.75"/>
    <m/>
    <m/>
    <n v="12"/>
    <n v="3946.25"/>
    <n v="798.37"/>
    <n v="14384.62"/>
    <n v="83107.820000000007"/>
    <n v="83107.820000000007"/>
    <n v="67.85198113207548"/>
    <m/>
  </r>
  <r>
    <x v="2"/>
    <d v="2025-06-30T00:00:00"/>
    <s v="SF25_RCRD065"/>
    <s v="SF25_RCRD066"/>
    <m/>
    <m/>
    <s v="Tim Leaman"/>
    <n v="3"/>
    <n v="390"/>
    <n v="54"/>
    <n v="100"/>
    <n v="27"/>
    <m/>
    <m/>
    <m/>
    <n v="181"/>
    <n v="8010"/>
    <n v="7.25"/>
    <n v="8010"/>
    <n v="7"/>
    <n v="7"/>
    <n v="1"/>
    <n v="1"/>
    <n v="2.75"/>
    <n v="1.25"/>
    <m/>
    <n v="0.75"/>
    <m/>
    <m/>
    <n v="12"/>
    <n v="4166.25"/>
    <n v="613.67999999999995"/>
    <n v="13179.93"/>
    <n v="96287.75"/>
    <n v="96287.75"/>
    <n v="72.817292817679558"/>
    <m/>
  </r>
  <r>
    <x v="2"/>
    <d v="2025-07-01T00:00:00"/>
    <s v="SF25_RCRD38"/>
    <s v="SF25_RCRD039"/>
    <m/>
    <m/>
    <s v="Tim Leaman"/>
    <n v="4"/>
    <n v="520"/>
    <n v="98"/>
    <n v="50"/>
    <m/>
    <m/>
    <m/>
    <m/>
    <n v="148"/>
    <n v="6170"/>
    <n v="4.5"/>
    <n v="6170"/>
    <n v="2"/>
    <n v="2"/>
    <n v="1"/>
    <n v="1"/>
    <n v="2"/>
    <n v="0.75"/>
    <n v="0"/>
    <n v="4.75"/>
    <m/>
    <m/>
    <n v="12"/>
    <n v="2455"/>
    <n v="798.36999999999989"/>
    <n v="9943.369999999999"/>
    <n v="106231.12"/>
    <n v="9943.369999999999"/>
    <n v="67.184932432432419"/>
    <m/>
  </r>
  <r>
    <x v="2"/>
    <d v="2025-07-02T00:00:00"/>
    <s v="SF25_RCRC039"/>
    <s v="SF25_RCRD081"/>
    <s v="SF25_RCRD082"/>
    <m/>
    <s v="Tim Leaman"/>
    <n v="4"/>
    <n v="520"/>
    <n v="100"/>
    <n v="52"/>
    <n v="35"/>
    <m/>
    <m/>
    <m/>
    <n v="187"/>
    <n v="8090"/>
    <n v="6.5"/>
    <n v="8090"/>
    <n v="7"/>
    <n v="7"/>
    <n v="1"/>
    <n v="1"/>
    <n v="3.25"/>
    <n v="1.5"/>
    <m/>
    <n v="0.75"/>
    <m/>
    <m/>
    <n v="12"/>
    <n v="4543.75"/>
    <n v="798.37"/>
    <n v="13952.12"/>
    <n v="120183.23999999999"/>
    <n v="23895.489999999998"/>
    <n v="74.610267379679144"/>
    <m/>
  </r>
  <r>
    <x v="2"/>
    <d v="2025-07-03T00:00:00"/>
    <s v="SF25_RCRD083"/>
    <s v="SF25_RCRD84"/>
    <m/>
    <m/>
    <s v="Tim Leaman"/>
    <n v="4"/>
    <n v="520"/>
    <n v="100"/>
    <n v="58"/>
    <n v="42"/>
    <m/>
    <m/>
    <m/>
    <n v="200"/>
    <n v="8710"/>
    <n v="6"/>
    <n v="8710"/>
    <n v="7"/>
    <n v="7"/>
    <n v="1"/>
    <n v="1"/>
    <n v="2.75"/>
    <n v="0.75"/>
    <m/>
    <n v="2.5"/>
    <m/>
    <m/>
    <n v="12"/>
    <n v="3986.25"/>
    <n v="798.36999999999989"/>
    <n v="14014.619999999999"/>
    <n v="134197.85999999999"/>
    <n v="37910.11"/>
    <n v="70.073099999999997"/>
    <m/>
  </r>
  <r>
    <x v="2"/>
    <d v="2025-07-04T00:00:00"/>
    <s v="SF25_RCRD084"/>
    <m/>
    <m/>
    <m/>
    <s v="Hugh Reynolds"/>
    <n v="4"/>
    <n v="520"/>
    <m/>
    <n v="42"/>
    <n v="30"/>
    <m/>
    <m/>
    <m/>
    <n v="72"/>
    <n v="3390"/>
    <n v="5"/>
    <n v="3390"/>
    <n v="4"/>
    <n v="4"/>
    <n v="1"/>
    <n v="1"/>
    <n v="0.25"/>
    <n v="0"/>
    <m/>
    <n v="6.75"/>
    <m/>
    <m/>
    <n v="12"/>
    <n v="1618.75"/>
    <n v="143.97000000000003"/>
    <n v="5672.72"/>
    <n v="139870.57999999999"/>
    <n v="43582.83"/>
    <n v="78.787777777777777"/>
    <m/>
  </r>
  <r>
    <x v="2"/>
    <d v="2025-07-05T00:00:00"/>
    <s v="SF25_RCRD084"/>
    <s v="SF25_RCRD085"/>
    <m/>
    <m/>
    <s v="Hugh Reynolds"/>
    <n v="3"/>
    <n v="390"/>
    <n v="50"/>
    <n v="14"/>
    <n v="20"/>
    <n v="34"/>
    <m/>
    <m/>
    <n v="118"/>
    <n v="5500"/>
    <n v="5.25"/>
    <n v="5500"/>
    <n v="5"/>
    <n v="5"/>
    <n v="1"/>
    <n v="1"/>
    <n v="4"/>
    <n v="1.5"/>
    <n v="0"/>
    <n v="1.25"/>
    <m/>
    <m/>
    <n v="12"/>
    <n v="4535"/>
    <n v="613.67999999999995"/>
    <n v="11038.68"/>
    <n v="150909.25999999998"/>
    <n v="54621.51"/>
    <n v="93.548135593220337"/>
    <m/>
  </r>
  <r>
    <x v="2"/>
    <d v="2025-07-06T00:00:00"/>
    <s v="SF25_RCRD086"/>
    <s v="SF25_RCRD087"/>
    <m/>
    <m/>
    <s v="Hugh Reynolds"/>
    <n v="3"/>
    <n v="390"/>
    <n v="100"/>
    <n v="100"/>
    <n v="42"/>
    <m/>
    <m/>
    <m/>
    <n v="242"/>
    <n v="10600"/>
    <n v="6.75"/>
    <n v="10600"/>
    <n v="6"/>
    <n v="6"/>
    <n v="1"/>
    <n v="1"/>
    <n v="3.5"/>
    <n v="1"/>
    <m/>
    <n v="0.75"/>
    <m/>
    <m/>
    <n v="12"/>
    <n v="4287.5"/>
    <n v="798.36999999999989"/>
    <n v="16075.869999999999"/>
    <n v="166985.12999999998"/>
    <n v="70697.38"/>
    <n v="66.429214876033058"/>
    <m/>
  </r>
  <r>
    <x v="2"/>
    <d v="2025-07-07T00:00:00"/>
    <s v="SF25_RCRD088"/>
    <m/>
    <m/>
    <m/>
    <s v="Hugh Reynolds"/>
    <n v="3"/>
    <n v="390"/>
    <n v="50"/>
    <n v="50"/>
    <n v="50"/>
    <n v="40"/>
    <m/>
    <m/>
    <n v="190"/>
    <n v="8950"/>
    <n v="6"/>
    <n v="8950"/>
    <n v="5"/>
    <n v="5"/>
    <n v="1"/>
    <n v="1"/>
    <n v="1.75"/>
    <n v="1.75"/>
    <m/>
    <n v="2.5"/>
    <m/>
    <m/>
    <n v="12"/>
    <n v="3331.25"/>
    <n v="613.67999999999995"/>
    <n v="13284.93"/>
    <n v="180270.05999999997"/>
    <n v="83982.31"/>
    <n v="69.920684210526318"/>
    <m/>
  </r>
  <r>
    <x v="2"/>
    <d v="2025-07-08T00:00:00"/>
    <s v="SF25_RCRD088"/>
    <m/>
    <m/>
    <m/>
    <s v="Hugh Reynolds"/>
    <n v="3"/>
    <n v="390"/>
    <n v="0"/>
    <n v="0"/>
    <n v="0"/>
    <n v="0"/>
    <m/>
    <m/>
    <n v="0"/>
    <n v="0"/>
    <m/>
    <n v="0"/>
    <n v="0"/>
    <n v="0"/>
    <n v="1"/>
    <n v="1"/>
    <n v="2.5"/>
    <n v="0"/>
    <m/>
    <n v="9.5"/>
    <m/>
    <m/>
    <n v="12"/>
    <n v="2032.5"/>
    <n v="0"/>
    <n v="2422.5"/>
    <n v="182692.55999999997"/>
    <n v="86404.81"/>
    <s v="No drilling completed today, if maintenance provide context -&gt;"/>
    <s v="repair slipped drill rig track"/>
  </r>
  <r>
    <x v="2"/>
    <d v="2025-07-09T00:00:00"/>
    <s v="SF25_RCRD088"/>
    <m/>
    <m/>
    <m/>
    <s v="Hugh Reynolds"/>
    <n v="3"/>
    <n v="390"/>
    <n v="0"/>
    <n v="0"/>
    <n v="0"/>
    <n v="0"/>
    <m/>
    <m/>
    <n v="0"/>
    <n v="0"/>
    <m/>
    <n v="0"/>
    <n v="0"/>
    <n v="0"/>
    <n v="1"/>
    <n v="1"/>
    <n v="0.5"/>
    <n v="0.5"/>
    <m/>
    <n v="11"/>
    <m/>
    <m/>
    <n v="12"/>
    <n v="1062.5"/>
    <n v="0"/>
    <n v="1452.5"/>
    <n v="184145.05999999997"/>
    <n v="87857.31"/>
    <s v="No drilling completed today, if maintenance provide context -&gt;"/>
    <m/>
  </r>
  <r>
    <x v="2"/>
    <d v="2025-07-10T00:00:00"/>
    <s v="SF25_RCRD002"/>
    <m/>
    <m/>
    <m/>
    <s v="Hugh Reynolds"/>
    <n v="3"/>
    <n v="390"/>
    <n v="0"/>
    <n v="0"/>
    <n v="0"/>
    <n v="0"/>
    <m/>
    <m/>
    <n v="0"/>
    <n v="0"/>
    <m/>
    <n v="0"/>
    <n v="0"/>
    <n v="0"/>
    <n v="1"/>
    <n v="1"/>
    <n v="0.5"/>
    <n v="0"/>
    <m/>
    <n v="11.5"/>
    <m/>
    <m/>
    <n v="12"/>
    <n v="882.5"/>
    <m/>
    <n v="1272.5"/>
    <n v="185417.55999999997"/>
    <n v="89129.81"/>
    <s v="No drilling completed today, if maintenance provide context -&gt;"/>
    <m/>
  </r>
  <r>
    <x v="2"/>
    <d v="2025-07-11T00:00:00"/>
    <s v="SF25_RCRD002"/>
    <s v="SF25_RCRD001"/>
    <m/>
    <m/>
    <s v="Hugh Reynolds"/>
    <n v="3"/>
    <n v="390"/>
    <n v="96"/>
    <n v="50"/>
    <n v="6"/>
    <n v="0"/>
    <m/>
    <m/>
    <n v="152"/>
    <n v="6390"/>
    <n v="6.5"/>
    <n v="6390"/>
    <n v="7"/>
    <n v="7"/>
    <n v="1"/>
    <n v="1"/>
    <n v="3.25"/>
    <n v="0.5"/>
    <m/>
    <n v="1.75"/>
    <m/>
    <m/>
    <n v="12"/>
    <n v="4183.75"/>
    <n v="798.37"/>
    <n v="11762.12"/>
    <n v="197179.67999999996"/>
    <n v="100891.93"/>
    <n v="77.382368421052632"/>
    <m/>
  </r>
  <r>
    <x v="2"/>
    <d v="2025-07-12T00:00:00"/>
    <s v="SF25_RCRD001"/>
    <s v="SF25_RCRD005"/>
    <s v="SF25_RCRD004"/>
    <m/>
    <s v="Hugh Reynolds"/>
    <n v="3"/>
    <n v="390"/>
    <n v="90"/>
    <n v="20"/>
    <n v="36"/>
    <m/>
    <m/>
    <m/>
    <n v="146"/>
    <n v="6300"/>
    <n v="5.5"/>
    <n v="6300"/>
    <n v="6"/>
    <n v="6"/>
    <n v="1"/>
    <n v="1"/>
    <n v="4.25"/>
    <n v="1.5"/>
    <m/>
    <n v="0.75"/>
    <m/>
    <m/>
    <n v="12"/>
    <n v="4898.75"/>
    <n v="798.36999999999989"/>
    <n v="12387.119999999999"/>
    <n v="209566.79999999996"/>
    <n v="113279.04999999999"/>
    <n v="84.843287671232872"/>
    <m/>
  </r>
  <r>
    <x v="2"/>
    <d v="2025-07-13T00:00:00"/>
    <s v="SF25_RCRD004"/>
    <s v="SF25_RCRD003"/>
    <m/>
    <m/>
    <s v="Hugh Reynolds"/>
    <n v="3"/>
    <n v="390"/>
    <n v="50"/>
    <n v="74"/>
    <n v="30"/>
    <m/>
    <m/>
    <m/>
    <n v="154"/>
    <n v="6830"/>
    <n v="6"/>
    <n v="6830"/>
    <n v="8"/>
    <n v="8"/>
    <n v="1"/>
    <n v="1"/>
    <n v="3.5"/>
    <n v="1.75"/>
    <m/>
    <n v="0.75"/>
    <m/>
    <m/>
    <n v="12"/>
    <n v="4997.5"/>
    <n v="471.16999999999996"/>
    <n v="12688.67"/>
    <n v="222255.46999999997"/>
    <n v="125967.71999999999"/>
    <n v="82.393961038961038"/>
    <m/>
  </r>
  <r>
    <x v="2"/>
    <d v="2025-07-14T00:00:00"/>
    <s v="SF25_RCRD006"/>
    <s v="SF25_RCRD007"/>
    <m/>
    <m/>
    <s v="Hugh Reynolds"/>
    <n v="3"/>
    <n v="390"/>
    <n v="96"/>
    <n v="44"/>
    <m/>
    <m/>
    <m/>
    <m/>
    <n v="140"/>
    <n v="5820"/>
    <n v="3.75"/>
    <n v="5820"/>
    <n v="6"/>
    <n v="6"/>
    <n v="1"/>
    <n v="1"/>
    <n v="4.5"/>
    <n v="0.75"/>
    <m/>
    <n v="3"/>
    <m/>
    <m/>
    <n v="12"/>
    <n v="4772.5"/>
    <n v="798.37"/>
    <n v="11780.87"/>
    <n v="234036.33999999997"/>
    <n v="137748.59"/>
    <n v="84.149071428571432"/>
    <m/>
  </r>
  <r>
    <x v="2"/>
    <d v="2025-07-15T00:00:00"/>
    <s v="SF25_RCRD008"/>
    <m/>
    <m/>
    <m/>
    <s v="Hugh Reynolds"/>
    <n v="4"/>
    <n v="520"/>
    <n v="50"/>
    <n v="50"/>
    <n v="24"/>
    <m/>
    <m/>
    <m/>
    <n v="124"/>
    <n v="5450"/>
    <n v="4.5"/>
    <n v="5450"/>
    <n v="6"/>
    <n v="6"/>
    <n v="1"/>
    <n v="1"/>
    <n v="3"/>
    <n v="1"/>
    <m/>
    <n v="3.5"/>
    <m/>
    <m/>
    <n v="12"/>
    <n v="4000"/>
    <n v="6069.4"/>
    <n v="16039.4"/>
    <n v="250075.73999999996"/>
    <n v="153787.99"/>
    <n v="129.35"/>
    <m/>
  </r>
  <r>
    <x v="2"/>
    <d v="2025-07-16T00:00:00"/>
    <s v="SF25_RCRD009"/>
    <m/>
    <m/>
    <m/>
    <s v="Hugh Reynolds"/>
    <n v="3"/>
    <n v="390"/>
    <n v="46"/>
    <m/>
    <m/>
    <m/>
    <m/>
    <m/>
    <n v="46"/>
    <n v="1840"/>
    <n v="1.25"/>
    <n v="1840"/>
    <n v="0"/>
    <n v="0"/>
    <n v="1"/>
    <n v="1"/>
    <n v="4"/>
    <m/>
    <m/>
    <n v="6.75"/>
    <m/>
    <m/>
    <n v="12"/>
    <n v="2895"/>
    <n v="497.37"/>
    <n v="5622.37"/>
    <n v="255698.10999999996"/>
    <n v="159410.35999999999"/>
    <n v="122.22543478260869"/>
    <m/>
  </r>
  <r>
    <x v="2"/>
    <d v="2025-07-17T00:00:00"/>
    <s v="SF25_RCRD010"/>
    <s v="SF25_RCRD011"/>
    <m/>
    <m/>
    <s v="Kane Barton"/>
    <n v="3"/>
    <n v="390"/>
    <n v="60"/>
    <n v="50"/>
    <n v="40"/>
    <m/>
    <m/>
    <m/>
    <n v="150"/>
    <n v="6650"/>
    <n v="3.5"/>
    <n v="6650"/>
    <n v="4"/>
    <n v="4"/>
    <n v="1"/>
    <n v="1"/>
    <n v="5.25"/>
    <n v="0.75"/>
    <m/>
    <n v="0.75"/>
    <n v="1.75"/>
    <s v="Planned maintenance"/>
    <n v="12"/>
    <n v="4763.75"/>
    <n v="548.30999999999995"/>
    <n v="12352.06"/>
    <n v="268050.17"/>
    <n v="171762.41999999998"/>
    <n v="82.347066666666663"/>
    <m/>
  </r>
  <r>
    <x v="2"/>
    <d v="2025-07-18T00:00:00"/>
    <s v="SF25_RCRD011"/>
    <s v="SF25_RCRD012"/>
    <s v="SF25_RCRD013"/>
    <m/>
    <s v="Kane Barton"/>
    <n v="3"/>
    <n v="390"/>
    <n v="136"/>
    <n v="64"/>
    <m/>
    <m/>
    <m/>
    <m/>
    <n v="200"/>
    <n v="8320"/>
    <n v="5"/>
    <n v="8320"/>
    <n v="3"/>
    <n v="4"/>
    <n v="1"/>
    <n v="1"/>
    <n v="3.25"/>
    <n v="0.75"/>
    <m/>
    <n v="3"/>
    <m/>
    <m/>
    <n v="12"/>
    <n v="3503.75"/>
    <n v="1295.3"/>
    <n v="13509.05"/>
    <n v="281559.21999999997"/>
    <n v="185271.46999999997"/>
    <n v="67.545249999999996"/>
    <m/>
  </r>
  <r>
    <x v="2"/>
    <d v="2025-07-19T00:00:00"/>
    <s v="SF25_RCRD013"/>
    <s v="SF25_RCRD014"/>
    <s v="SF25_RCRD015"/>
    <s v="SF25_RCRD016"/>
    <s v="Kane Barton"/>
    <n v="3"/>
    <n v="390"/>
    <n v="106"/>
    <n v="74"/>
    <n v="36"/>
    <m/>
    <m/>
    <m/>
    <n v="216"/>
    <n v="9370"/>
    <n v="4"/>
    <n v="9370"/>
    <n v="5"/>
    <n v="5"/>
    <n v="1"/>
    <n v="1"/>
    <n v="5.5"/>
    <n v="2"/>
    <m/>
    <n v="0.5"/>
    <m/>
    <m/>
    <n v="12"/>
    <n v="5577.5"/>
    <n v="759.2"/>
    <n v="16096.7"/>
    <n v="297655.92"/>
    <n v="201368.16999999998"/>
    <n v="74.521759259259269"/>
    <m/>
  </r>
  <r>
    <x v="2"/>
    <d v="2025-07-20T00:00:00"/>
    <s v="SF25_RCRD016"/>
    <s v="SF25_RCRD017"/>
    <s v="SF25_RCRD018"/>
    <m/>
    <s v="Kane Barton"/>
    <n v="3"/>
    <n v="390"/>
    <n v="136"/>
    <n v="100"/>
    <n v="48"/>
    <m/>
    <m/>
    <m/>
    <n v="284"/>
    <n v="12340"/>
    <n v="7.25"/>
    <n v="12340"/>
    <n v="8"/>
    <n v="8"/>
    <n v="1"/>
    <n v="1"/>
    <n v="3.25"/>
    <n v="0.75"/>
    <m/>
    <n v="0.75"/>
    <m/>
    <m/>
    <n v="12"/>
    <n v="4493.75"/>
    <n v="1472.28"/>
    <n v="18696.03"/>
    <n v="316351.94999999995"/>
    <n v="220064.19999999998"/>
    <n v="65.831091549295778"/>
    <m/>
  </r>
  <r>
    <x v="2"/>
    <d v="2025-07-21T00:00:00"/>
    <s v="SF25_RCRD018"/>
    <s v="SF25_RCRD019"/>
    <s v="SF25_RCRD020"/>
    <s v="SF25_RCRD021"/>
    <s v="Kane Barton"/>
    <n v="3"/>
    <n v="390"/>
    <n v="146"/>
    <n v="42"/>
    <n v="24"/>
    <m/>
    <m/>
    <m/>
    <n v="212"/>
    <n v="8930"/>
    <n v="5.25"/>
    <n v="8930"/>
    <n v="6"/>
    <n v="6"/>
    <n v="1"/>
    <n v="1"/>
    <n v="2.5"/>
    <n v="1.25"/>
    <m/>
    <n v="3"/>
    <m/>
    <m/>
    <n v="12"/>
    <n v="3802.5"/>
    <n v="903.17"/>
    <n v="14025.67"/>
    <n v="330377.61999999994"/>
    <n v="234089.87"/>
    <n v="66.158820754716984"/>
    <m/>
  </r>
  <r>
    <x v="2"/>
    <d v="2025-07-22T00:00:00"/>
    <s v="SF25_RCRD021"/>
    <s v="SF25_RCRD022"/>
    <s v="SF25_RCRD023"/>
    <m/>
    <s v="Kane Barton"/>
    <n v="4"/>
    <n v="520"/>
    <n v="96"/>
    <n v="70"/>
    <n v="36"/>
    <m/>
    <m/>
    <m/>
    <n v="202"/>
    <n v="8790"/>
    <n v="5.5"/>
    <n v="8790"/>
    <n v="5"/>
    <n v="5"/>
    <n v="1"/>
    <n v="1"/>
    <n v="5"/>
    <n v="1"/>
    <m/>
    <n v="0.5"/>
    <m/>
    <m/>
    <n v="12"/>
    <n v="4930"/>
    <n v="903.17"/>
    <n v="15143.17"/>
    <n v="345520.78999999992"/>
    <n v="249233.04"/>
    <n v="74.966188118811885"/>
    <m/>
  </r>
  <r>
    <x v="2"/>
    <d v="2025-07-23T00:00:00"/>
    <s v="SF25_RCRD023"/>
    <s v="SF25_RCRD024"/>
    <s v="SF25_RCRD025"/>
    <m/>
    <s v="Kane Barton"/>
    <n v="4"/>
    <n v="520"/>
    <n v="72"/>
    <n v="68"/>
    <n v="36"/>
    <m/>
    <m/>
    <m/>
    <n v="176"/>
    <n v="7740"/>
    <n v="4.5"/>
    <n v="7740"/>
    <n v="5"/>
    <n v="5"/>
    <n v="1"/>
    <n v="1"/>
    <n v="3.5"/>
    <n v="1.25"/>
    <m/>
    <n v="2.75"/>
    <m/>
    <m/>
    <n v="12"/>
    <n v="4157.5"/>
    <n v="850.77"/>
    <n v="13268.27"/>
    <n v="358789.05999999994"/>
    <n v="262501.31"/>
    <n v="75.38789772727273"/>
    <m/>
  </r>
  <r>
    <x v="2"/>
    <d v="2025-07-24T00:00:00"/>
    <s v="SF25_RCRD025"/>
    <m/>
    <m/>
    <m/>
    <s v="Kane Barton"/>
    <n v="4"/>
    <n v="520"/>
    <m/>
    <m/>
    <m/>
    <m/>
    <m/>
    <m/>
    <n v="0"/>
    <n v="0"/>
    <n v="0"/>
    <n v="0"/>
    <n v="0"/>
    <n v="0"/>
    <n v="0"/>
    <n v="0"/>
    <n v="0"/>
    <n v="0"/>
    <m/>
    <n v="12"/>
    <m/>
    <m/>
    <n v="12"/>
    <n v="0"/>
    <n v="0"/>
    <n v="520"/>
    <n v="359309.05999999994"/>
    <n v="263021.31"/>
    <s v="No drilling completed today, if maintenance provide context -&gt;"/>
    <s v="Rod handler Stripped down and fixed"/>
  </r>
  <r>
    <x v="2"/>
    <d v="2025-07-25T00:00:00"/>
    <s v="SF25_RCRD025"/>
    <m/>
    <m/>
    <m/>
    <s v="Kane Barton"/>
    <n v="4"/>
    <n v="520"/>
    <m/>
    <m/>
    <m/>
    <m/>
    <m/>
    <m/>
    <n v="0"/>
    <n v="0"/>
    <n v="0"/>
    <n v="0"/>
    <n v="0"/>
    <n v="0"/>
    <n v="0"/>
    <n v="0"/>
    <n v="0"/>
    <n v="0"/>
    <m/>
    <n v="12"/>
    <m/>
    <m/>
    <n v="12"/>
    <n v="0"/>
    <n v="0"/>
    <n v="520"/>
    <n v="359829.05999999994"/>
    <n v="263541.31"/>
    <s v="No drilling completed today, if maintenance provide context -&gt;"/>
    <s v="SDR18 RHS Track repaired, seals replaced within tensioning cylinder, Brake pack replaced on rod handler, cup &amp; Arm re mounted"/>
  </r>
  <r>
    <x v="2"/>
    <d v="2025-07-26T00:00:00"/>
    <s v="SF25_RCRD025"/>
    <s v="SF25_RCRD026"/>
    <s v="SF25_RCRD115"/>
    <m/>
    <s v="Kane Barton"/>
    <n v="4"/>
    <n v="520"/>
    <n v="108"/>
    <n v="50"/>
    <n v="36"/>
    <m/>
    <m/>
    <m/>
    <n v="194"/>
    <n v="8370"/>
    <n v="4.75"/>
    <n v="8370"/>
    <n v="4.25"/>
    <n v="4.25"/>
    <n v="1"/>
    <n v="1"/>
    <n v="6"/>
    <n v="0.75"/>
    <m/>
    <n v="0.5"/>
    <m/>
    <m/>
    <n v="12"/>
    <n v="5250"/>
    <n v="1045.68"/>
    <n v="15185.68"/>
    <n v="375014.73999999993"/>
    <n v="278726.99"/>
    <n v="78.276701030927839"/>
    <m/>
  </r>
  <r>
    <x v="2"/>
    <d v="2025-07-27T00:00:00"/>
    <s v="SF25_RCRD115"/>
    <s v="SF25_RCRD162"/>
    <m/>
    <m/>
    <s v="Kane Barton"/>
    <n v="4"/>
    <n v="520"/>
    <n v="82"/>
    <n v="100"/>
    <n v="50"/>
    <n v="10"/>
    <m/>
    <m/>
    <n v="242"/>
    <n v="10830"/>
    <n v="7.25"/>
    <n v="10830"/>
    <n v="7"/>
    <n v="7"/>
    <n v="1"/>
    <n v="1"/>
    <n v="2.5"/>
    <n v="0.75"/>
    <m/>
    <n v="1.5"/>
    <m/>
    <m/>
    <n v="12"/>
    <n v="3842.5"/>
    <n v="549.77"/>
    <n v="15742.27"/>
    <n v="390757.00999999995"/>
    <n v="294469.26"/>
    <n v="65.050702479338838"/>
    <m/>
  </r>
  <r>
    <x v="2"/>
    <d v="2025-07-28T00:00:00"/>
    <s v="SF25_RCRD0162"/>
    <s v="SF25_RCRD158"/>
    <m/>
    <m/>
    <s v="Kane Barton"/>
    <n v="4"/>
    <n v="520"/>
    <n v="50"/>
    <n v="50"/>
    <n v="98"/>
    <n v="22"/>
    <m/>
    <m/>
    <n v="220"/>
    <n v="10360"/>
    <n v="6.25"/>
    <n v="10360"/>
    <n v="7"/>
    <n v="7"/>
    <n v="1"/>
    <n v="1"/>
    <n v="4"/>
    <n v="1.25"/>
    <m/>
    <n v="0.5"/>
    <m/>
    <m/>
    <n v="12"/>
    <n v="4885"/>
    <n v="993.28"/>
    <n v="16758.28"/>
    <n v="407515.28999999992"/>
    <n v="311227.54000000004"/>
    <n v="76.173999999999992"/>
    <m/>
  </r>
  <r>
    <x v="2"/>
    <d v="2025-07-29T00:00:00"/>
    <s v="SF25_RCRD158"/>
    <s v="SF25_RCRD160"/>
    <m/>
    <m/>
    <s v="Kane Barton"/>
    <n v="4"/>
    <n v="520"/>
    <n v="50"/>
    <n v="50"/>
    <n v="26"/>
    <n v="10"/>
    <m/>
    <m/>
    <n v="136"/>
    <n v="6100"/>
    <n v="4"/>
    <n v="6100"/>
    <n v="4"/>
    <n v="4"/>
    <n v="1"/>
    <n v="1"/>
    <n v="6.25"/>
    <n v="1.25"/>
    <m/>
    <n v="0.5"/>
    <m/>
    <m/>
    <n v="12"/>
    <n v="5518.75"/>
    <n v="993"/>
    <n v="13131.75"/>
    <n v="420647.03999999992"/>
    <n v="324359.29000000004"/>
    <n v="96.556985294117652"/>
    <m/>
  </r>
  <r>
    <x v="2"/>
    <d v="2025-07-30T00:00:00"/>
    <s v="SF25_RCRD160"/>
    <s v="SF25_RCRD0149"/>
    <m/>
    <m/>
    <s v="Kane Barton"/>
    <n v="4"/>
    <n v="520"/>
    <n v="34"/>
    <m/>
    <n v="12"/>
    <m/>
    <m/>
    <m/>
    <n v="46"/>
    <n v="1960"/>
    <n v="1.75"/>
    <n v="1960"/>
    <n v="2"/>
    <n v="2"/>
    <n v="1"/>
    <n v="1"/>
    <n v="9"/>
    <n v="0.75"/>
    <m/>
    <n v="0.5"/>
    <m/>
    <m/>
    <n v="12"/>
    <n v="6480"/>
    <n v="639.88000000000011"/>
    <n v="9599.880000000001"/>
    <n v="430246.91999999993"/>
    <n v="333959.17000000004"/>
    <n v="208.693043478260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
  <r>
    <x v="0"/>
    <n v="1"/>
    <n v="2"/>
    <n v="3"/>
    <n v="4"/>
    <n v="5"/>
    <n v="6"/>
    <x v="0"/>
    <n v="8"/>
    <n v="9"/>
    <n v="10"/>
    <n v="11"/>
    <n v="12"/>
    <n v="13"/>
    <n v="14"/>
    <n v="15"/>
    <n v="16"/>
    <n v="17"/>
    <n v="18"/>
    <n v="19"/>
    <m/>
    <x v="0"/>
    <n v="21"/>
    <n v="22"/>
    <n v="23"/>
    <n v="24"/>
    <n v="25"/>
    <n v="26"/>
    <n v="27"/>
    <n v="28"/>
    <n v="29"/>
    <n v="30"/>
    <n v="31"/>
    <n v="32"/>
    <m/>
    <n v="33"/>
    <n v="34"/>
    <n v="35"/>
    <n v="36"/>
    <n v="37"/>
    <n v="38"/>
    <n v="39"/>
    <n v="40"/>
    <n v="41"/>
    <n v="42"/>
  </r>
  <r>
    <x v="1"/>
    <d v="2025-07-06T05:02:24"/>
    <s v="DS 5am"/>
    <m/>
    <m/>
    <m/>
    <m/>
    <x v="1"/>
    <m/>
    <m/>
    <s v=""/>
    <m/>
    <m/>
    <n v="0"/>
    <m/>
    <m/>
    <n v="0"/>
    <m/>
    <m/>
    <n v="0"/>
    <s v=""/>
    <x v="1"/>
    <s v=""/>
    <m/>
    <m/>
    <m/>
    <n v="0"/>
    <n v="0"/>
    <m/>
    <n v="3.5"/>
    <m/>
    <s v="Unpacking rig after mobilisation"/>
    <n v="8.5"/>
    <m/>
    <m/>
    <n v="12"/>
    <m/>
    <n v="1260"/>
    <m/>
    <n v="1260"/>
    <n v="1260"/>
    <n v="1260"/>
    <e v="#VALUE!"/>
    <s v="LINK"/>
    <s v="Mobilising from timber creek to doon doon road house, unload caravans and the road train at the road house, move gear to site, unload lay down at site, site inspections, travel back to doon doon for accommodation."/>
  </r>
  <r>
    <x v="1"/>
    <d v="2025-07-06T17:02:24"/>
    <s v="NS 5pm"/>
    <m/>
    <m/>
    <m/>
    <m/>
    <x v="1"/>
    <m/>
    <m/>
    <s v=""/>
    <m/>
    <m/>
    <n v="0"/>
    <m/>
    <m/>
    <n v="0"/>
    <m/>
    <m/>
    <n v="0"/>
    <s v=""/>
    <x v="1"/>
    <s v=""/>
    <m/>
    <m/>
    <m/>
    <m/>
    <m/>
    <m/>
    <m/>
    <m/>
    <m/>
    <m/>
    <m/>
    <m/>
    <s v=""/>
    <m/>
    <n v="0"/>
    <m/>
    <n v="0"/>
    <n v="1260"/>
    <s v=""/>
    <s v="no drilling completed"/>
    <s v="LINK"/>
    <s v="No NS"/>
  </r>
  <r>
    <x v="2"/>
    <d v="2025-07-07T05:02:24"/>
    <s v="DS 5am"/>
    <s v="SF25_DMET023"/>
    <m/>
    <s v="Melville, Dean"/>
    <n v="6"/>
    <x v="2"/>
    <n v="0"/>
    <n v="0"/>
    <n v="0"/>
    <m/>
    <m/>
    <n v="0"/>
    <m/>
    <m/>
    <n v="0"/>
    <m/>
    <m/>
    <n v="0"/>
    <n v="0"/>
    <x v="2"/>
    <n v="0"/>
    <n v="1"/>
    <n v="1"/>
    <n v="13170"/>
    <n v="0"/>
    <n v="8.25"/>
    <m/>
    <n v="2"/>
    <m/>
    <m/>
    <n v="1.75"/>
    <m/>
    <m/>
    <n v="12"/>
    <m/>
    <n v="4515"/>
    <n v="761"/>
    <n v="6631"/>
    <n v="7891"/>
    <n v="7891"/>
    <e v="#DIV/0!"/>
    <s v="LINK"/>
    <s v="travel to site from doon doon, unload trucks at laydown, brad meikle/ carl jonas travel to kununurra to pick up bed vans, pack gear for rig, move rig and gear onto drill pad, set up rig on azi, mast shot survey, start setting up drill site, run poly to drill pad, start filling sumps."/>
  </r>
  <r>
    <x v="1"/>
    <d v="2025-07-07T17:02:24"/>
    <s v="NS 5pm"/>
    <m/>
    <m/>
    <m/>
    <m/>
    <x v="1"/>
    <m/>
    <m/>
    <s v=""/>
    <m/>
    <m/>
    <n v="0"/>
    <m/>
    <m/>
    <n v="0"/>
    <m/>
    <m/>
    <n v="0"/>
    <s v=""/>
    <x v="1"/>
    <s v=""/>
    <m/>
    <m/>
    <m/>
    <m/>
    <m/>
    <m/>
    <m/>
    <m/>
    <m/>
    <m/>
    <m/>
    <m/>
    <s v=""/>
    <m/>
    <n v="0"/>
    <m/>
    <n v="0"/>
    <n v="7891"/>
    <s v=""/>
    <s v="no drilling completed"/>
    <s v="LINK"/>
    <m/>
  </r>
  <r>
    <x v="2"/>
    <d v="2025-07-08T05:02:24"/>
    <s v="DS 5am"/>
    <s v="SF25_DMET023"/>
    <m/>
    <s v="Melville, Dean"/>
    <n v="3"/>
    <x v="3"/>
    <n v="0"/>
    <n v="11"/>
    <n v="11"/>
    <m/>
    <m/>
    <n v="0"/>
    <m/>
    <m/>
    <n v="0"/>
    <m/>
    <m/>
    <n v="0"/>
    <n v="11"/>
    <x v="3"/>
    <n v="1955"/>
    <n v="1"/>
    <n v="1"/>
    <n v="13170"/>
    <n v="4.25"/>
    <n v="7"/>
    <m/>
    <n v="0.75"/>
    <m/>
    <m/>
    <m/>
    <m/>
    <m/>
    <n v="12"/>
    <m/>
    <n v="3490"/>
    <n v="686.33999999999992"/>
    <n v="7096.34"/>
    <n v="14987.34"/>
    <n v="14987.34"/>
    <n v="645.12181818181818"/>
    <s v="LINK"/>
    <m/>
  </r>
  <r>
    <x v="2"/>
    <d v="2025-07-08T17:02:24"/>
    <s v="NS 5pm"/>
    <s v="SF25_DMET023"/>
    <m/>
    <s v="Zeke Shackelton"/>
    <n v="3"/>
    <x v="3"/>
    <n v="11"/>
    <n v="26.6"/>
    <n v="15.600000000000001"/>
    <m/>
    <m/>
    <n v="0"/>
    <m/>
    <m/>
    <n v="0"/>
    <m/>
    <m/>
    <n v="0"/>
    <n v="15.600000000000001"/>
    <x v="4"/>
    <n v="3335"/>
    <m/>
    <m/>
    <m/>
    <n v="7.25"/>
    <n v="1.5"/>
    <m/>
    <n v="0.25"/>
    <m/>
    <m/>
    <n v="3"/>
    <m/>
    <m/>
    <n v="12"/>
    <m/>
    <n v="780"/>
    <n v="117.93"/>
    <n v="4622.93"/>
    <n v="19610.27"/>
    <n v="19610.27"/>
    <n v="296.34166666666664"/>
    <s v="LINK"/>
    <m/>
  </r>
  <r>
    <x v="2"/>
    <d v="2025-07-09T05:02:24"/>
    <s v="DS 5am"/>
    <s v="SF25_DMET023"/>
    <m/>
    <s v="Matthew Sing"/>
    <n v="3"/>
    <x v="3"/>
    <n v="26.6"/>
    <n v="33.700000000000003"/>
    <n v="7.1000000000000014"/>
    <m/>
    <m/>
    <n v="0"/>
    <m/>
    <m/>
    <n v="0"/>
    <m/>
    <m/>
    <n v="0"/>
    <n v="7.1000000000000014"/>
    <x v="5"/>
    <n v="1380"/>
    <n v="1"/>
    <n v="1"/>
    <n v="13170"/>
    <n v="3"/>
    <n v="0.25"/>
    <m/>
    <n v="0.25"/>
    <m/>
    <m/>
    <n v="8.5"/>
    <m/>
    <m/>
    <n v="12"/>
    <m/>
    <n v="205"/>
    <n v="0"/>
    <n v="2550"/>
    <n v="22160.27"/>
    <n v="22160.27"/>
    <n v="359.15492957746471"/>
    <s v="LINK"/>
    <s v="Crew change, Pre-shift meeting, Pre-start all equipment, continue to dill PQ3 through broken ground, condition hole"/>
  </r>
  <r>
    <x v="2"/>
    <d v="2025-07-09T17:02:24"/>
    <s v="NS 5pm"/>
    <s v="SF25_DMET023"/>
    <m/>
    <s v="Ben Payton"/>
    <n v="3"/>
    <x v="3"/>
    <n v="33.700000000000003"/>
    <n v="63.7"/>
    <n v="30"/>
    <m/>
    <m/>
    <n v="0"/>
    <m/>
    <m/>
    <n v="0"/>
    <m/>
    <m/>
    <n v="0"/>
    <n v="30"/>
    <x v="6"/>
    <n v="5250"/>
    <m/>
    <m/>
    <m/>
    <n v="10.75"/>
    <n v="0.75"/>
    <m/>
    <n v="0.5"/>
    <m/>
    <m/>
    <m/>
    <m/>
    <m/>
    <n v="12"/>
    <m/>
    <n v="525"/>
    <n v="117.93"/>
    <n v="6282.93"/>
    <n v="28443.200000000001"/>
    <n v="28443.200000000001"/>
    <n v="209.43100000000001"/>
    <s v="LINK"/>
    <m/>
  </r>
  <r>
    <x v="2"/>
    <d v="2025-07-10T05:02:24"/>
    <s v="DS 5am"/>
    <s v="SF25_DMET023"/>
    <m/>
    <s v="Matthew Sing"/>
    <n v="3"/>
    <x v="3"/>
    <n v="63.7"/>
    <n v="84.1"/>
    <n v="20.399999999999991"/>
    <m/>
    <m/>
    <n v="0"/>
    <m/>
    <m/>
    <n v="0"/>
    <m/>
    <m/>
    <n v="0"/>
    <n v="20.399999999999991"/>
    <x v="7"/>
    <n v="5060"/>
    <n v="1"/>
    <n v="1"/>
    <n v="13170"/>
    <n v="11"/>
    <n v="0.5"/>
    <m/>
    <n v="0.5"/>
    <m/>
    <m/>
    <m/>
    <m/>
    <m/>
    <n v="12"/>
    <m/>
    <n v="410"/>
    <n v="427.99"/>
    <n v="6862.99"/>
    <n v="35306.19"/>
    <n v="35306.19"/>
    <n v="336.42107843137268"/>
    <s v="LINK"/>
    <m/>
  </r>
  <r>
    <x v="2"/>
    <d v="2025-07-10T17:02:24"/>
    <s v="NS 5pm"/>
    <s v="SF25_DMET023"/>
    <m/>
    <s v="Ben Payton"/>
    <n v="3"/>
    <x v="3"/>
    <n v="84.1"/>
    <n v="99.7"/>
    <n v="15.600000000000009"/>
    <m/>
    <m/>
    <n v="0"/>
    <m/>
    <m/>
    <n v="0"/>
    <m/>
    <m/>
    <n v="0"/>
    <n v="15.600000000000009"/>
    <x v="8"/>
    <n v="3105"/>
    <m/>
    <m/>
    <m/>
    <n v="6.75"/>
    <n v="4.75"/>
    <s v="Change bit - dropped PVC casing down hole."/>
    <n v="0.5"/>
    <m/>
    <m/>
    <m/>
    <m/>
    <m/>
    <n v="12"/>
    <m/>
    <n v="2365"/>
    <n v="776.68000000000006"/>
    <n v="6636.68"/>
    <n v="41942.870000000003"/>
    <n v="41942.870000000003"/>
    <n v="425.42820512820492"/>
    <s v="LINK"/>
    <m/>
  </r>
  <r>
    <x v="2"/>
    <d v="2025-07-11T05:02:24"/>
    <s v="DS 5am"/>
    <s v="SF25_DMET023"/>
    <m/>
    <s v="Matthew Sing"/>
    <n v="3"/>
    <x v="3"/>
    <n v="99.7"/>
    <n v="118.7"/>
    <n v="19"/>
    <m/>
    <m/>
    <n v="0"/>
    <m/>
    <m/>
    <n v="0"/>
    <m/>
    <m/>
    <n v="0"/>
    <n v="19"/>
    <x v="9"/>
    <n v="3910"/>
    <n v="1"/>
    <n v="1"/>
    <n v="13170"/>
    <n v="8.5"/>
    <n v="3"/>
    <s v="Move hole "/>
    <n v="0.5"/>
    <m/>
    <m/>
    <m/>
    <m/>
    <m/>
    <n v="12"/>
    <m/>
    <n v="1560"/>
    <m/>
    <n v="6435"/>
    <n v="48377.87"/>
    <n v="48377.87"/>
    <n v="338.68421052631578"/>
    <s v="LINK"/>
    <m/>
  </r>
  <r>
    <x v="2"/>
    <d v="2025-07-11T17:02:24"/>
    <s v="NS 5pm"/>
    <s v="SF25_DMET022"/>
    <m/>
    <s v="Ben Payton"/>
    <n v="3"/>
    <x v="3"/>
    <n v="0"/>
    <n v="16.5"/>
    <n v="16.5"/>
    <m/>
    <m/>
    <n v="0"/>
    <m/>
    <m/>
    <n v="0"/>
    <m/>
    <m/>
    <n v="0"/>
    <n v="16.5"/>
    <x v="10"/>
    <n v="3335"/>
    <m/>
    <m/>
    <m/>
    <n v="7.25"/>
    <n v="4.25"/>
    <s v="Setting up pad"/>
    <n v="0.5"/>
    <m/>
    <m/>
    <m/>
    <m/>
    <m/>
    <n v="12"/>
    <m/>
    <n v="2135"/>
    <n v="396.12"/>
    <n v="6256.12"/>
    <n v="54633.990000000005"/>
    <n v="54633.990000000005"/>
    <n v="379.15878787878785"/>
    <s v="LINK"/>
    <m/>
  </r>
  <r>
    <x v="2"/>
    <d v="2025-07-12T05:02:24"/>
    <s v="DS 5am"/>
    <s v="SF25_DMET022"/>
    <m/>
    <s v="Matthew Sing"/>
    <n v="3"/>
    <x v="3"/>
    <n v="16.5"/>
    <n v="39.4"/>
    <n v="22.9"/>
    <m/>
    <m/>
    <n v="0"/>
    <m/>
    <m/>
    <n v="0"/>
    <m/>
    <m/>
    <n v="0"/>
    <n v="22.9"/>
    <x v="11"/>
    <n v="4945"/>
    <n v="1"/>
    <n v="1"/>
    <n v="13170"/>
    <n v="10.75"/>
    <n v="0.25"/>
    <m/>
    <n v="0.5"/>
    <m/>
    <m/>
    <n v="0.5"/>
    <m/>
    <m/>
    <n v="12"/>
    <m/>
    <n v="295"/>
    <n v="151.79"/>
    <n v="6356.79"/>
    <n v="60990.780000000006"/>
    <n v="60990.780000000006"/>
    <n v="277.58908296943235"/>
    <s v="LINK"/>
    <m/>
  </r>
  <r>
    <x v="2"/>
    <d v="2025-07-12T17:02:24"/>
    <s v="NS 5pm"/>
    <s v="SF25_DMET022"/>
    <m/>
    <s v="Ben Payton"/>
    <n v="3"/>
    <x v="3"/>
    <n v="39.4"/>
    <n v="60.6"/>
    <n v="21.200000000000003"/>
    <m/>
    <m/>
    <n v="0"/>
    <m/>
    <m/>
    <n v="0"/>
    <m/>
    <m/>
    <n v="0"/>
    <n v="21.200000000000003"/>
    <x v="12"/>
    <n v="3910"/>
    <m/>
    <m/>
    <m/>
    <n v="8.5"/>
    <n v="2.5"/>
    <m/>
    <n v="0.5"/>
    <m/>
    <m/>
    <n v="0.5"/>
    <m/>
    <m/>
    <n v="12"/>
    <m/>
    <n v="1330"/>
    <n v="117.93"/>
    <n v="5747.93"/>
    <n v="66738.710000000006"/>
    <n v="66738.710000000006"/>
    <n v="271.12877358490562"/>
    <s v="LINK"/>
    <m/>
  </r>
  <r>
    <x v="2"/>
    <d v="2025-07-13T05:02:24"/>
    <s v="DS 5am"/>
    <s v="SF25_DMET022"/>
    <m/>
    <s v="Matthew Sing"/>
    <n v="3"/>
    <x v="3"/>
    <n v="60.6"/>
    <n v="73.8"/>
    <n v="13.199999999999996"/>
    <m/>
    <m/>
    <n v="0"/>
    <m/>
    <m/>
    <n v="0"/>
    <m/>
    <m/>
    <n v="0"/>
    <n v="13.199999999999996"/>
    <x v="13"/>
    <n v="4025"/>
    <n v="1"/>
    <n v="1"/>
    <n v="13170"/>
    <n v="8.75"/>
    <n v="2.75"/>
    <m/>
    <n v="0.5"/>
    <m/>
    <m/>
    <m/>
    <m/>
    <m/>
    <n v="12"/>
    <m/>
    <n v="1445"/>
    <n v="53.23"/>
    <n v="6488.23"/>
    <n v="73226.94"/>
    <n v="73226.94"/>
    <n v="491.5325757575759"/>
    <s v="LINK"/>
    <m/>
  </r>
  <r>
    <x v="2"/>
    <d v="2025-07-13T17:02:24"/>
    <s v="NS 5pm"/>
    <s v="SF25_DMET022"/>
    <m/>
    <s v="Ben Payton"/>
    <n v="3"/>
    <x v="3"/>
    <n v="73.8"/>
    <n v="101.1"/>
    <n v="27.299999999999997"/>
    <m/>
    <m/>
    <n v="0"/>
    <m/>
    <m/>
    <n v="0"/>
    <m/>
    <m/>
    <n v="0"/>
    <n v="27.299999999999997"/>
    <x v="14"/>
    <n v="5060"/>
    <m/>
    <m/>
    <m/>
    <n v="11"/>
    <n v="0.5"/>
    <m/>
    <n v="0.5"/>
    <m/>
    <m/>
    <m/>
    <m/>
    <m/>
    <n v="12"/>
    <m/>
    <n v="410"/>
    <n v="117.93"/>
    <n v="5977.93"/>
    <n v="79204.87"/>
    <n v="79204.87"/>
    <n v="218.97179487179491"/>
    <s v="LINK"/>
    <m/>
  </r>
  <r>
    <x v="2"/>
    <d v="2025-07-14T05:02:24"/>
    <s v="DS 5am"/>
    <s v="SF25_DMET022"/>
    <m/>
    <s v="Matthew Sing"/>
    <n v="3"/>
    <x v="3"/>
    <n v="101.1"/>
    <n v="120.7"/>
    <n v="19.600000000000009"/>
    <m/>
    <m/>
    <n v="0"/>
    <m/>
    <m/>
    <n v="0"/>
    <m/>
    <m/>
    <n v="0"/>
    <n v="19.600000000000009"/>
    <x v="15"/>
    <n v="3680"/>
    <n v="1"/>
    <n v="1"/>
    <n v="13170"/>
    <n v="8"/>
    <n v="3.5"/>
    <s v="rig move"/>
    <n v="0.5"/>
    <m/>
    <m/>
    <m/>
    <m/>
    <m/>
    <n v="12"/>
    <m/>
    <n v="1790"/>
    <m/>
    <n v="6435"/>
    <n v="85639.87"/>
    <n v="85639.87"/>
    <n v="328.31632653061212"/>
    <s v="LINK"/>
    <s v="Pre-shift meeting, Pre-start all equipment, continue to drill PQ3, survey @ 108m and 117m, drill to EOH @ 120.7m, move equipment to bring in ST and pull out barrel, mast down, pack up site and move equipment to next hole, mast up and take mast shot, start setting up site"/>
  </r>
  <r>
    <x v="2"/>
    <d v="2025-07-14T17:02:24"/>
    <s v="NS 5pm"/>
    <s v="SF25_DMET021"/>
    <m/>
    <s v="Ben Payton"/>
    <n v="3"/>
    <x v="3"/>
    <n v="0"/>
    <n v="20.5"/>
    <n v="20.5"/>
    <m/>
    <m/>
    <n v="0"/>
    <m/>
    <m/>
    <n v="0"/>
    <m/>
    <m/>
    <n v="0"/>
    <n v="20.5"/>
    <x v="16"/>
    <n v="3795"/>
    <m/>
    <m/>
    <m/>
    <n v="8.25"/>
    <n v="3.25"/>
    <m/>
    <n v="0.5"/>
    <m/>
    <m/>
    <m/>
    <m/>
    <m/>
    <n v="12"/>
    <m/>
    <n v="1675"/>
    <n v="235.86"/>
    <n v="6095.86"/>
    <n v="91735.73"/>
    <n v="91735.73"/>
    <n v="297.35902439024386"/>
    <s v="LINK"/>
    <s v="Pre-shift meeting / Pre-start all equipment / Set up site / Drill PQ3 from surface / Ream 6.0m of PWT casing in hole as ground too hard from surface for Rock roller &amp; PVC / Flush Hole clean / Drill on PQ3 DR38, RT38, LP10, ST25, LT95, DDH1 DL219"/>
  </r>
  <r>
    <x v="2"/>
    <d v="2025-07-15T05:02:24"/>
    <s v="DS 5am"/>
    <s v="SF25_DMET021"/>
    <m/>
    <s v="Matthew Sing"/>
    <n v="3"/>
    <x v="3"/>
    <n v="20.5"/>
    <n v="50.5"/>
    <n v="30"/>
    <m/>
    <m/>
    <n v="0"/>
    <m/>
    <m/>
    <n v="0"/>
    <m/>
    <m/>
    <n v="0"/>
    <n v="30"/>
    <x v="6"/>
    <n v="5250"/>
    <n v="1"/>
    <n v="1"/>
    <n v="13170"/>
    <n v="10.5"/>
    <n v="1"/>
    <m/>
    <n v="0.5"/>
    <m/>
    <m/>
    <m/>
    <m/>
    <m/>
    <n v="12"/>
    <m/>
    <n v="640"/>
    <n v="879.56"/>
    <n v="7734.5599999999995"/>
    <n v="99470.29"/>
    <n v="99470.29"/>
    <n v="257.81866666666667"/>
    <s v="LINK"/>
    <s v="Continue to drill PQ3, survey @ 18m &amp; 36m, pull out and run in softer bit, condition hole throughout shift "/>
  </r>
  <r>
    <x v="2"/>
    <d v="2025-07-15T17:02:24"/>
    <s v="NS 5pm"/>
    <s v="SF25_DMET021"/>
    <m/>
    <s v="Ben Payton"/>
    <n v="3"/>
    <x v="3"/>
    <n v="50.5"/>
    <n v="80.599999999999994"/>
    <n v="30.099999999999994"/>
    <m/>
    <m/>
    <n v="0"/>
    <m/>
    <m/>
    <n v="0"/>
    <m/>
    <m/>
    <n v="0"/>
    <n v="30.099999999999994"/>
    <x v="17"/>
    <n v="5267.4999999999991"/>
    <m/>
    <m/>
    <m/>
    <n v="10.25"/>
    <n v="1.25"/>
    <m/>
    <n v="0.5"/>
    <m/>
    <m/>
    <m/>
    <m/>
    <m/>
    <n v="12"/>
    <m/>
    <n v="755"/>
    <n v="236.49"/>
    <n v="6648.9899999999989"/>
    <n v="106119.28"/>
    <n v="106119.28"/>
    <n v="220.89667774086379"/>
    <s v="LINK"/>
    <s v="Drill PQ3, 54m &amp; 72m surveys of hole, bit change due to worn bit, run back in, Drill on PQ3"/>
  </r>
  <r>
    <x v="2"/>
    <d v="2025-07-16T05:02:24"/>
    <s v="DS 5am"/>
    <s v="SF25_DMET021"/>
    <s v="SF25_DMET020"/>
    <s v="Matthew Sing"/>
    <n v="3"/>
    <x v="3"/>
    <n v="80.599999999999994"/>
    <n v="90.6"/>
    <n v="10"/>
    <m/>
    <m/>
    <n v="0"/>
    <n v="0"/>
    <n v="9"/>
    <n v="9"/>
    <m/>
    <m/>
    <n v="0"/>
    <n v="19"/>
    <x v="9"/>
    <n v="3325"/>
    <n v="1"/>
    <n v="1"/>
    <n v="13170"/>
    <n v="6.5"/>
    <n v="4.5"/>
    <m/>
    <n v="1"/>
    <m/>
    <m/>
    <m/>
    <m/>
    <m/>
    <n v="12"/>
    <m/>
    <n v="2430"/>
    <m/>
    <n v="6720"/>
    <n v="112839.28"/>
    <n v="112839.28"/>
    <n v="353.68421052631578"/>
    <s v="LINK"/>
    <s v="Continue to drill PQ3, survey @ 87m, drill to EOH, move equipment to bring in ST, pull out barrel, pull out casing, mast down and move rig, mast up and take mast shot, commence drilling PQ3 from surface"/>
  </r>
  <r>
    <x v="2"/>
    <d v="2025-07-16T17:02:24"/>
    <s v="NS 5pm"/>
    <s v="SF25_DMET020"/>
    <m/>
    <s v="Ben Payton"/>
    <n v="3"/>
    <x v="3"/>
    <n v="9"/>
    <n v="30.8"/>
    <n v="21.8"/>
    <m/>
    <m/>
    <n v="0"/>
    <m/>
    <m/>
    <n v="0"/>
    <m/>
    <m/>
    <n v="0"/>
    <n v="21.8"/>
    <x v="18"/>
    <n v="4025"/>
    <m/>
    <m/>
    <m/>
    <n v="8.75"/>
    <n v="2.75"/>
    <m/>
    <n v="0.5"/>
    <m/>
    <m/>
    <m/>
    <m/>
    <m/>
    <n v="12"/>
    <m/>
    <n v="1445"/>
    <n v="396.12"/>
    <n v="6256.12"/>
    <n v="119095.4"/>
    <n v="119095.4"/>
    <n v="286.97798165137613"/>
    <s v="LINK"/>
    <s v="Open out hole with rock roller. Grout 6.0m 150mm PVC in place. Wait on grout to cure. Flush back to bottom,  Drill on PQ3, Change out worn bit and front reamer, Survey @ 18m "/>
  </r>
  <r>
    <x v="2"/>
    <d v="2025-07-17T05:02:24"/>
    <s v="DS 5am"/>
    <s v="SF25_DMET020"/>
    <m/>
    <s v="Matthew Sing"/>
    <n v="3"/>
    <x v="3"/>
    <n v="30.8"/>
    <n v="57"/>
    <n v="26.2"/>
    <m/>
    <m/>
    <n v="0"/>
    <m/>
    <m/>
    <n v="0"/>
    <m/>
    <m/>
    <n v="0"/>
    <n v="26.2"/>
    <x v="19"/>
    <n v="4715"/>
    <n v="1"/>
    <n v="1"/>
    <n v="13170"/>
    <n v="10.25"/>
    <n v="1.25"/>
    <m/>
    <n v="0.5"/>
    <m/>
    <m/>
    <m/>
    <m/>
    <m/>
    <n v="12"/>
    <m/>
    <n v="755"/>
    <m/>
    <n v="6435"/>
    <n v="125530.4"/>
    <n v="125530.4"/>
    <n v="245.61068702290078"/>
    <s v="LINK"/>
    <s v="continue to drill PQ3, survey @ 36m, lost water return @ 51.4m, bombed hole with no success, condition hole throughout shift, replace torn poly twice during shift"/>
  </r>
  <r>
    <x v="2"/>
    <d v="2025-07-17T17:02:24"/>
    <s v="NS 5pm"/>
    <s v="SF25_DMET020"/>
    <m/>
    <s v="Ben Payton"/>
    <n v="3"/>
    <x v="3"/>
    <n v="57"/>
    <n v="84.7"/>
    <n v="27.700000000000003"/>
    <m/>
    <m/>
    <n v="0"/>
    <m/>
    <m/>
    <n v="0"/>
    <m/>
    <m/>
    <n v="0"/>
    <n v="27.700000000000003"/>
    <x v="20"/>
    <n v="4847.5000000000009"/>
    <m/>
    <m/>
    <m/>
    <n v="10"/>
    <n v="1.5"/>
    <m/>
    <n v="0.5"/>
    <m/>
    <m/>
    <m/>
    <m/>
    <m/>
    <n v="12"/>
    <m/>
    <n v="870"/>
    <n v="117.93"/>
    <n v="6225.4300000000012"/>
    <n v="131755.82999999999"/>
    <n v="131755.82999999999"/>
    <n v="224.74476534296031"/>
    <s v="LINK"/>
    <s v="Pull Rods for dead bit, Change out worn bit and both reamer / Ream barrel back to bottom of hole / Drill on PQ3 / Survey @ 54 &amp; 72m "/>
  </r>
  <r>
    <x v="2"/>
    <d v="2025-07-18T05:02:24"/>
    <s v="DS 5am"/>
    <s v="SF25_DMET020"/>
    <m/>
    <s v="Matthew Sing"/>
    <n v="3"/>
    <x v="3"/>
    <n v="84.7"/>
    <n v="90.7"/>
    <n v="6"/>
    <m/>
    <m/>
    <n v="0"/>
    <m/>
    <m/>
    <n v="0"/>
    <m/>
    <m/>
    <n v="0"/>
    <n v="6"/>
    <x v="21"/>
    <n v="1610"/>
    <n v="1"/>
    <n v="1"/>
    <n v="13170"/>
    <n v="3.5"/>
    <n v="7.5"/>
    <s v="rig move"/>
    <n v="1"/>
    <m/>
    <m/>
    <m/>
    <m/>
    <m/>
    <n v="12"/>
    <m/>
    <n v="3810"/>
    <m/>
    <n v="6385"/>
    <n v="138140.82999999999"/>
    <n v="138140.82999999999"/>
    <n v="1064.1666666666667"/>
    <s v="LINK"/>
    <s v="continue to drill PQ3, drill to EOH, survey @ 87m, move equipment to bring in ST, pull out barrel, mast down, pack up site, inspect next pads with client, move rig and equipment to next pad, setup site. "/>
  </r>
  <r>
    <x v="2"/>
    <d v="2025-07-18T17:02:24"/>
    <s v="NS 5pm"/>
    <s v="SF25_DMET010"/>
    <m/>
    <s v="Ben Payton"/>
    <n v="3"/>
    <x v="3"/>
    <n v="0"/>
    <n v="14.9"/>
    <n v="14.9"/>
    <m/>
    <m/>
    <n v="0"/>
    <m/>
    <m/>
    <n v="0"/>
    <m/>
    <m/>
    <n v="0"/>
    <n v="14.9"/>
    <x v="22"/>
    <n v="2607.5"/>
    <m/>
    <m/>
    <m/>
    <n v="5.25"/>
    <n v="6.25"/>
    <m/>
    <n v="0.5"/>
    <m/>
    <m/>
    <m/>
    <m/>
    <m/>
    <n v="12"/>
    <m/>
    <n v="3055"/>
    <n v="514.04999999999995"/>
    <n v="6566.55"/>
    <n v="144707.37999999998"/>
    <n v="144707.37999999998"/>
    <n v="440.70805369127515"/>
    <s v="LINK"/>
    <s v="Finish setting up site on tight drill pad. Wait on water supply due to being in use already. Drill PQ3 from surface. Open out hole with rock roller, Grout 6.0m 150mm PVC in place. Wait on grout to cure, Flush back to bottom"/>
  </r>
  <r>
    <x v="2"/>
    <d v="2025-07-19T05:02:24"/>
    <s v="DS 5am"/>
    <s v="SF25_DMET010"/>
    <m/>
    <s v="Matthew Sing"/>
    <n v="3"/>
    <x v="3"/>
    <n v="14.9"/>
    <n v="45.6"/>
    <n v="30.700000000000003"/>
    <m/>
    <m/>
    <n v="0"/>
    <m/>
    <m/>
    <n v="0"/>
    <m/>
    <m/>
    <n v="0"/>
    <n v="30.700000000000003"/>
    <x v="23"/>
    <n v="5372.5000000000009"/>
    <n v="1"/>
    <n v="1"/>
    <n v="13170"/>
    <n v="10.75"/>
    <n v="0.75"/>
    <m/>
    <n v="0.5"/>
    <m/>
    <m/>
    <m/>
    <m/>
    <m/>
    <n v="12"/>
    <m/>
    <n v="525"/>
    <m/>
    <n v="6862.5000000000009"/>
    <n v="151569.87999999998"/>
    <n v="151569.87999999998"/>
    <n v="223.53420195439739"/>
    <s v="LINK"/>
    <s v="continue to drill PQ3, survey @ 18m &amp; 36m, condition hole throughout shift. "/>
  </r>
  <r>
    <x v="2"/>
    <d v="2025-07-19T17:02:24"/>
    <s v="NS 5pm"/>
    <s v="SF25_DMET010"/>
    <m/>
    <s v="Ben Payton"/>
    <n v="3"/>
    <x v="3"/>
    <n v="45.6"/>
    <n v="75.599999999999994"/>
    <n v="29.999999999999993"/>
    <m/>
    <m/>
    <n v="0"/>
    <m/>
    <m/>
    <n v="0"/>
    <m/>
    <m/>
    <n v="0"/>
    <n v="29.999999999999993"/>
    <x v="24"/>
    <n v="5249.9999999999991"/>
    <m/>
    <m/>
    <m/>
    <n v="10.5"/>
    <n v="1"/>
    <m/>
    <n v="0.5"/>
    <m/>
    <m/>
    <m/>
    <m/>
    <m/>
    <n v="12"/>
    <m/>
    <n v="640"/>
    <n v="117.93"/>
    <n v="6397.9299999999994"/>
    <n v="157967.80999999997"/>
    <n v="157967.80999999997"/>
    <n v="213.26433333333335"/>
    <s v="LINK"/>
    <s v="Drill on PQ3 / Survey hole @ 54m / Pull rods and change worn bit, Run back in / Drill on PQ3"/>
  </r>
  <r>
    <x v="2"/>
    <d v="2025-07-20T05:02:24"/>
    <s v="DS 5am"/>
    <s v="SF25_DMET010"/>
    <s v="SF25_DDGT012"/>
    <s v="Matthew Sing"/>
    <n v="3"/>
    <x v="3"/>
    <n v="75.599999999999994"/>
    <n v="81.599999999999994"/>
    <n v="6"/>
    <n v="0"/>
    <n v="2.2999999999999998"/>
    <n v="2.2999999999999998"/>
    <m/>
    <m/>
    <n v="0"/>
    <m/>
    <m/>
    <n v="0"/>
    <n v="8.3000000000000007"/>
    <x v="25"/>
    <n v="1495"/>
    <n v="1"/>
    <n v="1"/>
    <n v="13170"/>
    <n v="3.25"/>
    <n v="7.75"/>
    <s v="rig move"/>
    <n v="0.5"/>
    <m/>
    <m/>
    <n v="0.5"/>
    <m/>
    <m/>
    <n v="12"/>
    <m/>
    <n v="3745"/>
    <m/>
    <n v="6205"/>
    <n v="164172.80999999997"/>
    <n v="164172.80999999997"/>
    <n v="747.59036144578306"/>
    <s v="LINK"/>
    <s v="Drill to EOH, survey @ 78m, pad to small to pull rods straight onto ST, pull out rods and manual handle rods to truck, pack up site, move equipment to next drill pad, mast up, mast shot, setup site, commence drilling HQ3 from surface, toolbox meeting"/>
  </r>
  <r>
    <x v="3"/>
    <d v="2025-07-20T17:02:24"/>
    <s v="NS 5pm"/>
    <s v="SF25_DDGT012"/>
    <m/>
    <s v="Ben Payton"/>
    <n v="3"/>
    <x v="3"/>
    <m/>
    <m/>
    <n v="0"/>
    <n v="2.2999999999999998"/>
    <n v="19.8"/>
    <n v="17.5"/>
    <m/>
    <m/>
    <n v="0"/>
    <m/>
    <m/>
    <n v="0"/>
    <n v="17.5"/>
    <x v="26"/>
    <n v="3335"/>
    <m/>
    <m/>
    <m/>
    <n v="7.25"/>
    <n v="3.75"/>
    <m/>
    <n v="0.5"/>
    <m/>
    <m/>
    <n v="0.5"/>
    <m/>
    <m/>
    <n v="12"/>
    <m/>
    <n v="1905"/>
    <n v="514.04999999999995"/>
    <n v="6144.05"/>
    <n v="170316.85999999996"/>
    <n v="170316.85999999996"/>
    <n v="351.08857142857141"/>
    <s v="LINK"/>
    <s v="Drill on HQ3 to competent ground / Open out hole with rock roller / Grout 6.0m 150mm PVC in place / Wait on grout to cure / Flush back to bottom with HQ3 barrel / Ream HWT over HQ to 15m / Flush hole "/>
  </r>
  <r>
    <x v="3"/>
    <d v="2025-07-21T05:02:24"/>
    <s v="DS 5am"/>
    <s v="SF25_DDGT012"/>
    <m/>
    <s v="Matthew Sing"/>
    <n v="3"/>
    <x v="3"/>
    <m/>
    <m/>
    <n v="0"/>
    <n v="19.8"/>
    <n v="41.3"/>
    <n v="21.499999999999996"/>
    <m/>
    <m/>
    <n v="0"/>
    <m/>
    <m/>
    <n v="0"/>
    <n v="21.5"/>
    <x v="27"/>
    <n v="4945"/>
    <n v="1"/>
    <n v="1"/>
    <n v="13170"/>
    <n v="10.75"/>
    <n v="0.75"/>
    <m/>
    <n v="0.5"/>
    <m/>
    <m/>
    <m/>
    <m/>
    <m/>
    <n v="12"/>
    <m/>
    <n v="525"/>
    <n v="151.79"/>
    <n v="6586.79"/>
    <n v="176903.64999999997"/>
    <n v="176903.64999999997"/>
    <n v="306.36232558139534"/>
    <s v="LINK"/>
    <s v="Continue to drill HQ3 through broken ground/short runs, survey @ 18m and 36m, condition hole throughout shift"/>
  </r>
  <r>
    <x v="3"/>
    <d v="2025-07-21T17:02:24"/>
    <s v="NS 5pm"/>
    <s v="SF25_DDGT012"/>
    <m/>
    <s v="Ben Payton"/>
    <n v="3"/>
    <x v="3"/>
    <m/>
    <m/>
    <n v="0"/>
    <n v="41.3"/>
    <n v="63.2"/>
    <n v="21.900000000000006"/>
    <m/>
    <m/>
    <n v="0"/>
    <m/>
    <m/>
    <n v="0"/>
    <n v="21.900000000000006"/>
    <x v="28"/>
    <n v="4945"/>
    <m/>
    <m/>
    <m/>
    <n v="10.75"/>
    <n v="0.75"/>
    <m/>
    <n v="0.5"/>
    <m/>
    <m/>
    <m/>
    <m/>
    <m/>
    <n v="12"/>
    <m/>
    <n v="525"/>
    <n v="117.93"/>
    <n v="5977.93"/>
    <n v="182881.57999999996"/>
    <n v="182881.57999999996"/>
    <n v="272.96484018264835"/>
    <s v="LINK"/>
    <s v="Drill on HQ3 / Broken formation/Short runs with some soft sections / Survey hole @ 54m "/>
  </r>
  <r>
    <x v="3"/>
    <d v="2025-07-22T05:02:24"/>
    <s v="DS 5am"/>
    <s v="SF25_DDGT012"/>
    <s v="SF25_DMET024"/>
    <s v="Matthew Sing"/>
    <n v="3"/>
    <x v="3"/>
    <n v="0"/>
    <n v="3.7"/>
    <n v="3.7"/>
    <n v="63.2"/>
    <n v="70.5"/>
    <n v="7.2999999999999972"/>
    <m/>
    <m/>
    <n v="0"/>
    <m/>
    <m/>
    <n v="0"/>
    <n v="10.999999999999996"/>
    <x v="29"/>
    <n v="2875"/>
    <n v="1"/>
    <n v="1"/>
    <n v="13170"/>
    <n v="6.25"/>
    <n v="5.25"/>
    <m/>
    <n v="0.5"/>
    <m/>
    <m/>
    <m/>
    <m/>
    <m/>
    <n v="12"/>
    <m/>
    <n v="2595"/>
    <m/>
    <n v="6435"/>
    <n v="189316.57999999996"/>
    <n v="189316.57999999996"/>
    <n v="585.00000000000023"/>
    <s v="LINK"/>
    <s v="Continue to drill HQ3 through broken ground/short runs to EOH, survey @ 66m, move equipment to bring in ST, pull out barrel, hook up flush casing, work stuck casing, pull out casing, packup site, move to next pad, mast up, mast shot, setup site, commence drilling PQ3 from surface"/>
  </r>
  <r>
    <x v="2"/>
    <d v="2025-07-22T17:02:24"/>
    <s v="NS 5pm"/>
    <s v="SF25_DMET024"/>
    <m/>
    <s v="Ben Payton"/>
    <n v="3"/>
    <x v="3"/>
    <n v="3.7"/>
    <n v="20.100000000000001"/>
    <n v="16.400000000000002"/>
    <m/>
    <m/>
    <n v="0"/>
    <m/>
    <m/>
    <n v="0"/>
    <m/>
    <m/>
    <n v="0"/>
    <n v="16.400000000000002"/>
    <x v="30"/>
    <n v="2870.0000000000005"/>
    <m/>
    <m/>
    <m/>
    <n v="5.75"/>
    <n v="2.75"/>
    <m/>
    <n v="0.5"/>
    <m/>
    <m/>
    <n v="3"/>
    <m/>
    <s v="Crew Change"/>
    <n v="12"/>
    <m/>
    <n v="1445"/>
    <n v="514.04999999999995"/>
    <n v="5219.05"/>
    <n v="194535.62999999995"/>
    <n v="194535.62999999995"/>
    <n v="318.23475609756093"/>
    <s v="LINK"/>
    <s v="Drill on PQ3 / Open out hole with rock roller / Grout 6.0m 150mm PVC in place / Wait on grout to cure / Flush back to bottom / Drill on PQ3/ crew packed up early to fly out"/>
  </r>
  <r>
    <x v="2"/>
    <d v="2025-07-23T05:02:24"/>
    <s v="DS 5am"/>
    <s v="SF25_DMET024"/>
    <m/>
    <s v="Zeke Shackelton"/>
    <n v="3"/>
    <x v="3"/>
    <n v="20.100000000000001"/>
    <n v="27.7"/>
    <n v="7.5999999999999979"/>
    <m/>
    <m/>
    <n v="0"/>
    <m/>
    <m/>
    <n v="0"/>
    <m/>
    <m/>
    <n v="0"/>
    <n v="7.5999999999999979"/>
    <x v="31"/>
    <n v="1610"/>
    <n v="1"/>
    <n v="1"/>
    <n v="13170"/>
    <n v="3.5"/>
    <n v="0.75"/>
    <s v="crew change"/>
    <n v="0.5"/>
    <m/>
    <m/>
    <n v="7.25"/>
    <m/>
    <s v="Crew Change"/>
    <n v="12"/>
    <m/>
    <n v="525"/>
    <m/>
    <n v="3100"/>
    <n v="197635.62999999995"/>
    <n v="197635.62999999995"/>
    <n v="407.89473684210537"/>
    <s v="LINK"/>
    <s v="Crew Change pick up stores/ dump rubbish/ pick up food order/Pre-shift meeting / Pre-start all equipment / Drill on PQ3 "/>
  </r>
  <r>
    <x v="2"/>
    <d v="2025-07-23T17:02:24"/>
    <s v="NS 5pm"/>
    <s v="SF25_DMET024"/>
    <m/>
    <s v="Matthew Sing"/>
    <n v="3"/>
    <x v="3"/>
    <n v="27.7"/>
    <n v="55.1"/>
    <n v="27.400000000000002"/>
    <m/>
    <m/>
    <n v="0"/>
    <m/>
    <m/>
    <n v="0"/>
    <m/>
    <m/>
    <n v="0"/>
    <n v="27.400000000000002"/>
    <x v="32"/>
    <n v="4830"/>
    <m/>
    <m/>
    <m/>
    <n v="10.5"/>
    <n v="1"/>
    <m/>
    <n v="0.5"/>
    <m/>
    <m/>
    <m/>
    <m/>
    <m/>
    <n v="12"/>
    <m/>
    <n v="640"/>
    <m/>
    <n v="5860"/>
    <n v="203495.62999999995"/>
    <n v="203495.62999999995"/>
    <n v="213.8686131386861"/>
    <s v="LINK"/>
    <s v="continue to drill PQ3, survey @ 36m, pull out of hole for bit change, run back in and continue to drill PQ3, condition hole throughout shift."/>
  </r>
  <r>
    <x v="2"/>
    <d v="2025-07-24T05:02:24"/>
    <s v="DS 5am"/>
    <s v="SF25_DMET024"/>
    <m/>
    <s v="Zeke Shackelton"/>
    <n v="3"/>
    <x v="3"/>
    <n v="55.1"/>
    <n v="84.7"/>
    <n v="29.6"/>
    <m/>
    <m/>
    <n v="0"/>
    <m/>
    <m/>
    <n v="0"/>
    <m/>
    <m/>
    <n v="0"/>
    <n v="29.6"/>
    <x v="33"/>
    <n v="5180"/>
    <n v="1"/>
    <n v="1"/>
    <n v="13170"/>
    <n v="10.5"/>
    <n v="1"/>
    <m/>
    <n v="0.5"/>
    <m/>
    <m/>
    <m/>
    <m/>
    <m/>
    <n v="12"/>
    <m/>
    <n v="640"/>
    <n v="256.06"/>
    <n v="7041.06"/>
    <n v="210536.68999999994"/>
    <n v="210536.68999999994"/>
    <n v="237.87364864864864"/>
    <s v="LINK"/>
    <s v="Drill on PQ3 / lost water at 69m pumped three lc stop plugs with SureSeal still losing a lot of water / fixed key start on pump / survey hole at 54m 72 m / housekeeping and maintenance "/>
  </r>
  <r>
    <x v="2"/>
    <d v="2025-07-24T17:02:24"/>
    <s v="NS 5pm"/>
    <s v="SF25_DMET024"/>
    <m/>
    <s v="Matthew Sing"/>
    <n v="3"/>
    <x v="3"/>
    <n v="84.7"/>
    <n v="101.1"/>
    <n v="16.399999999999991"/>
    <m/>
    <m/>
    <n v="0"/>
    <m/>
    <m/>
    <n v="0"/>
    <m/>
    <m/>
    <n v="0"/>
    <n v="16.399999999999991"/>
    <x v="34"/>
    <n v="3335"/>
    <m/>
    <m/>
    <m/>
    <n v="7.25"/>
    <n v="4.25"/>
    <m/>
    <n v="0.5"/>
    <m/>
    <m/>
    <m/>
    <m/>
    <m/>
    <n v="12"/>
    <m/>
    <n v="2135"/>
    <m/>
    <n v="5860"/>
    <n v="216396.68999999994"/>
    <n v="216396.68999999994"/>
    <n v="357.31707317073187"/>
    <s v="LINK"/>
    <s v="continue to drill PQ3, survey @ 90m and 96m, drill to EOH, move equipment to bring in ST, pull out barrel, pack up site, condition hole throughout shift"/>
  </r>
  <r>
    <x v="3"/>
    <d v="2025-07-25T05:02:24"/>
    <s v="DS 5am"/>
    <s v="SF25_DDGT006"/>
    <m/>
    <s v="Zeke Shackelton"/>
    <n v="3"/>
    <x v="3"/>
    <m/>
    <m/>
    <n v="0"/>
    <n v="0"/>
    <n v="6"/>
    <n v="6"/>
    <m/>
    <m/>
    <n v="0"/>
    <m/>
    <m/>
    <n v="0"/>
    <n v="6"/>
    <x v="35"/>
    <n v="810"/>
    <n v="1"/>
    <n v="1"/>
    <n v="13170"/>
    <n v="0"/>
    <n v="7.5"/>
    <s v="delay getting water to rig at TSF"/>
    <n v="4.5"/>
    <m/>
    <s v="delay getting water to rig at TSF"/>
    <m/>
    <m/>
    <m/>
    <n v="12"/>
    <m/>
    <n v="5070"/>
    <n v="256.06"/>
    <n v="7101.06"/>
    <n v="223497.74999999994"/>
    <n v="223497.74999999994"/>
    <n v="1183.51"/>
    <s v="LINK"/>
    <s v="move to site, set up site, set up spt and Shelby sampling, standby for water delays due to no water supply close to pad."/>
  </r>
  <r>
    <x v="3"/>
    <d v="2025-07-25T17:02:24"/>
    <s v="NS 5pm"/>
    <s v="SF25_DDGT006"/>
    <m/>
    <s v="Matthew Sing"/>
    <n v="3"/>
    <x v="3"/>
    <m/>
    <m/>
    <n v="0"/>
    <n v="6"/>
    <n v="13.8"/>
    <n v="7.8000000000000007"/>
    <m/>
    <m/>
    <n v="0"/>
    <m/>
    <m/>
    <n v="0"/>
    <n v="7.8000000000000007"/>
    <x v="36"/>
    <n v="1840"/>
    <m/>
    <m/>
    <m/>
    <n v="4"/>
    <n v="3"/>
    <s v="delay getting water to rig at TSF"/>
    <n v="5"/>
    <m/>
    <s v="delay getting water to rig at TSF"/>
    <m/>
    <m/>
    <m/>
    <n v="12"/>
    <m/>
    <n v="3180"/>
    <m/>
    <n v="5410"/>
    <n v="228907.74999999994"/>
    <n v="228907.74999999994"/>
    <n v="693.58974358974353"/>
    <s v="LINK"/>
    <s v="continue with geo tech, shelby tube refusal at 6m, continue to drill HQ3 to 15m as per hole plan notes, broken ground/short runs, water delays throughout shift."/>
  </r>
  <r>
    <x v="3"/>
    <d v="2025-07-26T05:02:24"/>
    <s v="DS 5am"/>
    <s v="SF25_DDGT006"/>
    <s v="SF25_DDGT005"/>
    <s v="Zeke Shackelton"/>
    <n v="3"/>
    <x v="3"/>
    <m/>
    <m/>
    <n v="0"/>
    <n v="13.8"/>
    <n v="15"/>
    <n v="1.1999999999999993"/>
    <m/>
    <m/>
    <n v="0"/>
    <n v="0"/>
    <n v="2"/>
    <n v="2"/>
    <n v="3.1999999999999993"/>
    <x v="37"/>
    <n v="1265"/>
    <n v="1"/>
    <n v="1"/>
    <n v="13170"/>
    <n v="2.75"/>
    <n v="6.75"/>
    <s v="delay getting water to rig at TSF"/>
    <n v="2.5"/>
    <m/>
    <s v="delay getting water to rig at TSF"/>
    <m/>
    <m/>
    <m/>
    <n v="12"/>
    <m/>
    <n v="4005"/>
    <m/>
    <n v="6235"/>
    <n v="235142.74999999994"/>
    <n v="235142.74999999994"/>
    <n v="1948.4375000000005"/>
    <s v="LINK"/>
    <s v="Stuck rods due to water delay, reamed over barrel free up rods, continued drill hq3, pull out barrel, pull out casing, pack up site, move rig and equipment to next pad, mast up, Set up site for spt and Shelby sampling, commence sampling from surface"/>
  </r>
  <r>
    <x v="3"/>
    <d v="2025-07-26T17:02:24"/>
    <s v="NS 5pm"/>
    <s v="SF25_DDGT005"/>
    <m/>
    <s v="Matthew Sing"/>
    <n v="3"/>
    <x v="3"/>
    <m/>
    <m/>
    <n v="0"/>
    <n v="2"/>
    <n v="15"/>
    <n v="13"/>
    <m/>
    <m/>
    <n v="0"/>
    <m/>
    <m/>
    <n v="0"/>
    <n v="13"/>
    <x v="38"/>
    <n v="2300"/>
    <m/>
    <m/>
    <m/>
    <n v="5"/>
    <n v="2.5"/>
    <s v="delay getting water to rig at TSF"/>
    <n v="4.5"/>
    <m/>
    <s v="hydro rig in the way of moving to next pad"/>
    <m/>
    <m/>
    <m/>
    <n v="12"/>
    <m/>
    <n v="2770"/>
    <m/>
    <n v="5460"/>
    <n v="240602.74999999994"/>
    <n v="240602.74999999994"/>
    <n v="420"/>
    <s v="LINK"/>
    <s v="continue with geo tech sampling, Shelby tube refusal at 2m - 2.5m, continue to HQ3 coring to 15m as per hole plan, survey EOH, pull out barrel, pack up site, went to move rig and equipment to next pad however another rig blocking access."/>
  </r>
  <r>
    <x v="3"/>
    <d v="2025-07-27T05:02:24"/>
    <s v="DS 5am"/>
    <s v="SF25_DDGT011"/>
    <m/>
    <s v="Zeke Shackelton"/>
    <n v="3"/>
    <x v="3"/>
    <m/>
    <m/>
    <n v="0"/>
    <m/>
    <m/>
    <n v="0"/>
    <m/>
    <m/>
    <n v="0"/>
    <m/>
    <m/>
    <n v="0"/>
    <n v="0"/>
    <x v="2"/>
    <n v="0"/>
    <n v="1"/>
    <n v="1"/>
    <n v="13170"/>
    <n v="0"/>
    <n v="6"/>
    <s v="standby waiting for hydro rig to move off access point to next pad"/>
    <n v="0.5"/>
    <n v="5"/>
    <s v="hydro rig in the way of moving to next pad"/>
    <n v="0.5"/>
    <m/>
    <m/>
    <n v="12"/>
    <m/>
    <n v="4740"/>
    <m/>
    <n v="5705"/>
    <n v="246307.74999999994"/>
    <n v="246307.74999999994"/>
    <e v="#DIV/0!"/>
    <s v="LINK"/>
    <s v="pull out barrel, pull out casing, pack up site, move rig and equipment to next pad, mast up, Set up site, toolbox at EOS"/>
  </r>
  <r>
    <x v="3"/>
    <d v="2025-07-27T17:02:24"/>
    <s v="NS 5pm"/>
    <s v="SF25_DDGT011"/>
    <m/>
    <s v="Matthew Sing"/>
    <n v="3"/>
    <x v="3"/>
    <m/>
    <m/>
    <n v="0"/>
    <n v="0"/>
    <n v="21.3"/>
    <n v="21.3"/>
    <m/>
    <m/>
    <n v="0"/>
    <m/>
    <m/>
    <n v="0"/>
    <n v="21.3"/>
    <x v="39"/>
    <n v="3335"/>
    <m/>
    <m/>
    <m/>
    <n v="7.25"/>
    <n v="3.75"/>
    <m/>
    <n v="0.5"/>
    <m/>
    <m/>
    <n v="0.5"/>
    <m/>
    <m/>
    <n v="12"/>
    <m/>
    <n v="1905"/>
    <n v="686.61"/>
    <n v="6316.61"/>
    <n v="252624.35999999993"/>
    <n v="252624.35999999993"/>
    <n v="296.55446009389669"/>
    <s v="LINK"/>
    <s v="Toolbox meeting at SOS, continue site setup, commence drilling HQ3 from surface, drilling shorter runs with basket lifters to reduce core loss, pull out barrel and run in rock roller, install PVC collar, run in 9m HWT casing, continue to drill HQ3, condition hole throughout shift"/>
  </r>
  <r>
    <x v="3"/>
    <d v="2025-07-28T05:02:24"/>
    <s v="DS 5am"/>
    <s v="SF25_DDGT011"/>
    <m/>
    <s v="Zeke Shackelton"/>
    <n v="3"/>
    <x v="3"/>
    <m/>
    <m/>
    <n v="0"/>
    <n v="21.3"/>
    <n v="51.7"/>
    <n v="30.400000000000002"/>
    <m/>
    <m/>
    <n v="0"/>
    <m/>
    <m/>
    <n v="0"/>
    <n v="30.400000000000002"/>
    <x v="40"/>
    <n v="5060"/>
    <n v="1"/>
    <n v="1"/>
    <n v="13170"/>
    <n v="11"/>
    <n v="0.5"/>
    <m/>
    <n v="0.5"/>
    <m/>
    <m/>
    <m/>
    <m/>
    <m/>
    <n v="12"/>
    <m/>
    <n v="410"/>
    <m/>
    <n v="6435"/>
    <n v="259059.35999999993"/>
    <n v="259059.35999999993"/>
    <n v="211.67763157894734"/>
    <s v="LINK"/>
    <s v="Pre-shift meeting, Pre-start all equipment, drill hq3, survey 18m 36m, grease trucks and blew air filters, housekeeping"/>
  </r>
  <r>
    <x v="3"/>
    <d v="2025-07-28T17:02:24"/>
    <s v="NS 5pm"/>
    <s v="SF25_DDGT011"/>
    <m/>
    <s v="Matthew Sing"/>
    <n v="3"/>
    <x v="3"/>
    <m/>
    <m/>
    <n v="0"/>
    <n v="51.7"/>
    <n v="78.7"/>
    <n v="27"/>
    <m/>
    <m/>
    <n v="0"/>
    <m/>
    <m/>
    <n v="0"/>
    <n v="27"/>
    <x v="41"/>
    <n v="4945"/>
    <m/>
    <m/>
    <m/>
    <n v="10.75"/>
    <n v="0.25"/>
    <m/>
    <n v="0.5"/>
    <m/>
    <m/>
    <m/>
    <n v="0.5"/>
    <s v="Breakdown of hydraulic pump"/>
    <n v="12"/>
    <m/>
    <n v="295"/>
    <m/>
    <n v="5630"/>
    <n v="264689.35999999993"/>
    <n v="264689.35999999993"/>
    <n v="208.5185185185185"/>
    <s v="LINK"/>
    <m/>
  </r>
  <r>
    <x v="3"/>
    <d v="2025-07-29T05:02:24"/>
    <s v="DS 5am"/>
    <s v="SF25_DDGT011"/>
    <m/>
    <s v="Zeke Shackelton"/>
    <n v="3"/>
    <x v="3"/>
    <m/>
    <m/>
    <n v="0"/>
    <n v="78.7"/>
    <n v="92.7"/>
    <n v="14"/>
    <m/>
    <m/>
    <n v="0"/>
    <m/>
    <m/>
    <n v="0"/>
    <n v="14"/>
    <x v="42"/>
    <n v="2645"/>
    <n v="1"/>
    <n v="1"/>
    <n v="13170"/>
    <n v="5.75"/>
    <n v="0.25"/>
    <s v="Breakdown - hydraulic pump not"/>
    <n v="0.5"/>
    <m/>
    <m/>
    <m/>
    <n v="5.5"/>
    <s v="Breakdown of hydraulic pump"/>
    <n v="12"/>
    <m/>
    <n v="295"/>
    <m/>
    <n v="3905"/>
    <n v="268594.35999999993"/>
    <n v="268594.35999999993"/>
    <n v="278.92857142857144"/>
    <s v="LINK"/>
    <m/>
  </r>
  <r>
    <x v="3"/>
    <d v="2025-07-29T17:02:24"/>
    <s v="NS 5pm"/>
    <s v="SF25_DDGT011"/>
    <m/>
    <s v="Matthew Sing"/>
    <n v="3"/>
    <x v="3"/>
    <m/>
    <m/>
    <n v="0"/>
    <n v="92.7"/>
    <n v="107.7"/>
    <n v="15"/>
    <m/>
    <m/>
    <n v="0"/>
    <m/>
    <m/>
    <n v="0"/>
    <n v="15"/>
    <x v="43"/>
    <n v="3680"/>
    <m/>
    <m/>
    <m/>
    <n v="8"/>
    <n v="0.5"/>
    <s v="Breakdown - hydraulic pump not"/>
    <n v="0.5"/>
    <m/>
    <m/>
    <m/>
    <n v="3"/>
    <s v="Breakdown of hydraulic pump"/>
    <n v="12"/>
    <m/>
    <n v="410"/>
    <n v="137.5"/>
    <n v="4617.5"/>
    <n v="273211.85999999993"/>
    <n v="273211.85999999993"/>
    <n v="307.83333333333331"/>
    <s v="LINK"/>
    <s v="Pre-shift meeting, Pre-start all equipment, continue to drill HQ3, maintenance - replace pumps and test, continue to drill HQ3 through broken ground, lost water return @ 99.3m, bombed hole twice, regained water return"/>
  </r>
  <r>
    <x v="3"/>
    <d v="2025-07-30T05:02:24"/>
    <s v="DS 5am"/>
    <s v="SF25_DDGT011"/>
    <m/>
    <s v="Zeke Shackelton"/>
    <n v="3"/>
    <x v="3"/>
    <m/>
    <m/>
    <n v="0"/>
    <n v="107.7"/>
    <n v="130"/>
    <n v="22.299999999999997"/>
    <m/>
    <m/>
    <n v="0"/>
    <m/>
    <m/>
    <n v="0"/>
    <n v="22.299999999999997"/>
    <x v="44"/>
    <n v="4370"/>
    <n v="1"/>
    <n v="1"/>
    <n v="13170"/>
    <n v="9.5"/>
    <n v="1.5"/>
    <m/>
    <n v="1"/>
    <m/>
    <m/>
    <m/>
    <m/>
    <m/>
    <n v="12"/>
    <m/>
    <n v="1050"/>
    <m/>
    <n v="6385"/>
    <n v="279596.85999999993"/>
    <n v="279596.85999999993"/>
    <n v="286.32286995515699"/>
    <s v="LINK"/>
    <m/>
  </r>
  <r>
    <x v="3"/>
    <d v="2025-07-30T17:02:24"/>
    <s v="NS 5pm"/>
    <s v="SF25_DDGT011"/>
    <s v="SF25_DDGT002"/>
    <s v="Matthew Sing"/>
    <n v="3"/>
    <x v="3"/>
    <m/>
    <m/>
    <n v="0"/>
    <n v="0"/>
    <n v="1.7"/>
    <n v="1.7"/>
    <m/>
    <m/>
    <n v="0"/>
    <m/>
    <m/>
    <n v="0"/>
    <n v="1.7"/>
    <x v="45"/>
    <n v="345"/>
    <m/>
    <m/>
    <m/>
    <n v="0.75"/>
    <n v="6.5"/>
    <m/>
    <n v="4.75"/>
    <m/>
    <m/>
    <m/>
    <m/>
    <m/>
    <n v="12"/>
    <m/>
    <n v="4700"/>
    <m/>
    <n v="5435"/>
    <n v="285031.85999999993"/>
    <n v="285031.85999999993"/>
    <n v="3197.0588235294117"/>
    <s v="LINK"/>
    <m/>
  </r>
  <r>
    <x v="3"/>
    <d v="2025-07-31T05:02:24"/>
    <s v="DS 5am"/>
    <s v="SF25_DDGT006"/>
    <m/>
    <s v="Zeke Shackelton"/>
    <n v="3"/>
    <x v="3"/>
    <n v="0"/>
    <n v="6.4"/>
    <n v="6.4"/>
    <m/>
    <m/>
    <n v="0"/>
    <m/>
    <m/>
    <n v="0"/>
    <m/>
    <m/>
    <n v="0"/>
    <n v="6.4"/>
    <x v="46"/>
    <n v="1840"/>
    <n v="1"/>
    <n v="1"/>
    <n v="13170"/>
    <n v="4"/>
    <n v="4.5"/>
    <s v="Slow drilling due to geotech shelby tubing and hole move"/>
    <n v="3.5"/>
    <m/>
    <m/>
    <m/>
    <m/>
    <m/>
    <n v="12"/>
    <m/>
    <n v="3330"/>
    <m/>
    <n v="6135"/>
    <n v="291166.85999999993"/>
    <n v="291166.85999999993"/>
    <n v="958.59375"/>
    <s v="LINK"/>
    <m/>
  </r>
  <r>
    <x v="2"/>
    <d v="2025-07-31T17:02:24"/>
    <s v="NS 5pm"/>
    <s v="SF25-DMET018"/>
    <m/>
    <s v="Matthew Sing"/>
    <n v="3"/>
    <x v="3"/>
    <n v="1.2"/>
    <n v="15.5"/>
    <n v="14.3"/>
    <m/>
    <m/>
    <n v="0"/>
    <m/>
    <m/>
    <n v="0"/>
    <m/>
    <m/>
    <n v="0"/>
    <n v="14.3"/>
    <x v="47"/>
    <n v="4255"/>
    <m/>
    <m/>
    <m/>
    <n v="9.25"/>
    <n v="2.25"/>
    <m/>
    <n v="0.5"/>
    <m/>
    <m/>
    <m/>
    <m/>
    <m/>
    <n v="12"/>
    <m/>
    <n v="1215"/>
    <n v="396.12"/>
    <n v="6256.12"/>
    <n v="297422.97999999992"/>
    <n v="297422.97999999992"/>
    <n v="437.49090909090904"/>
    <s v="LINK"/>
    <m/>
  </r>
  <r>
    <x v="2"/>
    <d v="2025-08-01T05:02:24"/>
    <s v="DS 5am"/>
    <s v="SF25-DMET018"/>
    <m/>
    <s v="Zeke Shackelton"/>
    <n v="3"/>
    <x v="3"/>
    <n v="15.5"/>
    <n v="45.5"/>
    <n v="30"/>
    <m/>
    <m/>
    <n v="0"/>
    <m/>
    <m/>
    <n v="0"/>
    <m/>
    <m/>
    <n v="0"/>
    <n v="30"/>
    <x v="6"/>
    <n v="5250"/>
    <n v="1"/>
    <n v="1"/>
    <n v="13170"/>
    <n v="11"/>
    <n v="0.5"/>
    <m/>
    <n v="0.5"/>
    <m/>
    <m/>
    <m/>
    <m/>
    <m/>
    <n v="12"/>
    <m/>
    <n v="410"/>
    <m/>
    <n v="6625"/>
    <n v="304047.97999999992"/>
    <n v="6625"/>
    <n v="220.83333333333334"/>
    <s v="LINK"/>
    <s v="Pre-shift meeting, Pre-start all equipment, drilled PQ3, survey hole at 18m 36m, housekeeping and maintenance "/>
  </r>
  <r>
    <x v="2"/>
    <d v="2025-08-01T17:02:24"/>
    <s v="NS 5pm"/>
    <s v="SF25-DMET018"/>
    <m/>
    <s v="Matthew Sing"/>
    <n v="3"/>
    <x v="3"/>
    <n v="45.5"/>
    <n v="50"/>
    <n v="4.5"/>
    <m/>
    <m/>
    <n v="0"/>
    <m/>
    <m/>
    <n v="0"/>
    <m/>
    <m/>
    <n v="0"/>
    <n v="4.5"/>
    <x v="48"/>
    <n v="920"/>
    <m/>
    <m/>
    <m/>
    <n v="2"/>
    <n v="9.5"/>
    <m/>
    <n v="0.5"/>
    <m/>
    <m/>
    <m/>
    <m/>
    <m/>
    <n v="12"/>
    <m/>
    <n v="4550"/>
    <m/>
    <n v="5860"/>
    <n v="309907.97999999992"/>
    <n v="12485"/>
    <n v="1302.2222222222222"/>
    <s v="LINK"/>
    <s v="Pre-shift meeting, Pre-start all equipment, continue to drill PQ3 to EOH and survey, move equipment, pull out barrel, onto rod bench and manual handle onto ST as pad too small to fit ST for EOH, pull out casing, mast down and pack up site, move rig and equipment to next pad, run poly to establish water supply, mast up, mast shot, setup site. "/>
  </r>
  <r>
    <x v="1"/>
    <d v="2025-08-02T05:02:24"/>
    <s v="DS 5am"/>
    <m/>
    <m/>
    <m/>
    <m/>
    <x v="1"/>
    <m/>
    <m/>
    <n v="0"/>
    <m/>
    <m/>
    <n v="0"/>
    <m/>
    <m/>
    <n v="0"/>
    <m/>
    <m/>
    <n v="0"/>
    <n v="0"/>
    <x v="2"/>
    <s v=""/>
    <m/>
    <m/>
    <m/>
    <m/>
    <m/>
    <m/>
    <m/>
    <m/>
    <m/>
    <m/>
    <m/>
    <m/>
    <s v=""/>
    <m/>
    <n v="0"/>
    <m/>
    <n v="0"/>
    <n v="309907.97999999992"/>
    <s v=""/>
    <s v=""/>
    <s v=""/>
    <m/>
  </r>
  <r>
    <x v="1"/>
    <d v="2025-08-02T17:02:24"/>
    <s v="NS 5pm"/>
    <m/>
    <m/>
    <m/>
    <m/>
    <x v="1"/>
    <m/>
    <m/>
    <n v="0"/>
    <m/>
    <m/>
    <n v="0"/>
    <m/>
    <m/>
    <n v="0"/>
    <m/>
    <m/>
    <n v="0"/>
    <n v="0"/>
    <x v="2"/>
    <s v=""/>
    <m/>
    <m/>
    <m/>
    <m/>
    <m/>
    <m/>
    <m/>
    <m/>
    <m/>
    <m/>
    <m/>
    <m/>
    <s v=""/>
    <m/>
    <n v="0"/>
    <m/>
    <n v="0"/>
    <n v="309907.97999999992"/>
    <s v=""/>
    <s v=""/>
    <s v=""/>
    <m/>
  </r>
  <r>
    <x v="1"/>
    <d v="2025-08-03T05:02:24"/>
    <s v="DS 5am"/>
    <m/>
    <m/>
    <m/>
    <m/>
    <x v="1"/>
    <m/>
    <m/>
    <n v="0"/>
    <m/>
    <m/>
    <n v="0"/>
    <m/>
    <m/>
    <n v="0"/>
    <m/>
    <m/>
    <n v="0"/>
    <n v="0"/>
    <x v="2"/>
    <s v=""/>
    <m/>
    <m/>
    <m/>
    <m/>
    <m/>
    <m/>
    <m/>
    <m/>
    <m/>
    <m/>
    <m/>
    <m/>
    <s v=""/>
    <m/>
    <n v="0"/>
    <m/>
    <n v="0"/>
    <n v="309907.97999999992"/>
    <s v=""/>
    <s v=""/>
    <s v=""/>
    <m/>
  </r>
  <r>
    <x v="1"/>
    <d v="2025-08-03T17:02:24"/>
    <s v="NS 5pm"/>
    <m/>
    <m/>
    <m/>
    <m/>
    <x v="1"/>
    <m/>
    <m/>
    <n v="0"/>
    <m/>
    <m/>
    <n v="0"/>
    <m/>
    <m/>
    <n v="0"/>
    <m/>
    <m/>
    <n v="0"/>
    <n v="0"/>
    <x v="2"/>
    <s v=""/>
    <m/>
    <m/>
    <m/>
    <m/>
    <m/>
    <m/>
    <m/>
    <m/>
    <m/>
    <m/>
    <m/>
    <m/>
    <s v=""/>
    <m/>
    <n v="0"/>
    <m/>
    <n v="0"/>
    <n v="309907.97999999992"/>
    <s v=""/>
    <s v=""/>
    <s v=""/>
    <m/>
  </r>
  <r>
    <x v="1"/>
    <d v="2025-08-04T05:02:24"/>
    <s v="DS 5am"/>
    <m/>
    <m/>
    <m/>
    <m/>
    <x v="1"/>
    <m/>
    <m/>
    <n v="0"/>
    <m/>
    <m/>
    <n v="0"/>
    <m/>
    <m/>
    <n v="0"/>
    <m/>
    <m/>
    <n v="0"/>
    <n v="0"/>
    <x v="2"/>
    <s v=""/>
    <m/>
    <m/>
    <m/>
    <m/>
    <m/>
    <m/>
    <m/>
    <m/>
    <m/>
    <m/>
    <m/>
    <m/>
    <s v=""/>
    <m/>
    <n v="0"/>
    <m/>
    <n v="0"/>
    <n v="309907.97999999992"/>
    <s v=""/>
    <s v=""/>
    <s v=""/>
    <m/>
  </r>
  <r>
    <x v="1"/>
    <d v="2025-08-04T17:02:24"/>
    <s v="NS 5pm"/>
    <m/>
    <m/>
    <m/>
    <m/>
    <x v="1"/>
    <m/>
    <m/>
    <n v="0"/>
    <m/>
    <m/>
    <n v="0"/>
    <m/>
    <m/>
    <n v="0"/>
    <m/>
    <m/>
    <n v="0"/>
    <n v="0"/>
    <x v="2"/>
    <s v=""/>
    <m/>
    <m/>
    <m/>
    <m/>
    <m/>
    <m/>
    <m/>
    <m/>
    <m/>
    <m/>
    <m/>
    <m/>
    <s v=""/>
    <m/>
    <n v="0"/>
    <m/>
    <n v="0"/>
    <n v="309907.97999999992"/>
    <s v=""/>
    <s v=""/>
    <s v=""/>
    <m/>
  </r>
  <r>
    <x v="1"/>
    <d v="2025-08-05T05:02:24"/>
    <s v="DS 5am"/>
    <m/>
    <m/>
    <m/>
    <m/>
    <x v="1"/>
    <m/>
    <m/>
    <n v="0"/>
    <m/>
    <m/>
    <n v="0"/>
    <m/>
    <m/>
    <n v="0"/>
    <m/>
    <m/>
    <n v="0"/>
    <n v="0"/>
    <x v="2"/>
    <s v=""/>
    <m/>
    <m/>
    <m/>
    <m/>
    <m/>
    <m/>
    <m/>
    <m/>
    <m/>
    <m/>
    <m/>
    <m/>
    <s v=""/>
    <m/>
    <n v="0"/>
    <m/>
    <n v="0"/>
    <n v="309907.97999999992"/>
    <s v=""/>
    <s v=""/>
    <s v=""/>
    <m/>
  </r>
  <r>
    <x v="1"/>
    <d v="2025-08-05T17:02:24"/>
    <s v="NS 5pm"/>
    <m/>
    <m/>
    <m/>
    <m/>
    <x v="1"/>
    <m/>
    <m/>
    <n v="0"/>
    <m/>
    <m/>
    <n v="0"/>
    <m/>
    <m/>
    <n v="0"/>
    <m/>
    <m/>
    <n v="0"/>
    <n v="0"/>
    <x v="2"/>
    <s v=""/>
    <m/>
    <m/>
    <m/>
    <m/>
    <m/>
    <m/>
    <m/>
    <m/>
    <m/>
    <m/>
    <m/>
    <m/>
    <s v=""/>
    <m/>
    <n v="0"/>
    <m/>
    <n v="0"/>
    <n v="309907.97999999992"/>
    <s v=""/>
    <s v=""/>
    <s v=""/>
    <m/>
  </r>
  <r>
    <x v="1"/>
    <d v="2025-08-06T05:02:24"/>
    <s v="DS 5am"/>
    <m/>
    <m/>
    <m/>
    <m/>
    <x v="1"/>
    <m/>
    <m/>
    <n v="0"/>
    <m/>
    <m/>
    <n v="0"/>
    <m/>
    <m/>
    <n v="0"/>
    <m/>
    <m/>
    <n v="0"/>
    <n v="0"/>
    <x v="2"/>
    <s v=""/>
    <m/>
    <m/>
    <m/>
    <m/>
    <m/>
    <m/>
    <m/>
    <m/>
    <m/>
    <m/>
    <m/>
    <m/>
    <s v=""/>
    <m/>
    <n v="0"/>
    <m/>
    <n v="0"/>
    <n v="309907.97999999992"/>
    <s v=""/>
    <s v=""/>
    <s v=""/>
    <m/>
  </r>
  <r>
    <x v="1"/>
    <d v="2025-08-06T17:02:24"/>
    <s v="NS 5pm"/>
    <m/>
    <m/>
    <m/>
    <m/>
    <x v="1"/>
    <m/>
    <m/>
    <n v="0"/>
    <m/>
    <m/>
    <n v="0"/>
    <m/>
    <m/>
    <n v="0"/>
    <m/>
    <m/>
    <n v="0"/>
    <n v="0"/>
    <x v="2"/>
    <s v=""/>
    <m/>
    <m/>
    <m/>
    <m/>
    <m/>
    <m/>
    <m/>
    <m/>
    <m/>
    <m/>
    <m/>
    <m/>
    <s v=""/>
    <m/>
    <n v="0"/>
    <m/>
    <n v="0"/>
    <n v="309907.97999999992"/>
    <s v=""/>
    <s v=""/>
    <s v=""/>
    <m/>
  </r>
  <r>
    <x v="1"/>
    <d v="2025-08-07T05:02:24"/>
    <s v="DS 5am"/>
    <m/>
    <m/>
    <m/>
    <m/>
    <x v="1"/>
    <m/>
    <m/>
    <n v="0"/>
    <m/>
    <m/>
    <n v="0"/>
    <m/>
    <m/>
    <n v="0"/>
    <m/>
    <m/>
    <n v="0"/>
    <n v="0"/>
    <x v="2"/>
    <s v=""/>
    <m/>
    <m/>
    <m/>
    <m/>
    <m/>
    <m/>
    <m/>
    <m/>
    <m/>
    <m/>
    <m/>
    <m/>
    <s v=""/>
    <m/>
    <n v="0"/>
    <m/>
    <n v="0"/>
    <n v="309907.97999999992"/>
    <s v=""/>
    <s v=""/>
    <s v=""/>
    <m/>
  </r>
  <r>
    <x v="1"/>
    <d v="2025-08-07T17:02:24"/>
    <s v="NS 5pm"/>
    <m/>
    <m/>
    <m/>
    <m/>
    <x v="1"/>
    <m/>
    <m/>
    <n v="0"/>
    <m/>
    <m/>
    <n v="0"/>
    <m/>
    <m/>
    <n v="0"/>
    <m/>
    <m/>
    <n v="0"/>
    <n v="0"/>
    <x v="2"/>
    <s v=""/>
    <m/>
    <m/>
    <m/>
    <m/>
    <m/>
    <m/>
    <m/>
    <m/>
    <m/>
    <m/>
    <m/>
    <m/>
    <s v=""/>
    <m/>
    <n v="0"/>
    <m/>
    <n v="0"/>
    <n v="309907.97999999992"/>
    <s v=""/>
    <s v=""/>
    <s v=""/>
    <m/>
  </r>
  <r>
    <x v="1"/>
    <d v="2025-08-08T05:02:24"/>
    <s v="DS 5am"/>
    <m/>
    <m/>
    <m/>
    <m/>
    <x v="1"/>
    <m/>
    <m/>
    <n v="0"/>
    <m/>
    <m/>
    <n v="0"/>
    <m/>
    <m/>
    <n v="0"/>
    <m/>
    <m/>
    <n v="0"/>
    <n v="0"/>
    <x v="2"/>
    <s v=""/>
    <m/>
    <m/>
    <m/>
    <m/>
    <m/>
    <m/>
    <m/>
    <m/>
    <m/>
    <m/>
    <m/>
    <m/>
    <s v=""/>
    <m/>
    <n v="0"/>
    <m/>
    <n v="0"/>
    <n v="309907.97999999992"/>
    <s v=""/>
    <s v=""/>
    <s v=""/>
    <m/>
  </r>
  <r>
    <x v="1"/>
    <d v="2025-08-08T17:02:24"/>
    <s v="NS 5pm"/>
    <m/>
    <m/>
    <m/>
    <m/>
    <x v="1"/>
    <m/>
    <m/>
    <n v="0"/>
    <m/>
    <m/>
    <n v="0"/>
    <m/>
    <m/>
    <n v="0"/>
    <m/>
    <m/>
    <n v="0"/>
    <n v="0"/>
    <x v="2"/>
    <s v=""/>
    <m/>
    <m/>
    <m/>
    <m/>
    <m/>
    <m/>
    <m/>
    <m/>
    <m/>
    <m/>
    <m/>
    <m/>
    <s v=""/>
    <m/>
    <n v="0"/>
    <m/>
    <n v="0"/>
    <n v="309907.97999999992"/>
    <s v=""/>
    <s v=""/>
    <s v=""/>
    <m/>
  </r>
  <r>
    <x v="1"/>
    <d v="2025-08-09T05:02:24"/>
    <s v="DS 5am"/>
    <m/>
    <m/>
    <m/>
    <m/>
    <x v="1"/>
    <m/>
    <m/>
    <n v="0"/>
    <m/>
    <m/>
    <n v="0"/>
    <m/>
    <m/>
    <n v="0"/>
    <m/>
    <m/>
    <n v="0"/>
    <n v="0"/>
    <x v="2"/>
    <s v=""/>
    <m/>
    <m/>
    <m/>
    <m/>
    <m/>
    <m/>
    <m/>
    <m/>
    <m/>
    <m/>
    <m/>
    <m/>
    <s v=""/>
    <m/>
    <n v="0"/>
    <m/>
    <n v="0"/>
    <n v="309907.97999999992"/>
    <s v=""/>
    <s v=""/>
    <s v=""/>
    <m/>
  </r>
  <r>
    <x v="1"/>
    <d v="2025-08-09T17:02:24"/>
    <s v="NS 5pm"/>
    <m/>
    <m/>
    <m/>
    <m/>
    <x v="1"/>
    <m/>
    <m/>
    <n v="0"/>
    <m/>
    <m/>
    <n v="0"/>
    <m/>
    <m/>
    <n v="0"/>
    <m/>
    <m/>
    <n v="0"/>
    <n v="0"/>
    <x v="2"/>
    <s v=""/>
    <m/>
    <m/>
    <m/>
    <m/>
    <m/>
    <m/>
    <m/>
    <m/>
    <m/>
    <m/>
    <m/>
    <m/>
    <s v=""/>
    <m/>
    <n v="0"/>
    <m/>
    <n v="0"/>
    <n v="309907.97999999992"/>
    <s v=""/>
    <s v=""/>
    <s v=""/>
    <m/>
  </r>
  <r>
    <x v="1"/>
    <d v="2025-08-10T05:02:24"/>
    <s v="DS 5am"/>
    <m/>
    <m/>
    <m/>
    <m/>
    <x v="1"/>
    <m/>
    <m/>
    <n v="0"/>
    <m/>
    <m/>
    <n v="0"/>
    <m/>
    <m/>
    <n v="0"/>
    <m/>
    <m/>
    <n v="0"/>
    <n v="0"/>
    <x v="2"/>
    <s v=""/>
    <m/>
    <m/>
    <m/>
    <m/>
    <m/>
    <m/>
    <m/>
    <m/>
    <m/>
    <m/>
    <m/>
    <m/>
    <s v=""/>
    <m/>
    <n v="0"/>
    <m/>
    <n v="0"/>
    <n v="309907.97999999992"/>
    <s v=""/>
    <s v=""/>
    <s v=""/>
    <m/>
  </r>
  <r>
    <x v="1"/>
    <d v="2025-08-10T17:02:24"/>
    <s v="NS 5pm"/>
    <m/>
    <m/>
    <m/>
    <m/>
    <x v="1"/>
    <m/>
    <m/>
    <n v="0"/>
    <m/>
    <m/>
    <n v="0"/>
    <m/>
    <m/>
    <n v="0"/>
    <m/>
    <m/>
    <n v="0"/>
    <n v="0"/>
    <x v="2"/>
    <s v=""/>
    <m/>
    <m/>
    <m/>
    <m/>
    <m/>
    <m/>
    <m/>
    <m/>
    <m/>
    <m/>
    <m/>
    <m/>
    <s v=""/>
    <m/>
    <n v="0"/>
    <m/>
    <n v="0"/>
    <n v="309907.97999999992"/>
    <s v=""/>
    <s v=""/>
    <s v=""/>
    <m/>
  </r>
  <r>
    <x v="1"/>
    <d v="2025-08-11T05:02:24"/>
    <s v="DS 5am"/>
    <m/>
    <m/>
    <m/>
    <m/>
    <x v="1"/>
    <m/>
    <m/>
    <n v="0"/>
    <m/>
    <m/>
    <n v="0"/>
    <m/>
    <m/>
    <n v="0"/>
    <m/>
    <m/>
    <n v="0"/>
    <n v="0"/>
    <x v="2"/>
    <s v=""/>
    <m/>
    <m/>
    <m/>
    <m/>
    <m/>
    <m/>
    <m/>
    <m/>
    <m/>
    <m/>
    <m/>
    <m/>
    <s v=""/>
    <m/>
    <n v="0"/>
    <m/>
    <n v="0"/>
    <n v="309907.97999999992"/>
    <s v=""/>
    <s v=""/>
    <s v=""/>
    <m/>
  </r>
  <r>
    <x v="1"/>
    <d v="2025-08-11T17:02:24"/>
    <s v="NS 5pm"/>
    <m/>
    <m/>
    <m/>
    <m/>
    <x v="1"/>
    <m/>
    <m/>
    <n v="0"/>
    <m/>
    <m/>
    <n v="0"/>
    <m/>
    <m/>
    <n v="0"/>
    <m/>
    <m/>
    <n v="0"/>
    <n v="0"/>
    <x v="2"/>
    <s v=""/>
    <m/>
    <m/>
    <m/>
    <m/>
    <m/>
    <m/>
    <m/>
    <m/>
    <m/>
    <m/>
    <m/>
    <m/>
    <s v=""/>
    <m/>
    <n v="0"/>
    <m/>
    <n v="0"/>
    <n v="309907.97999999992"/>
    <s v=""/>
    <s v=""/>
    <s v=""/>
    <m/>
  </r>
  <r>
    <x v="1"/>
    <d v="2025-08-12T05:02:24"/>
    <s v="DS 5am"/>
    <m/>
    <m/>
    <m/>
    <m/>
    <x v="1"/>
    <m/>
    <m/>
    <n v="0"/>
    <m/>
    <m/>
    <n v="0"/>
    <m/>
    <m/>
    <n v="0"/>
    <m/>
    <m/>
    <n v="0"/>
    <n v="0"/>
    <x v="2"/>
    <s v=""/>
    <m/>
    <m/>
    <m/>
    <m/>
    <m/>
    <m/>
    <m/>
    <m/>
    <m/>
    <m/>
    <m/>
    <m/>
    <s v=""/>
    <m/>
    <n v="0"/>
    <m/>
    <n v="0"/>
    <n v="309907.97999999992"/>
    <s v=""/>
    <s v=""/>
    <s v=""/>
    <m/>
  </r>
  <r>
    <x v="1"/>
    <d v="2025-08-12T17:02:24"/>
    <s v="NS 5pm"/>
    <m/>
    <m/>
    <m/>
    <m/>
    <x v="1"/>
    <m/>
    <m/>
    <n v="0"/>
    <m/>
    <m/>
    <n v="0"/>
    <m/>
    <m/>
    <n v="0"/>
    <m/>
    <m/>
    <n v="0"/>
    <n v="0"/>
    <x v="2"/>
    <s v=""/>
    <m/>
    <m/>
    <m/>
    <m/>
    <m/>
    <m/>
    <m/>
    <m/>
    <m/>
    <m/>
    <m/>
    <m/>
    <s v=""/>
    <m/>
    <n v="0"/>
    <m/>
    <n v="0"/>
    <n v="309907.97999999992"/>
    <s v=""/>
    <s v=""/>
    <s v=""/>
    <m/>
  </r>
  <r>
    <x v="1"/>
    <d v="2025-08-13T05:02:24"/>
    <s v="DS 5am"/>
    <m/>
    <m/>
    <m/>
    <m/>
    <x v="1"/>
    <m/>
    <m/>
    <n v="0"/>
    <m/>
    <m/>
    <n v="0"/>
    <m/>
    <m/>
    <n v="0"/>
    <m/>
    <m/>
    <n v="0"/>
    <n v="0"/>
    <x v="2"/>
    <s v=""/>
    <m/>
    <m/>
    <m/>
    <m/>
    <m/>
    <m/>
    <m/>
    <m/>
    <m/>
    <m/>
    <m/>
    <m/>
    <s v=""/>
    <m/>
    <n v="0"/>
    <m/>
    <n v="0"/>
    <n v="309907.97999999992"/>
    <s v=""/>
    <s v=""/>
    <s v=""/>
    <m/>
  </r>
  <r>
    <x v="1"/>
    <d v="2025-08-13T17:02:24"/>
    <s v="NS 5pm"/>
    <m/>
    <m/>
    <m/>
    <m/>
    <x v="1"/>
    <m/>
    <m/>
    <n v="0"/>
    <m/>
    <m/>
    <n v="0"/>
    <m/>
    <m/>
    <n v="0"/>
    <m/>
    <m/>
    <n v="0"/>
    <n v="0"/>
    <x v="2"/>
    <s v=""/>
    <m/>
    <m/>
    <m/>
    <m/>
    <m/>
    <m/>
    <m/>
    <m/>
    <m/>
    <m/>
    <m/>
    <m/>
    <s v=""/>
    <m/>
    <n v="0"/>
    <m/>
    <n v="0"/>
    <n v="309907.97999999992"/>
    <s v=""/>
    <s v=""/>
    <s v=""/>
    <m/>
  </r>
  <r>
    <x v="1"/>
    <d v="2025-08-14T05:02:24"/>
    <s v="DS 5am"/>
    <m/>
    <m/>
    <m/>
    <m/>
    <x v="1"/>
    <m/>
    <m/>
    <n v="0"/>
    <m/>
    <m/>
    <n v="0"/>
    <m/>
    <m/>
    <n v="0"/>
    <m/>
    <m/>
    <n v="0"/>
    <n v="0"/>
    <x v="2"/>
    <s v=""/>
    <m/>
    <m/>
    <m/>
    <m/>
    <m/>
    <m/>
    <m/>
    <m/>
    <m/>
    <m/>
    <m/>
    <m/>
    <s v=""/>
    <m/>
    <n v="0"/>
    <m/>
    <n v="0"/>
    <n v="309907.97999999992"/>
    <s v=""/>
    <s v=""/>
    <s v=""/>
    <m/>
  </r>
  <r>
    <x v="1"/>
    <d v="2025-08-14T17:02:24"/>
    <s v="NS 5pm"/>
    <m/>
    <m/>
    <m/>
    <m/>
    <x v="1"/>
    <m/>
    <m/>
    <n v="0"/>
    <m/>
    <m/>
    <n v="0"/>
    <m/>
    <m/>
    <n v="0"/>
    <m/>
    <m/>
    <n v="0"/>
    <n v="0"/>
    <x v="2"/>
    <s v=""/>
    <m/>
    <m/>
    <m/>
    <m/>
    <m/>
    <m/>
    <m/>
    <m/>
    <m/>
    <m/>
    <m/>
    <m/>
    <s v=""/>
    <m/>
    <n v="0"/>
    <m/>
    <n v="0"/>
    <n v="309907.97999999992"/>
    <s v=""/>
    <s v=""/>
    <s v=""/>
    <m/>
  </r>
  <r>
    <x v="1"/>
    <d v="2025-08-15T05:02:24"/>
    <s v="DS 5am"/>
    <m/>
    <m/>
    <m/>
    <m/>
    <x v="1"/>
    <m/>
    <m/>
    <n v="0"/>
    <m/>
    <m/>
    <n v="0"/>
    <m/>
    <m/>
    <n v="0"/>
    <m/>
    <m/>
    <n v="0"/>
    <n v="0"/>
    <x v="2"/>
    <s v=""/>
    <m/>
    <m/>
    <m/>
    <m/>
    <m/>
    <m/>
    <m/>
    <m/>
    <m/>
    <m/>
    <m/>
    <m/>
    <s v=""/>
    <m/>
    <n v="0"/>
    <m/>
    <n v="0"/>
    <n v="309907.97999999992"/>
    <s v=""/>
    <s v=""/>
    <s v=""/>
    <m/>
  </r>
  <r>
    <x v="1"/>
    <d v="2025-08-15T17:02:24"/>
    <s v="NS 5pm"/>
    <m/>
    <m/>
    <m/>
    <m/>
    <x v="1"/>
    <m/>
    <m/>
    <n v="0"/>
    <m/>
    <m/>
    <n v="0"/>
    <m/>
    <m/>
    <n v="0"/>
    <m/>
    <m/>
    <n v="0"/>
    <n v="0"/>
    <x v="2"/>
    <s v=""/>
    <m/>
    <m/>
    <m/>
    <m/>
    <m/>
    <m/>
    <m/>
    <m/>
    <m/>
    <m/>
    <m/>
    <m/>
    <s v=""/>
    <m/>
    <n v="0"/>
    <m/>
    <n v="0"/>
    <n v="309907.97999999992"/>
    <s v=""/>
    <s v=""/>
    <s v=""/>
    <m/>
  </r>
  <r>
    <x v="1"/>
    <d v="2025-08-16T05:02:24"/>
    <s v="DS 5am"/>
    <m/>
    <m/>
    <m/>
    <m/>
    <x v="1"/>
    <m/>
    <m/>
    <n v="0"/>
    <m/>
    <m/>
    <n v="0"/>
    <m/>
    <m/>
    <n v="0"/>
    <m/>
    <m/>
    <n v="0"/>
    <n v="0"/>
    <x v="2"/>
    <s v=""/>
    <m/>
    <m/>
    <m/>
    <m/>
    <m/>
    <m/>
    <m/>
    <m/>
    <m/>
    <m/>
    <m/>
    <m/>
    <s v=""/>
    <m/>
    <n v="0"/>
    <m/>
    <n v="0"/>
    <n v="309907.97999999992"/>
    <s v=""/>
    <s v=""/>
    <s v=""/>
    <m/>
  </r>
  <r>
    <x v="1"/>
    <d v="2025-08-16T17:02:24"/>
    <s v="NS 5pm"/>
    <m/>
    <m/>
    <m/>
    <m/>
    <x v="1"/>
    <m/>
    <m/>
    <n v="0"/>
    <m/>
    <m/>
    <n v="0"/>
    <m/>
    <m/>
    <n v="0"/>
    <m/>
    <m/>
    <n v="0"/>
    <n v="0"/>
    <x v="2"/>
    <s v=""/>
    <m/>
    <m/>
    <m/>
    <m/>
    <m/>
    <m/>
    <m/>
    <m/>
    <m/>
    <m/>
    <m/>
    <m/>
    <s v=""/>
    <m/>
    <n v="0"/>
    <m/>
    <n v="0"/>
    <n v="309907.97999999992"/>
    <s v=""/>
    <s v=""/>
    <s v=""/>
    <m/>
  </r>
  <r>
    <x v="1"/>
    <d v="2025-08-17T05:02:24"/>
    <s v="DS 5am"/>
    <m/>
    <m/>
    <m/>
    <m/>
    <x v="1"/>
    <m/>
    <m/>
    <n v="0"/>
    <m/>
    <m/>
    <n v="0"/>
    <m/>
    <m/>
    <n v="0"/>
    <m/>
    <m/>
    <n v="0"/>
    <n v="0"/>
    <x v="2"/>
    <s v=""/>
    <m/>
    <m/>
    <m/>
    <m/>
    <m/>
    <m/>
    <m/>
    <m/>
    <m/>
    <m/>
    <m/>
    <m/>
    <s v=""/>
    <m/>
    <n v="0"/>
    <m/>
    <n v="0"/>
    <n v="309907.97999999992"/>
    <s v=""/>
    <s v=""/>
    <s v=""/>
    <m/>
  </r>
  <r>
    <x v="1"/>
    <d v="2025-08-17T17:02:24"/>
    <s v="NS 5pm"/>
    <m/>
    <m/>
    <m/>
    <m/>
    <x v="1"/>
    <m/>
    <m/>
    <n v="0"/>
    <m/>
    <m/>
    <n v="0"/>
    <m/>
    <m/>
    <n v="0"/>
    <m/>
    <m/>
    <n v="0"/>
    <n v="0"/>
    <x v="2"/>
    <s v=""/>
    <m/>
    <m/>
    <m/>
    <m/>
    <m/>
    <m/>
    <m/>
    <m/>
    <m/>
    <m/>
    <m/>
    <m/>
    <s v=""/>
    <m/>
    <n v="0"/>
    <m/>
    <n v="0"/>
    <n v="309907.97999999992"/>
    <s v=""/>
    <s v=""/>
    <s v=""/>
    <m/>
  </r>
  <r>
    <x v="1"/>
    <d v="2025-08-18T05:02:24"/>
    <s v="DS 5am"/>
    <m/>
    <m/>
    <m/>
    <m/>
    <x v="1"/>
    <m/>
    <m/>
    <n v="0"/>
    <m/>
    <m/>
    <n v="0"/>
    <m/>
    <m/>
    <n v="0"/>
    <m/>
    <m/>
    <n v="0"/>
    <n v="0"/>
    <x v="2"/>
    <s v=""/>
    <m/>
    <m/>
    <m/>
    <m/>
    <m/>
    <m/>
    <m/>
    <m/>
    <m/>
    <m/>
    <m/>
    <m/>
    <s v=""/>
    <m/>
    <n v="0"/>
    <m/>
    <n v="0"/>
    <n v="309907.97999999992"/>
    <s v=""/>
    <s v=""/>
    <s v=""/>
    <m/>
  </r>
  <r>
    <x v="1"/>
    <d v="2025-08-18T17:02:24"/>
    <s v="NS 5pm"/>
    <m/>
    <m/>
    <m/>
    <m/>
    <x v="1"/>
    <m/>
    <m/>
    <n v="0"/>
    <m/>
    <m/>
    <n v="0"/>
    <m/>
    <m/>
    <n v="0"/>
    <m/>
    <m/>
    <n v="0"/>
    <n v="0"/>
    <x v="2"/>
    <s v=""/>
    <m/>
    <m/>
    <m/>
    <m/>
    <m/>
    <m/>
    <m/>
    <m/>
    <m/>
    <m/>
    <m/>
    <m/>
    <s v=""/>
    <m/>
    <n v="0"/>
    <m/>
    <n v="0"/>
    <n v="309907.97999999992"/>
    <s v=""/>
    <s v=""/>
    <s v=""/>
    <m/>
  </r>
  <r>
    <x v="1"/>
    <d v="2025-08-19T05:02:24"/>
    <s v="DS 5am"/>
    <m/>
    <m/>
    <m/>
    <m/>
    <x v="1"/>
    <m/>
    <m/>
    <n v="0"/>
    <m/>
    <m/>
    <n v="0"/>
    <m/>
    <m/>
    <n v="0"/>
    <m/>
    <m/>
    <n v="0"/>
    <n v="0"/>
    <x v="2"/>
    <s v=""/>
    <m/>
    <m/>
    <m/>
    <m/>
    <m/>
    <m/>
    <m/>
    <m/>
    <m/>
    <m/>
    <m/>
    <m/>
    <s v=""/>
    <m/>
    <n v="0"/>
    <m/>
    <n v="0"/>
    <n v="309907.97999999992"/>
    <s v=""/>
    <s v=""/>
    <s v=""/>
    <m/>
  </r>
  <r>
    <x v="1"/>
    <d v="2025-08-19T17:02:24"/>
    <s v="NS 5pm"/>
    <m/>
    <m/>
    <m/>
    <m/>
    <x v="1"/>
    <m/>
    <m/>
    <n v="0"/>
    <m/>
    <m/>
    <n v="0"/>
    <m/>
    <m/>
    <n v="0"/>
    <m/>
    <m/>
    <n v="0"/>
    <n v="0"/>
    <x v="2"/>
    <s v=""/>
    <m/>
    <m/>
    <m/>
    <m/>
    <m/>
    <m/>
    <m/>
    <m/>
    <m/>
    <m/>
    <m/>
    <m/>
    <s v=""/>
    <m/>
    <n v="0"/>
    <m/>
    <n v="0"/>
    <n v="309907.97999999992"/>
    <s v=""/>
    <s v=""/>
    <s v=""/>
    <m/>
  </r>
  <r>
    <x v="1"/>
    <d v="2025-08-20T05:02:24"/>
    <s v="DS 5am"/>
    <m/>
    <m/>
    <m/>
    <m/>
    <x v="1"/>
    <m/>
    <m/>
    <n v="0"/>
    <m/>
    <m/>
    <n v="0"/>
    <m/>
    <m/>
    <n v="0"/>
    <m/>
    <m/>
    <n v="0"/>
    <n v="0"/>
    <x v="2"/>
    <s v=""/>
    <m/>
    <m/>
    <m/>
    <m/>
    <m/>
    <m/>
    <m/>
    <m/>
    <m/>
    <m/>
    <m/>
    <m/>
    <s v=""/>
    <m/>
    <n v="0"/>
    <m/>
    <n v="0"/>
    <n v="309907.97999999992"/>
    <s v=""/>
    <s v=""/>
    <s v=""/>
    <m/>
  </r>
  <r>
    <x v="1"/>
    <d v="2025-08-20T17:02:24"/>
    <s v="NS 5pm"/>
    <m/>
    <m/>
    <m/>
    <m/>
    <x v="1"/>
    <m/>
    <m/>
    <n v="0"/>
    <m/>
    <m/>
    <n v="0"/>
    <m/>
    <m/>
    <n v="0"/>
    <m/>
    <m/>
    <n v="0"/>
    <n v="0"/>
    <x v="2"/>
    <s v=""/>
    <m/>
    <m/>
    <m/>
    <m/>
    <m/>
    <m/>
    <m/>
    <m/>
    <m/>
    <m/>
    <m/>
    <m/>
    <s v=""/>
    <m/>
    <n v="0"/>
    <m/>
    <n v="0"/>
    <n v="309907.97999999992"/>
    <s v=""/>
    <s v=""/>
    <s v=""/>
    <m/>
  </r>
  <r>
    <x v="1"/>
    <d v="2025-08-21T05:02:24"/>
    <s v="DS 5am"/>
    <m/>
    <m/>
    <m/>
    <m/>
    <x v="1"/>
    <m/>
    <m/>
    <n v="0"/>
    <m/>
    <m/>
    <n v="0"/>
    <m/>
    <m/>
    <n v="0"/>
    <m/>
    <m/>
    <n v="0"/>
    <n v="0"/>
    <x v="2"/>
    <s v=""/>
    <m/>
    <m/>
    <m/>
    <m/>
    <m/>
    <m/>
    <m/>
    <m/>
    <m/>
    <m/>
    <m/>
    <m/>
    <s v=""/>
    <m/>
    <n v="0"/>
    <m/>
    <n v="0"/>
    <n v="309907.97999999992"/>
    <s v=""/>
    <s v=""/>
    <s v=""/>
    <m/>
  </r>
  <r>
    <x v="1"/>
    <d v="2025-08-21T17:02:24"/>
    <s v="NS 5pm"/>
    <m/>
    <m/>
    <m/>
    <m/>
    <x v="1"/>
    <m/>
    <m/>
    <n v="0"/>
    <m/>
    <m/>
    <n v="0"/>
    <m/>
    <m/>
    <n v="0"/>
    <m/>
    <m/>
    <n v="0"/>
    <n v="0"/>
    <x v="2"/>
    <s v=""/>
    <m/>
    <m/>
    <m/>
    <m/>
    <m/>
    <m/>
    <m/>
    <m/>
    <m/>
    <m/>
    <m/>
    <m/>
    <s v=""/>
    <m/>
    <n v="0"/>
    <m/>
    <n v="0"/>
    <n v="309907.97999999992"/>
    <s v=""/>
    <s v=""/>
    <s v=""/>
    <m/>
  </r>
  <r>
    <x v="1"/>
    <d v="2025-08-22T05:02:24"/>
    <s v="DS 5am"/>
    <m/>
    <m/>
    <m/>
    <m/>
    <x v="1"/>
    <m/>
    <m/>
    <n v="0"/>
    <m/>
    <m/>
    <n v="0"/>
    <m/>
    <m/>
    <n v="0"/>
    <m/>
    <m/>
    <n v="0"/>
    <n v="0"/>
    <x v="2"/>
    <s v=""/>
    <m/>
    <m/>
    <m/>
    <m/>
    <m/>
    <m/>
    <m/>
    <m/>
    <m/>
    <m/>
    <m/>
    <m/>
    <s v=""/>
    <m/>
    <n v="0"/>
    <m/>
    <n v="0"/>
    <n v="309907.97999999992"/>
    <s v=""/>
    <s v=""/>
    <s v=""/>
    <m/>
  </r>
  <r>
    <x v="1"/>
    <d v="2025-08-22T17:02:24"/>
    <s v="NS 5pm"/>
    <m/>
    <m/>
    <m/>
    <m/>
    <x v="1"/>
    <m/>
    <m/>
    <n v="0"/>
    <m/>
    <m/>
    <n v="0"/>
    <m/>
    <m/>
    <n v="0"/>
    <m/>
    <m/>
    <n v="0"/>
    <n v="0"/>
    <x v="2"/>
    <s v=""/>
    <m/>
    <m/>
    <m/>
    <m/>
    <m/>
    <m/>
    <m/>
    <m/>
    <m/>
    <m/>
    <m/>
    <m/>
    <s v=""/>
    <m/>
    <n v="0"/>
    <m/>
    <n v="0"/>
    <n v="309907.97999999992"/>
    <s v=""/>
    <s v=""/>
    <s v=""/>
    <m/>
  </r>
  <r>
    <x v="1"/>
    <d v="2025-08-23T05:02:24"/>
    <s v="DS 5am"/>
    <m/>
    <m/>
    <m/>
    <m/>
    <x v="1"/>
    <m/>
    <m/>
    <n v="0"/>
    <m/>
    <m/>
    <n v="0"/>
    <m/>
    <m/>
    <n v="0"/>
    <m/>
    <m/>
    <n v="0"/>
    <n v="0"/>
    <x v="2"/>
    <s v=""/>
    <m/>
    <m/>
    <m/>
    <m/>
    <m/>
    <m/>
    <m/>
    <m/>
    <m/>
    <m/>
    <m/>
    <m/>
    <s v=""/>
    <m/>
    <n v="0"/>
    <m/>
    <n v="0"/>
    <n v="309907.97999999992"/>
    <s v=""/>
    <s v=""/>
    <s v=""/>
    <m/>
  </r>
  <r>
    <x v="1"/>
    <d v="2025-08-23T17:02:24"/>
    <s v="NS 5pm"/>
    <m/>
    <m/>
    <m/>
    <m/>
    <x v="1"/>
    <m/>
    <m/>
    <n v="0"/>
    <m/>
    <m/>
    <n v="0"/>
    <m/>
    <m/>
    <n v="0"/>
    <m/>
    <m/>
    <n v="0"/>
    <n v="0"/>
    <x v="2"/>
    <s v=""/>
    <m/>
    <m/>
    <m/>
    <m/>
    <m/>
    <m/>
    <m/>
    <m/>
    <m/>
    <m/>
    <m/>
    <m/>
    <s v=""/>
    <m/>
    <n v="0"/>
    <m/>
    <n v="0"/>
    <n v="309907.97999999992"/>
    <s v=""/>
    <s v=""/>
    <s v=""/>
    <m/>
  </r>
  <r>
    <x v="1"/>
    <d v="2025-08-24T05:02:24"/>
    <s v="DS 5am"/>
    <m/>
    <m/>
    <m/>
    <m/>
    <x v="1"/>
    <m/>
    <m/>
    <n v="0"/>
    <m/>
    <m/>
    <n v="0"/>
    <m/>
    <m/>
    <n v="0"/>
    <m/>
    <m/>
    <n v="0"/>
    <n v="0"/>
    <x v="2"/>
    <s v=""/>
    <m/>
    <m/>
    <m/>
    <m/>
    <m/>
    <m/>
    <m/>
    <m/>
    <m/>
    <m/>
    <m/>
    <m/>
    <s v=""/>
    <m/>
    <n v="0"/>
    <m/>
    <n v="0"/>
    <n v="309907.97999999992"/>
    <s v=""/>
    <s v=""/>
    <s v=""/>
    <m/>
  </r>
  <r>
    <x v="1"/>
    <d v="2025-08-24T17:02:24"/>
    <s v="NS 5pm"/>
    <m/>
    <m/>
    <m/>
    <m/>
    <x v="1"/>
    <m/>
    <m/>
    <n v="0"/>
    <m/>
    <m/>
    <n v="0"/>
    <m/>
    <m/>
    <n v="0"/>
    <m/>
    <m/>
    <n v="0"/>
    <n v="0"/>
    <x v="2"/>
    <s v=""/>
    <m/>
    <m/>
    <m/>
    <m/>
    <m/>
    <m/>
    <m/>
    <m/>
    <m/>
    <m/>
    <m/>
    <m/>
    <s v=""/>
    <m/>
    <n v="0"/>
    <m/>
    <n v="0"/>
    <n v="309907.97999999992"/>
    <s v=""/>
    <s v=""/>
    <s v=""/>
    <m/>
  </r>
  <r>
    <x v="1"/>
    <d v="2025-08-25T05:02:24"/>
    <s v="DS 5am"/>
    <m/>
    <m/>
    <m/>
    <m/>
    <x v="1"/>
    <m/>
    <m/>
    <n v="0"/>
    <m/>
    <m/>
    <n v="0"/>
    <m/>
    <m/>
    <n v="0"/>
    <m/>
    <m/>
    <n v="0"/>
    <n v="0"/>
    <x v="2"/>
    <s v=""/>
    <m/>
    <m/>
    <m/>
    <m/>
    <m/>
    <m/>
    <m/>
    <m/>
    <m/>
    <m/>
    <m/>
    <m/>
    <s v=""/>
    <m/>
    <n v="0"/>
    <m/>
    <n v="0"/>
    <n v="309907.97999999992"/>
    <s v=""/>
    <s v=""/>
    <s v=""/>
    <m/>
  </r>
  <r>
    <x v="1"/>
    <d v="2025-08-25T17:02:24"/>
    <s v="NS 5pm"/>
    <m/>
    <m/>
    <m/>
    <m/>
    <x v="1"/>
    <m/>
    <m/>
    <n v="0"/>
    <m/>
    <m/>
    <n v="0"/>
    <m/>
    <m/>
    <n v="0"/>
    <m/>
    <m/>
    <n v="0"/>
    <n v="0"/>
    <x v="2"/>
    <s v=""/>
    <m/>
    <m/>
    <m/>
    <m/>
    <m/>
    <m/>
    <m/>
    <m/>
    <m/>
    <m/>
    <m/>
    <m/>
    <s v=""/>
    <m/>
    <n v="0"/>
    <m/>
    <n v="0"/>
    <n v="309907.97999999992"/>
    <s v=""/>
    <s v=""/>
    <s v=""/>
    <m/>
  </r>
  <r>
    <x v="1"/>
    <d v="2025-08-26T05:02:24"/>
    <s v="DS 5am"/>
    <m/>
    <m/>
    <m/>
    <m/>
    <x v="1"/>
    <m/>
    <m/>
    <n v="0"/>
    <m/>
    <m/>
    <n v="0"/>
    <m/>
    <m/>
    <n v="0"/>
    <m/>
    <m/>
    <n v="0"/>
    <n v="0"/>
    <x v="2"/>
    <s v=""/>
    <m/>
    <m/>
    <m/>
    <m/>
    <m/>
    <m/>
    <m/>
    <m/>
    <m/>
    <m/>
    <m/>
    <m/>
    <s v=""/>
    <m/>
    <n v="0"/>
    <m/>
    <n v="0"/>
    <n v="309907.97999999992"/>
    <s v=""/>
    <s v=""/>
    <s v=""/>
    <m/>
  </r>
  <r>
    <x v="1"/>
    <d v="2025-08-26T17:02:24"/>
    <s v="NS 5pm"/>
    <m/>
    <m/>
    <m/>
    <m/>
    <x v="1"/>
    <m/>
    <m/>
    <n v="0"/>
    <m/>
    <m/>
    <n v="0"/>
    <m/>
    <m/>
    <n v="0"/>
    <m/>
    <m/>
    <n v="0"/>
    <n v="0"/>
    <x v="2"/>
    <s v=""/>
    <m/>
    <m/>
    <m/>
    <m/>
    <m/>
    <m/>
    <m/>
    <m/>
    <m/>
    <m/>
    <m/>
    <m/>
    <s v=""/>
    <m/>
    <n v="0"/>
    <m/>
    <n v="0"/>
    <n v="309907.97999999992"/>
    <s v=""/>
    <s v=""/>
    <s v=""/>
    <m/>
  </r>
  <r>
    <x v="1"/>
    <d v="2025-08-27T05:02:24"/>
    <s v="DS 5am"/>
    <m/>
    <m/>
    <m/>
    <m/>
    <x v="1"/>
    <m/>
    <m/>
    <n v="0"/>
    <m/>
    <m/>
    <n v="0"/>
    <m/>
    <m/>
    <n v="0"/>
    <m/>
    <m/>
    <n v="0"/>
    <n v="0"/>
    <x v="2"/>
    <s v=""/>
    <m/>
    <m/>
    <m/>
    <m/>
    <m/>
    <m/>
    <m/>
    <m/>
    <m/>
    <m/>
    <m/>
    <m/>
    <s v=""/>
    <m/>
    <n v="0"/>
    <m/>
    <n v="0"/>
    <n v="309907.97999999992"/>
    <s v=""/>
    <s v=""/>
    <s v=""/>
    <m/>
  </r>
  <r>
    <x v="1"/>
    <d v="2025-08-27T17:02:24"/>
    <s v="NS 5pm"/>
    <m/>
    <m/>
    <m/>
    <m/>
    <x v="1"/>
    <m/>
    <m/>
    <n v="0"/>
    <m/>
    <m/>
    <n v="0"/>
    <m/>
    <m/>
    <n v="0"/>
    <m/>
    <m/>
    <n v="0"/>
    <n v="0"/>
    <x v="2"/>
    <s v=""/>
    <m/>
    <m/>
    <m/>
    <m/>
    <m/>
    <m/>
    <m/>
    <m/>
    <m/>
    <m/>
    <m/>
    <m/>
    <s v=""/>
    <m/>
    <n v="0"/>
    <m/>
    <n v="0"/>
    <n v="309907.97999999992"/>
    <s v=""/>
    <s v=""/>
    <s v=""/>
    <m/>
  </r>
  <r>
    <x v="1"/>
    <d v="2025-08-28T05:02:24"/>
    <s v="DS 5am"/>
    <m/>
    <m/>
    <m/>
    <m/>
    <x v="1"/>
    <m/>
    <m/>
    <n v="0"/>
    <m/>
    <m/>
    <n v="0"/>
    <m/>
    <m/>
    <n v="0"/>
    <m/>
    <m/>
    <n v="0"/>
    <n v="0"/>
    <x v="2"/>
    <s v=""/>
    <m/>
    <m/>
    <m/>
    <m/>
    <m/>
    <m/>
    <m/>
    <m/>
    <m/>
    <m/>
    <m/>
    <m/>
    <s v=""/>
    <m/>
    <n v="0"/>
    <m/>
    <n v="0"/>
    <n v="309907.97999999992"/>
    <s v=""/>
    <s v=""/>
    <s v=""/>
    <m/>
  </r>
  <r>
    <x v="1"/>
    <d v="2025-08-28T17:02:24"/>
    <s v="NS 5pm"/>
    <m/>
    <m/>
    <m/>
    <m/>
    <x v="1"/>
    <m/>
    <m/>
    <n v="0"/>
    <m/>
    <m/>
    <n v="0"/>
    <m/>
    <m/>
    <n v="0"/>
    <m/>
    <m/>
    <n v="0"/>
    <n v="0"/>
    <x v="2"/>
    <s v=""/>
    <m/>
    <m/>
    <m/>
    <m/>
    <m/>
    <m/>
    <m/>
    <m/>
    <m/>
    <m/>
    <m/>
    <m/>
    <s v=""/>
    <m/>
    <n v="0"/>
    <m/>
    <n v="0"/>
    <n v="309907.97999999992"/>
    <s v=""/>
    <s v=""/>
    <s v=""/>
    <m/>
  </r>
  <r>
    <x v="1"/>
    <d v="2025-08-29T05:02:24"/>
    <s v="DS 5am"/>
    <m/>
    <m/>
    <m/>
    <m/>
    <x v="1"/>
    <m/>
    <m/>
    <n v="0"/>
    <m/>
    <m/>
    <n v="0"/>
    <m/>
    <m/>
    <n v="0"/>
    <m/>
    <m/>
    <n v="0"/>
    <n v="0"/>
    <x v="2"/>
    <s v=""/>
    <m/>
    <m/>
    <m/>
    <m/>
    <m/>
    <m/>
    <m/>
    <m/>
    <m/>
    <m/>
    <m/>
    <m/>
    <s v=""/>
    <m/>
    <n v="0"/>
    <m/>
    <n v="0"/>
    <n v="309907.97999999992"/>
    <s v=""/>
    <s v=""/>
    <s v=""/>
    <m/>
  </r>
  <r>
    <x v="1"/>
    <d v="2025-08-29T17:02:24"/>
    <s v="NS 5pm"/>
    <m/>
    <m/>
    <m/>
    <m/>
    <x v="1"/>
    <m/>
    <m/>
    <n v="0"/>
    <m/>
    <m/>
    <n v="0"/>
    <m/>
    <m/>
    <n v="0"/>
    <m/>
    <m/>
    <n v="0"/>
    <n v="0"/>
    <x v="2"/>
    <s v=""/>
    <m/>
    <m/>
    <m/>
    <m/>
    <m/>
    <m/>
    <m/>
    <m/>
    <m/>
    <m/>
    <m/>
    <m/>
    <s v=""/>
    <m/>
    <n v="0"/>
    <m/>
    <n v="0"/>
    <n v="309907.97999999992"/>
    <s v=""/>
    <s v=""/>
    <s v=""/>
    <m/>
  </r>
  <r>
    <x v="1"/>
    <d v="2025-08-30T05:02:24"/>
    <s v="DS 5am"/>
    <m/>
    <m/>
    <m/>
    <m/>
    <x v="1"/>
    <m/>
    <m/>
    <n v="0"/>
    <m/>
    <m/>
    <n v="0"/>
    <m/>
    <m/>
    <n v="0"/>
    <m/>
    <m/>
    <n v="0"/>
    <n v="0"/>
    <x v="2"/>
    <s v=""/>
    <m/>
    <m/>
    <m/>
    <m/>
    <m/>
    <m/>
    <m/>
    <m/>
    <m/>
    <m/>
    <m/>
    <m/>
    <s v=""/>
    <m/>
    <n v="0"/>
    <m/>
    <n v="0"/>
    <n v="309907.97999999992"/>
    <s v=""/>
    <s v=""/>
    <s v=""/>
    <m/>
  </r>
  <r>
    <x v="1"/>
    <d v="2025-08-30T17:02:24"/>
    <s v="NS 5pm"/>
    <m/>
    <m/>
    <m/>
    <m/>
    <x v="1"/>
    <m/>
    <m/>
    <n v="0"/>
    <m/>
    <m/>
    <n v="0"/>
    <m/>
    <m/>
    <n v="0"/>
    <m/>
    <m/>
    <n v="0"/>
    <n v="0"/>
    <x v="2"/>
    <s v=""/>
    <m/>
    <m/>
    <m/>
    <m/>
    <m/>
    <m/>
    <m/>
    <m/>
    <m/>
    <m/>
    <m/>
    <m/>
    <s v=""/>
    <m/>
    <n v="0"/>
    <m/>
    <n v="0"/>
    <n v="309907.97999999992"/>
    <s v=""/>
    <s v=""/>
    <s v=""/>
    <m/>
  </r>
  <r>
    <x v="1"/>
    <d v="2025-08-31T05:02:24"/>
    <s v="DS 5am"/>
    <m/>
    <m/>
    <m/>
    <m/>
    <x v="1"/>
    <m/>
    <m/>
    <n v="0"/>
    <m/>
    <m/>
    <n v="0"/>
    <m/>
    <m/>
    <n v="0"/>
    <m/>
    <m/>
    <n v="0"/>
    <n v="0"/>
    <x v="2"/>
    <s v=""/>
    <m/>
    <m/>
    <m/>
    <m/>
    <m/>
    <m/>
    <m/>
    <m/>
    <m/>
    <m/>
    <m/>
    <m/>
    <s v=""/>
    <m/>
    <n v="0"/>
    <m/>
    <n v="0"/>
    <n v="309907.97999999992"/>
    <s v=""/>
    <s v=""/>
    <s v=""/>
    <m/>
  </r>
  <r>
    <x v="1"/>
    <d v="2025-08-31T17:02:24"/>
    <s v="NS 5pm"/>
    <m/>
    <m/>
    <m/>
    <m/>
    <x v="1"/>
    <m/>
    <m/>
    <n v="0"/>
    <m/>
    <m/>
    <n v="0"/>
    <m/>
    <m/>
    <n v="0"/>
    <m/>
    <m/>
    <n v="0"/>
    <n v="0"/>
    <x v="2"/>
    <s v=""/>
    <m/>
    <m/>
    <m/>
    <m/>
    <m/>
    <m/>
    <m/>
    <m/>
    <m/>
    <m/>
    <m/>
    <m/>
    <s v=""/>
    <m/>
    <n v="0"/>
    <m/>
    <n v="0"/>
    <n v="309907.97999999992"/>
    <s v=""/>
    <s v=""/>
    <s v=""/>
    <m/>
  </r>
  <r>
    <x v="1"/>
    <d v="2025-09-01T05:02:24"/>
    <s v="DS 5am"/>
    <m/>
    <m/>
    <m/>
    <m/>
    <x v="1"/>
    <m/>
    <m/>
    <n v="0"/>
    <m/>
    <m/>
    <n v="0"/>
    <m/>
    <m/>
    <n v="0"/>
    <m/>
    <m/>
    <n v="0"/>
    <n v="0"/>
    <x v="2"/>
    <s v=""/>
    <m/>
    <m/>
    <m/>
    <m/>
    <m/>
    <m/>
    <m/>
    <m/>
    <m/>
    <m/>
    <m/>
    <m/>
    <s v=""/>
    <m/>
    <n v="0"/>
    <m/>
    <n v="0"/>
    <n v="309907.97999999992"/>
    <s v=""/>
    <s v=""/>
    <s v=""/>
    <m/>
  </r>
  <r>
    <x v="1"/>
    <d v="2025-09-01T17:02:24"/>
    <s v="NS 5pm"/>
    <m/>
    <m/>
    <m/>
    <m/>
    <x v="1"/>
    <m/>
    <m/>
    <n v="0"/>
    <m/>
    <m/>
    <n v="0"/>
    <m/>
    <m/>
    <n v="0"/>
    <m/>
    <m/>
    <n v="0"/>
    <n v="0"/>
    <x v="2"/>
    <s v=""/>
    <m/>
    <m/>
    <m/>
    <m/>
    <m/>
    <m/>
    <m/>
    <m/>
    <m/>
    <m/>
    <m/>
    <m/>
    <s v=""/>
    <m/>
    <n v="0"/>
    <m/>
    <n v="0"/>
    <n v="309907.97999999992"/>
    <s v=""/>
    <s v=""/>
    <s v=""/>
    <m/>
  </r>
  <r>
    <x v="1"/>
    <d v="2025-09-02T05:02:24"/>
    <s v="DS 5am"/>
    <m/>
    <m/>
    <m/>
    <m/>
    <x v="1"/>
    <m/>
    <m/>
    <n v="0"/>
    <m/>
    <m/>
    <n v="0"/>
    <m/>
    <m/>
    <n v="0"/>
    <m/>
    <m/>
    <n v="0"/>
    <n v="0"/>
    <x v="2"/>
    <s v=""/>
    <m/>
    <m/>
    <m/>
    <m/>
    <m/>
    <m/>
    <m/>
    <m/>
    <m/>
    <m/>
    <m/>
    <m/>
    <s v=""/>
    <m/>
    <n v="0"/>
    <m/>
    <n v="0"/>
    <n v="309907.97999999992"/>
    <s v=""/>
    <s v=""/>
    <s v=""/>
    <m/>
  </r>
  <r>
    <x v="1"/>
    <d v="2025-09-02T17:02:24"/>
    <s v="NS 5pm"/>
    <m/>
    <m/>
    <m/>
    <m/>
    <x v="1"/>
    <m/>
    <m/>
    <n v="0"/>
    <m/>
    <m/>
    <n v="0"/>
    <m/>
    <m/>
    <n v="0"/>
    <m/>
    <m/>
    <n v="0"/>
    <n v="0"/>
    <x v="2"/>
    <s v=""/>
    <m/>
    <m/>
    <m/>
    <m/>
    <m/>
    <m/>
    <m/>
    <m/>
    <m/>
    <m/>
    <m/>
    <m/>
    <s v=""/>
    <m/>
    <n v="0"/>
    <m/>
    <n v="0"/>
    <n v="309907.97999999992"/>
    <s v=""/>
    <s v=""/>
    <s v=""/>
    <m/>
  </r>
  <r>
    <x v="1"/>
    <d v="2025-09-03T05:02:24"/>
    <s v="DS 5am"/>
    <m/>
    <m/>
    <m/>
    <m/>
    <x v="1"/>
    <m/>
    <m/>
    <n v="0"/>
    <m/>
    <m/>
    <n v="0"/>
    <m/>
    <m/>
    <n v="0"/>
    <m/>
    <m/>
    <n v="0"/>
    <n v="0"/>
    <x v="2"/>
    <s v=""/>
    <m/>
    <m/>
    <m/>
    <m/>
    <m/>
    <m/>
    <m/>
    <m/>
    <m/>
    <m/>
    <m/>
    <m/>
    <s v=""/>
    <m/>
    <n v="0"/>
    <m/>
    <n v="0"/>
    <n v="309907.97999999992"/>
    <s v=""/>
    <s v=""/>
    <s v=""/>
    <m/>
  </r>
  <r>
    <x v="1"/>
    <d v="2025-09-03T17:02:24"/>
    <s v="NS 5pm"/>
    <m/>
    <m/>
    <m/>
    <m/>
    <x v="1"/>
    <m/>
    <m/>
    <n v="0"/>
    <m/>
    <m/>
    <n v="0"/>
    <m/>
    <m/>
    <n v="0"/>
    <m/>
    <m/>
    <n v="0"/>
    <n v="0"/>
    <x v="2"/>
    <s v=""/>
    <m/>
    <m/>
    <m/>
    <m/>
    <m/>
    <m/>
    <m/>
    <m/>
    <m/>
    <m/>
    <m/>
    <m/>
    <s v=""/>
    <m/>
    <n v="0"/>
    <m/>
    <n v="0"/>
    <n v="309907.97999999992"/>
    <s v=""/>
    <s v=""/>
    <s v=""/>
    <m/>
  </r>
  <r>
    <x v="1"/>
    <d v="2025-09-04T05:02:24"/>
    <s v="DS 5am"/>
    <m/>
    <m/>
    <m/>
    <m/>
    <x v="1"/>
    <m/>
    <m/>
    <n v="0"/>
    <m/>
    <m/>
    <n v="0"/>
    <m/>
    <m/>
    <n v="0"/>
    <m/>
    <m/>
    <n v="0"/>
    <n v="0"/>
    <x v="2"/>
    <s v=""/>
    <m/>
    <m/>
    <m/>
    <m/>
    <m/>
    <m/>
    <m/>
    <m/>
    <m/>
    <m/>
    <m/>
    <m/>
    <s v=""/>
    <m/>
    <n v="0"/>
    <m/>
    <n v="0"/>
    <n v="309907.97999999992"/>
    <s v=""/>
    <s v=""/>
    <s v=""/>
    <m/>
  </r>
  <r>
    <x v="1"/>
    <d v="2025-09-04T17:02:24"/>
    <s v="NS 5pm"/>
    <m/>
    <m/>
    <m/>
    <m/>
    <x v="1"/>
    <m/>
    <m/>
    <n v="0"/>
    <m/>
    <m/>
    <n v="0"/>
    <m/>
    <m/>
    <n v="0"/>
    <m/>
    <m/>
    <n v="0"/>
    <n v="0"/>
    <x v="2"/>
    <s v=""/>
    <m/>
    <m/>
    <m/>
    <m/>
    <m/>
    <m/>
    <m/>
    <m/>
    <m/>
    <m/>
    <m/>
    <m/>
    <s v=""/>
    <m/>
    <n v="0"/>
    <m/>
    <n v="0"/>
    <n v="309907.97999999992"/>
    <s v=""/>
    <s v=""/>
    <s v=""/>
    <m/>
  </r>
  <r>
    <x v="1"/>
    <d v="2025-09-05T05:02:24"/>
    <s v="DS 5am"/>
    <m/>
    <m/>
    <m/>
    <m/>
    <x v="1"/>
    <m/>
    <m/>
    <n v="0"/>
    <m/>
    <m/>
    <n v="0"/>
    <m/>
    <m/>
    <n v="0"/>
    <m/>
    <m/>
    <n v="0"/>
    <n v="0"/>
    <x v="2"/>
    <s v=""/>
    <m/>
    <m/>
    <m/>
    <m/>
    <m/>
    <m/>
    <m/>
    <m/>
    <m/>
    <m/>
    <m/>
    <m/>
    <s v=""/>
    <m/>
    <n v="0"/>
    <m/>
    <n v="0"/>
    <n v="309907.97999999992"/>
    <s v=""/>
    <s v=""/>
    <s v=""/>
    <m/>
  </r>
  <r>
    <x v="1"/>
    <d v="2025-09-05T17:02:24"/>
    <s v="NS 5pm"/>
    <m/>
    <m/>
    <m/>
    <m/>
    <x v="1"/>
    <m/>
    <m/>
    <n v="0"/>
    <m/>
    <m/>
    <n v="0"/>
    <m/>
    <m/>
    <n v="0"/>
    <m/>
    <m/>
    <n v="0"/>
    <n v="0"/>
    <x v="2"/>
    <s v=""/>
    <m/>
    <m/>
    <m/>
    <m/>
    <m/>
    <m/>
    <m/>
    <m/>
    <m/>
    <m/>
    <m/>
    <m/>
    <s v=""/>
    <m/>
    <n v="0"/>
    <m/>
    <n v="0"/>
    <n v="309907.97999999992"/>
    <s v=""/>
    <s v=""/>
    <s v=""/>
    <m/>
  </r>
  <r>
    <x v="1"/>
    <d v="2025-09-06T05:02:24"/>
    <s v="DS 5am"/>
    <m/>
    <m/>
    <m/>
    <m/>
    <x v="1"/>
    <m/>
    <m/>
    <n v="0"/>
    <m/>
    <m/>
    <n v="0"/>
    <m/>
    <m/>
    <n v="0"/>
    <m/>
    <m/>
    <n v="0"/>
    <n v="0"/>
    <x v="2"/>
    <s v=""/>
    <m/>
    <m/>
    <m/>
    <m/>
    <m/>
    <m/>
    <m/>
    <m/>
    <m/>
    <m/>
    <m/>
    <m/>
    <s v=""/>
    <m/>
    <n v="0"/>
    <m/>
    <n v="0"/>
    <n v="309907.97999999992"/>
    <s v=""/>
    <s v=""/>
    <s v=""/>
    <m/>
  </r>
  <r>
    <x v="1"/>
    <d v="2025-09-06T17:02:24"/>
    <s v="NS 5pm"/>
    <m/>
    <m/>
    <m/>
    <m/>
    <x v="1"/>
    <m/>
    <m/>
    <n v="0"/>
    <m/>
    <m/>
    <n v="0"/>
    <m/>
    <m/>
    <n v="0"/>
    <m/>
    <m/>
    <n v="0"/>
    <n v="0"/>
    <x v="2"/>
    <s v=""/>
    <m/>
    <m/>
    <m/>
    <m/>
    <m/>
    <m/>
    <m/>
    <m/>
    <m/>
    <m/>
    <m/>
    <m/>
    <s v=""/>
    <m/>
    <n v="0"/>
    <m/>
    <n v="0"/>
    <n v="309907.97999999992"/>
    <s v=""/>
    <s v=""/>
    <s v=""/>
    <m/>
  </r>
  <r>
    <x v="1"/>
    <d v="2025-09-07T05:02:24"/>
    <s v="DS 5am"/>
    <m/>
    <m/>
    <m/>
    <m/>
    <x v="1"/>
    <m/>
    <m/>
    <n v="0"/>
    <m/>
    <m/>
    <n v="0"/>
    <m/>
    <m/>
    <n v="0"/>
    <m/>
    <m/>
    <n v="0"/>
    <n v="0"/>
    <x v="2"/>
    <s v=""/>
    <m/>
    <m/>
    <m/>
    <m/>
    <m/>
    <m/>
    <m/>
    <m/>
    <m/>
    <m/>
    <m/>
    <m/>
    <s v=""/>
    <m/>
    <n v="0"/>
    <m/>
    <n v="0"/>
    <n v="309907.97999999992"/>
    <s v=""/>
    <s v=""/>
    <s v=""/>
    <m/>
  </r>
  <r>
    <x v="1"/>
    <d v="2025-09-07T17:02:24"/>
    <s v="NS 5pm"/>
    <m/>
    <m/>
    <m/>
    <m/>
    <x v="1"/>
    <m/>
    <m/>
    <n v="0"/>
    <m/>
    <m/>
    <n v="0"/>
    <m/>
    <m/>
    <n v="0"/>
    <m/>
    <m/>
    <n v="0"/>
    <n v="0"/>
    <x v="2"/>
    <s v=""/>
    <m/>
    <m/>
    <m/>
    <m/>
    <m/>
    <m/>
    <m/>
    <m/>
    <m/>
    <m/>
    <m/>
    <m/>
    <s v=""/>
    <m/>
    <n v="0"/>
    <m/>
    <n v="0"/>
    <n v="309907.97999999992"/>
    <s v=""/>
    <s v=""/>
    <s v=""/>
    <m/>
  </r>
  <r>
    <x v="1"/>
    <d v="2025-09-08T05:02:24"/>
    <s v="DS 5am"/>
    <m/>
    <m/>
    <m/>
    <m/>
    <x v="1"/>
    <m/>
    <m/>
    <n v="0"/>
    <m/>
    <m/>
    <n v="0"/>
    <m/>
    <m/>
    <n v="0"/>
    <m/>
    <m/>
    <n v="0"/>
    <n v="0"/>
    <x v="2"/>
    <s v=""/>
    <m/>
    <m/>
    <m/>
    <m/>
    <m/>
    <m/>
    <m/>
    <m/>
    <m/>
    <m/>
    <m/>
    <m/>
    <s v=""/>
    <m/>
    <n v="0"/>
    <m/>
    <n v="0"/>
    <n v="309907.97999999992"/>
    <s v=""/>
    <s v=""/>
    <s v=""/>
    <m/>
  </r>
  <r>
    <x v="1"/>
    <d v="2025-09-08T17:02:24"/>
    <s v="NS 5pm"/>
    <m/>
    <m/>
    <m/>
    <m/>
    <x v="1"/>
    <m/>
    <m/>
    <n v="0"/>
    <m/>
    <m/>
    <n v="0"/>
    <m/>
    <m/>
    <n v="0"/>
    <m/>
    <m/>
    <n v="0"/>
    <n v="0"/>
    <x v="2"/>
    <s v=""/>
    <m/>
    <m/>
    <m/>
    <m/>
    <m/>
    <m/>
    <m/>
    <m/>
    <m/>
    <m/>
    <m/>
    <m/>
    <s v=""/>
    <m/>
    <n v="0"/>
    <m/>
    <n v="0"/>
    <n v="309907.97999999992"/>
    <s v=""/>
    <s v=""/>
    <s v=""/>
    <m/>
  </r>
  <r>
    <x v="1"/>
    <d v="2025-09-09T05:02:24"/>
    <s v="DS 5am"/>
    <m/>
    <m/>
    <m/>
    <m/>
    <x v="1"/>
    <m/>
    <m/>
    <n v="0"/>
    <m/>
    <m/>
    <n v="0"/>
    <m/>
    <m/>
    <n v="0"/>
    <m/>
    <m/>
    <n v="0"/>
    <n v="0"/>
    <x v="2"/>
    <s v=""/>
    <m/>
    <m/>
    <m/>
    <m/>
    <m/>
    <m/>
    <m/>
    <m/>
    <m/>
    <m/>
    <m/>
    <m/>
    <s v=""/>
    <m/>
    <n v="0"/>
    <m/>
    <n v="0"/>
    <n v="309907.97999999992"/>
    <s v=""/>
    <s v=""/>
    <s v=""/>
    <m/>
  </r>
  <r>
    <x v="1"/>
    <d v="2025-09-09T17:02:24"/>
    <s v="NS 5pm"/>
    <m/>
    <m/>
    <m/>
    <m/>
    <x v="1"/>
    <m/>
    <m/>
    <n v="0"/>
    <m/>
    <m/>
    <n v="0"/>
    <m/>
    <m/>
    <n v="0"/>
    <m/>
    <m/>
    <n v="0"/>
    <n v="0"/>
    <x v="2"/>
    <s v=""/>
    <m/>
    <m/>
    <m/>
    <m/>
    <m/>
    <m/>
    <m/>
    <m/>
    <m/>
    <m/>
    <m/>
    <m/>
    <s v=""/>
    <m/>
    <n v="0"/>
    <m/>
    <n v="0"/>
    <n v="309907.97999999992"/>
    <s v=""/>
    <s v=""/>
    <s v=""/>
    <m/>
  </r>
  <r>
    <x v="1"/>
    <d v="2025-09-10T05:02:24"/>
    <s v="DS 5am"/>
    <m/>
    <m/>
    <m/>
    <m/>
    <x v="1"/>
    <m/>
    <m/>
    <n v="0"/>
    <m/>
    <m/>
    <n v="0"/>
    <m/>
    <m/>
    <n v="0"/>
    <m/>
    <m/>
    <n v="0"/>
    <n v="0"/>
    <x v="2"/>
    <s v=""/>
    <m/>
    <m/>
    <m/>
    <m/>
    <m/>
    <m/>
    <m/>
    <m/>
    <m/>
    <m/>
    <m/>
    <m/>
    <s v=""/>
    <m/>
    <n v="0"/>
    <m/>
    <n v="0"/>
    <n v="309907.97999999992"/>
    <s v=""/>
    <s v=""/>
    <s v=""/>
    <m/>
  </r>
  <r>
    <x v="1"/>
    <d v="2025-09-10T17:02:24"/>
    <s v="NS 5pm"/>
    <m/>
    <m/>
    <m/>
    <m/>
    <x v="1"/>
    <m/>
    <m/>
    <n v="0"/>
    <m/>
    <m/>
    <n v="0"/>
    <m/>
    <m/>
    <n v="0"/>
    <m/>
    <m/>
    <n v="0"/>
    <n v="0"/>
    <x v="2"/>
    <s v=""/>
    <m/>
    <m/>
    <m/>
    <m/>
    <m/>
    <m/>
    <m/>
    <m/>
    <m/>
    <m/>
    <m/>
    <m/>
    <s v=""/>
    <m/>
    <n v="0"/>
    <m/>
    <n v="0"/>
    <n v="309907.97999999992"/>
    <s v=""/>
    <s v=""/>
    <s v=""/>
    <m/>
  </r>
  <r>
    <x v="1"/>
    <d v="2025-09-11T05:02:24"/>
    <s v="DS 5am"/>
    <m/>
    <m/>
    <m/>
    <m/>
    <x v="1"/>
    <m/>
    <m/>
    <n v="0"/>
    <m/>
    <m/>
    <n v="0"/>
    <m/>
    <m/>
    <n v="0"/>
    <m/>
    <m/>
    <n v="0"/>
    <n v="0"/>
    <x v="2"/>
    <s v=""/>
    <m/>
    <m/>
    <m/>
    <m/>
    <m/>
    <m/>
    <m/>
    <m/>
    <m/>
    <m/>
    <m/>
    <m/>
    <s v=""/>
    <m/>
    <n v="0"/>
    <m/>
    <n v="0"/>
    <n v="309907.97999999992"/>
    <s v=""/>
    <s v=""/>
    <s v=""/>
    <m/>
  </r>
  <r>
    <x v="1"/>
    <d v="2025-09-11T17:02:24"/>
    <s v="NS 5pm"/>
    <m/>
    <m/>
    <m/>
    <m/>
    <x v="1"/>
    <m/>
    <m/>
    <n v="0"/>
    <m/>
    <m/>
    <n v="0"/>
    <m/>
    <m/>
    <n v="0"/>
    <m/>
    <m/>
    <n v="0"/>
    <n v="0"/>
    <x v="2"/>
    <s v=""/>
    <m/>
    <m/>
    <m/>
    <m/>
    <m/>
    <m/>
    <m/>
    <m/>
    <m/>
    <m/>
    <m/>
    <m/>
    <s v=""/>
    <m/>
    <n v="0"/>
    <m/>
    <n v="0"/>
    <n v="309907.97999999992"/>
    <s v=""/>
    <s v=""/>
    <s v=""/>
    <m/>
  </r>
  <r>
    <x v="1"/>
    <d v="2025-09-12T05:02:24"/>
    <s v="DS 5am"/>
    <m/>
    <m/>
    <m/>
    <m/>
    <x v="1"/>
    <m/>
    <m/>
    <n v="0"/>
    <m/>
    <m/>
    <n v="0"/>
    <m/>
    <m/>
    <n v="0"/>
    <m/>
    <m/>
    <n v="0"/>
    <n v="0"/>
    <x v="2"/>
    <s v=""/>
    <m/>
    <m/>
    <m/>
    <m/>
    <m/>
    <m/>
    <m/>
    <m/>
    <m/>
    <m/>
    <m/>
    <m/>
    <s v=""/>
    <m/>
    <n v="0"/>
    <m/>
    <n v="0"/>
    <n v="309907.97999999992"/>
    <s v=""/>
    <s v=""/>
    <s v=""/>
    <m/>
  </r>
  <r>
    <x v="1"/>
    <d v="2025-09-12T17:02:24"/>
    <s v="NS 5pm"/>
    <m/>
    <m/>
    <m/>
    <m/>
    <x v="1"/>
    <m/>
    <m/>
    <n v="0"/>
    <m/>
    <m/>
    <n v="0"/>
    <m/>
    <m/>
    <n v="0"/>
    <m/>
    <m/>
    <n v="0"/>
    <n v="0"/>
    <x v="2"/>
    <s v=""/>
    <m/>
    <m/>
    <m/>
    <m/>
    <m/>
    <m/>
    <m/>
    <m/>
    <m/>
    <m/>
    <m/>
    <m/>
    <s v=""/>
    <m/>
    <n v="0"/>
    <m/>
    <n v="0"/>
    <n v="309907.97999999992"/>
    <s v=""/>
    <s v=""/>
    <s v=""/>
    <m/>
  </r>
  <r>
    <x v="1"/>
    <d v="2025-09-13T05:02:24"/>
    <s v="DS 5am"/>
    <m/>
    <m/>
    <m/>
    <m/>
    <x v="1"/>
    <m/>
    <m/>
    <n v="0"/>
    <m/>
    <m/>
    <n v="0"/>
    <m/>
    <m/>
    <n v="0"/>
    <m/>
    <m/>
    <n v="0"/>
    <n v="0"/>
    <x v="2"/>
    <s v=""/>
    <m/>
    <m/>
    <m/>
    <m/>
    <m/>
    <m/>
    <m/>
    <m/>
    <m/>
    <m/>
    <m/>
    <m/>
    <s v=""/>
    <m/>
    <n v="0"/>
    <m/>
    <n v="0"/>
    <n v="309907.97999999992"/>
    <s v=""/>
    <s v=""/>
    <s v=""/>
    <m/>
  </r>
  <r>
    <x v="1"/>
    <d v="2025-09-13T17:02:24"/>
    <s v="NS 5pm"/>
    <m/>
    <m/>
    <m/>
    <m/>
    <x v="1"/>
    <m/>
    <m/>
    <n v="0"/>
    <m/>
    <m/>
    <n v="0"/>
    <m/>
    <m/>
    <n v="0"/>
    <m/>
    <m/>
    <n v="0"/>
    <n v="0"/>
    <x v="2"/>
    <s v=""/>
    <m/>
    <m/>
    <m/>
    <m/>
    <m/>
    <m/>
    <m/>
    <m/>
    <m/>
    <m/>
    <m/>
    <m/>
    <s v=""/>
    <m/>
    <n v="0"/>
    <m/>
    <n v="0"/>
    <n v="309907.97999999992"/>
    <s v=""/>
    <s v=""/>
    <s v=""/>
    <m/>
  </r>
  <r>
    <x v="1"/>
    <d v="2025-09-14T05:02:24"/>
    <s v="DS 5am"/>
    <m/>
    <m/>
    <m/>
    <m/>
    <x v="1"/>
    <m/>
    <m/>
    <n v="0"/>
    <m/>
    <m/>
    <n v="0"/>
    <m/>
    <m/>
    <n v="0"/>
    <m/>
    <m/>
    <n v="0"/>
    <n v="0"/>
    <x v="2"/>
    <s v=""/>
    <m/>
    <m/>
    <m/>
    <m/>
    <m/>
    <m/>
    <m/>
    <m/>
    <m/>
    <m/>
    <m/>
    <m/>
    <s v=""/>
    <m/>
    <n v="0"/>
    <m/>
    <n v="0"/>
    <n v="309907.97999999992"/>
    <s v=""/>
    <s v=""/>
    <s v=""/>
    <m/>
  </r>
  <r>
    <x v="1"/>
    <d v="2025-09-14T17:02:24"/>
    <s v="NS 5pm"/>
    <m/>
    <m/>
    <m/>
    <m/>
    <x v="1"/>
    <m/>
    <m/>
    <n v="0"/>
    <m/>
    <m/>
    <n v="0"/>
    <m/>
    <m/>
    <n v="0"/>
    <m/>
    <m/>
    <n v="0"/>
    <n v="0"/>
    <x v="2"/>
    <s v=""/>
    <m/>
    <m/>
    <m/>
    <m/>
    <m/>
    <m/>
    <m/>
    <m/>
    <m/>
    <m/>
    <m/>
    <m/>
    <s v=""/>
    <m/>
    <n v="0"/>
    <m/>
    <n v="0"/>
    <n v="309907.97999999992"/>
    <s v=""/>
    <s v=""/>
    <s v=""/>
    <m/>
  </r>
  <r>
    <x v="1"/>
    <d v="2025-09-15T05:02:24"/>
    <s v="DS 5am"/>
    <m/>
    <m/>
    <m/>
    <m/>
    <x v="1"/>
    <m/>
    <m/>
    <n v="0"/>
    <m/>
    <m/>
    <n v="0"/>
    <m/>
    <m/>
    <n v="0"/>
    <m/>
    <m/>
    <n v="0"/>
    <n v="0"/>
    <x v="2"/>
    <s v=""/>
    <m/>
    <m/>
    <m/>
    <m/>
    <m/>
    <m/>
    <m/>
    <m/>
    <m/>
    <m/>
    <m/>
    <m/>
    <s v=""/>
    <m/>
    <n v="0"/>
    <m/>
    <n v="0"/>
    <n v="309907.97999999992"/>
    <s v=""/>
    <s v=""/>
    <s v=""/>
    <m/>
  </r>
  <r>
    <x v="1"/>
    <d v="2025-09-15T17:02:24"/>
    <s v="NS 5pm"/>
    <m/>
    <m/>
    <m/>
    <m/>
    <x v="1"/>
    <m/>
    <m/>
    <n v="0"/>
    <m/>
    <m/>
    <n v="0"/>
    <m/>
    <m/>
    <n v="0"/>
    <m/>
    <m/>
    <n v="0"/>
    <n v="0"/>
    <x v="2"/>
    <s v=""/>
    <m/>
    <m/>
    <m/>
    <m/>
    <m/>
    <m/>
    <m/>
    <m/>
    <m/>
    <m/>
    <m/>
    <m/>
    <s v=""/>
    <m/>
    <n v="0"/>
    <m/>
    <n v="0"/>
    <n v="309907.97999999992"/>
    <s v=""/>
    <s v=""/>
    <s v=""/>
    <m/>
  </r>
  <r>
    <x v="1"/>
    <d v="2025-09-16T05:02:24"/>
    <s v="DS 5am"/>
    <m/>
    <m/>
    <m/>
    <m/>
    <x v="1"/>
    <m/>
    <m/>
    <n v="0"/>
    <m/>
    <m/>
    <n v="0"/>
    <m/>
    <m/>
    <n v="0"/>
    <m/>
    <m/>
    <n v="0"/>
    <n v="0"/>
    <x v="2"/>
    <s v=""/>
    <m/>
    <m/>
    <m/>
    <m/>
    <m/>
    <m/>
    <m/>
    <m/>
    <m/>
    <m/>
    <m/>
    <m/>
    <s v=""/>
    <m/>
    <n v="0"/>
    <m/>
    <n v="0"/>
    <n v="309907.97999999992"/>
    <s v=""/>
    <s v=""/>
    <s v=""/>
    <m/>
  </r>
  <r>
    <x v="1"/>
    <d v="2025-09-16T17:02:24"/>
    <s v="NS 5pm"/>
    <m/>
    <m/>
    <m/>
    <m/>
    <x v="1"/>
    <m/>
    <m/>
    <n v="0"/>
    <m/>
    <m/>
    <n v="0"/>
    <m/>
    <m/>
    <n v="0"/>
    <m/>
    <m/>
    <n v="0"/>
    <n v="0"/>
    <x v="2"/>
    <s v=""/>
    <m/>
    <m/>
    <m/>
    <m/>
    <m/>
    <m/>
    <m/>
    <m/>
    <m/>
    <m/>
    <m/>
    <m/>
    <s v=""/>
    <m/>
    <n v="0"/>
    <m/>
    <n v="0"/>
    <n v="309907.97999999992"/>
    <s v=""/>
    <s v=""/>
    <s v=""/>
    <m/>
  </r>
  <r>
    <x v="1"/>
    <d v="2025-09-17T05:02:24"/>
    <s v="DS 5am"/>
    <m/>
    <m/>
    <m/>
    <m/>
    <x v="1"/>
    <m/>
    <m/>
    <n v="0"/>
    <m/>
    <m/>
    <n v="0"/>
    <m/>
    <m/>
    <n v="0"/>
    <m/>
    <m/>
    <n v="0"/>
    <n v="0"/>
    <x v="2"/>
    <s v=""/>
    <m/>
    <m/>
    <m/>
    <m/>
    <m/>
    <m/>
    <m/>
    <m/>
    <m/>
    <m/>
    <m/>
    <m/>
    <s v=""/>
    <m/>
    <n v="0"/>
    <m/>
    <n v="0"/>
    <n v="309907.97999999992"/>
    <s v=""/>
    <s v=""/>
    <s v=""/>
    <m/>
  </r>
  <r>
    <x v="1"/>
    <d v="2025-09-17T17:02:24"/>
    <s v="NS 5pm"/>
    <m/>
    <m/>
    <m/>
    <m/>
    <x v="1"/>
    <m/>
    <m/>
    <n v="0"/>
    <m/>
    <m/>
    <n v="0"/>
    <m/>
    <m/>
    <n v="0"/>
    <m/>
    <m/>
    <n v="0"/>
    <n v="0"/>
    <x v="2"/>
    <s v=""/>
    <m/>
    <m/>
    <m/>
    <m/>
    <m/>
    <m/>
    <m/>
    <m/>
    <m/>
    <m/>
    <m/>
    <m/>
    <s v=""/>
    <m/>
    <n v="0"/>
    <m/>
    <n v="0"/>
    <n v="309907.97999999992"/>
    <s v=""/>
    <s v=""/>
    <s v=""/>
    <m/>
  </r>
  <r>
    <x v="1"/>
    <d v="2025-09-18T05:02:24"/>
    <s v="DS 5am"/>
    <m/>
    <m/>
    <m/>
    <m/>
    <x v="1"/>
    <m/>
    <m/>
    <n v="0"/>
    <m/>
    <m/>
    <n v="0"/>
    <m/>
    <m/>
    <n v="0"/>
    <m/>
    <m/>
    <n v="0"/>
    <n v="0"/>
    <x v="2"/>
    <s v=""/>
    <m/>
    <m/>
    <m/>
    <m/>
    <m/>
    <m/>
    <m/>
    <m/>
    <m/>
    <m/>
    <m/>
    <m/>
    <s v=""/>
    <m/>
    <n v="0"/>
    <m/>
    <n v="0"/>
    <n v="309907.97999999992"/>
    <s v=""/>
    <s v=""/>
    <s v=""/>
    <m/>
  </r>
  <r>
    <x v="1"/>
    <d v="2025-09-18T17:02:24"/>
    <s v="NS 5pm"/>
    <m/>
    <m/>
    <m/>
    <m/>
    <x v="1"/>
    <m/>
    <m/>
    <n v="0"/>
    <m/>
    <m/>
    <n v="0"/>
    <m/>
    <m/>
    <n v="0"/>
    <m/>
    <m/>
    <n v="0"/>
    <n v="0"/>
    <x v="2"/>
    <s v=""/>
    <m/>
    <m/>
    <m/>
    <m/>
    <m/>
    <m/>
    <m/>
    <m/>
    <m/>
    <m/>
    <m/>
    <m/>
    <s v=""/>
    <m/>
    <n v="0"/>
    <m/>
    <n v="0"/>
    <n v="309907.97999999992"/>
    <s v=""/>
    <s v=""/>
    <s v=""/>
    <m/>
  </r>
  <r>
    <x v="1"/>
    <d v="2025-09-19T05:02:24"/>
    <s v="DS 5am"/>
    <m/>
    <m/>
    <m/>
    <m/>
    <x v="1"/>
    <m/>
    <m/>
    <n v="0"/>
    <m/>
    <m/>
    <n v="0"/>
    <m/>
    <m/>
    <n v="0"/>
    <m/>
    <m/>
    <n v="0"/>
    <n v="0"/>
    <x v="2"/>
    <s v=""/>
    <m/>
    <m/>
    <m/>
    <m/>
    <m/>
    <m/>
    <m/>
    <m/>
    <m/>
    <m/>
    <m/>
    <m/>
    <s v=""/>
    <m/>
    <n v="0"/>
    <m/>
    <n v="0"/>
    <n v="309907.97999999992"/>
    <s v=""/>
    <s v=""/>
    <s v=""/>
    <m/>
  </r>
  <r>
    <x v="1"/>
    <d v="2025-09-19T17:02:24"/>
    <s v="NS 5pm"/>
    <m/>
    <m/>
    <m/>
    <m/>
    <x v="1"/>
    <m/>
    <m/>
    <n v="0"/>
    <m/>
    <m/>
    <n v="0"/>
    <m/>
    <m/>
    <n v="0"/>
    <m/>
    <m/>
    <n v="0"/>
    <n v="0"/>
    <x v="2"/>
    <s v=""/>
    <m/>
    <m/>
    <m/>
    <m/>
    <m/>
    <m/>
    <m/>
    <m/>
    <m/>
    <m/>
    <m/>
    <m/>
    <s v=""/>
    <m/>
    <n v="0"/>
    <m/>
    <n v="0"/>
    <n v="309907.97999999992"/>
    <s v=""/>
    <s v=""/>
    <s v=""/>
    <m/>
  </r>
  <r>
    <x v="1"/>
    <d v="2025-09-20T05:02:24"/>
    <s v="DS 5am"/>
    <m/>
    <m/>
    <m/>
    <m/>
    <x v="1"/>
    <m/>
    <m/>
    <n v="0"/>
    <m/>
    <m/>
    <n v="0"/>
    <m/>
    <m/>
    <n v="0"/>
    <m/>
    <m/>
    <n v="0"/>
    <n v="0"/>
    <x v="2"/>
    <s v=""/>
    <m/>
    <m/>
    <m/>
    <m/>
    <m/>
    <m/>
    <m/>
    <m/>
    <m/>
    <m/>
    <m/>
    <m/>
    <s v=""/>
    <m/>
    <n v="0"/>
    <m/>
    <n v="0"/>
    <n v="309907.97999999992"/>
    <s v=""/>
    <s v=""/>
    <s v=""/>
    <m/>
  </r>
  <r>
    <x v="1"/>
    <d v="2025-09-20T17:02:24"/>
    <s v="NS 5pm"/>
    <m/>
    <m/>
    <m/>
    <m/>
    <x v="1"/>
    <m/>
    <m/>
    <n v="0"/>
    <m/>
    <m/>
    <n v="0"/>
    <m/>
    <m/>
    <n v="0"/>
    <m/>
    <m/>
    <n v="0"/>
    <n v="0"/>
    <x v="2"/>
    <s v=""/>
    <m/>
    <m/>
    <m/>
    <m/>
    <m/>
    <m/>
    <m/>
    <m/>
    <m/>
    <m/>
    <m/>
    <m/>
    <s v=""/>
    <m/>
    <n v="0"/>
    <m/>
    <n v="0"/>
    <n v="309907.97999999992"/>
    <s v=""/>
    <s v=""/>
    <s v=""/>
    <m/>
  </r>
  <r>
    <x v="1"/>
    <d v="2025-09-21T05:02:24"/>
    <s v="DS 5am"/>
    <m/>
    <m/>
    <m/>
    <m/>
    <x v="1"/>
    <m/>
    <m/>
    <n v="0"/>
    <m/>
    <m/>
    <n v="0"/>
    <m/>
    <m/>
    <n v="0"/>
    <m/>
    <m/>
    <n v="0"/>
    <n v="0"/>
    <x v="2"/>
    <s v=""/>
    <m/>
    <m/>
    <m/>
    <m/>
    <m/>
    <m/>
    <m/>
    <m/>
    <m/>
    <m/>
    <m/>
    <m/>
    <s v=""/>
    <m/>
    <n v="0"/>
    <m/>
    <n v="0"/>
    <n v="309907.97999999992"/>
    <s v=""/>
    <s v=""/>
    <s v=""/>
    <m/>
  </r>
  <r>
    <x v="1"/>
    <d v="2025-09-21T17:02:24"/>
    <s v="NS 5pm"/>
    <m/>
    <m/>
    <m/>
    <m/>
    <x v="1"/>
    <m/>
    <m/>
    <n v="0"/>
    <m/>
    <m/>
    <n v="0"/>
    <m/>
    <m/>
    <n v="0"/>
    <m/>
    <m/>
    <n v="0"/>
    <n v="0"/>
    <x v="2"/>
    <s v=""/>
    <m/>
    <m/>
    <m/>
    <m/>
    <m/>
    <m/>
    <m/>
    <m/>
    <m/>
    <m/>
    <m/>
    <m/>
    <s v=""/>
    <m/>
    <n v="0"/>
    <m/>
    <n v="0"/>
    <n v="309907.97999999992"/>
    <s v=""/>
    <s v=""/>
    <s v=""/>
    <m/>
  </r>
  <r>
    <x v="1"/>
    <d v="2025-09-22T05:02:24"/>
    <s v="DS 5am"/>
    <m/>
    <m/>
    <m/>
    <m/>
    <x v="1"/>
    <m/>
    <m/>
    <n v="0"/>
    <m/>
    <m/>
    <n v="0"/>
    <m/>
    <m/>
    <n v="0"/>
    <m/>
    <m/>
    <n v="0"/>
    <n v="0"/>
    <x v="2"/>
    <s v=""/>
    <m/>
    <m/>
    <m/>
    <m/>
    <m/>
    <m/>
    <m/>
    <m/>
    <m/>
    <m/>
    <m/>
    <m/>
    <s v=""/>
    <m/>
    <n v="0"/>
    <m/>
    <n v="0"/>
    <n v="309907.97999999992"/>
    <s v=""/>
    <s v=""/>
    <s v=""/>
    <m/>
  </r>
  <r>
    <x v="1"/>
    <d v="2025-09-22T17:02:24"/>
    <s v="NS 5pm"/>
    <m/>
    <m/>
    <m/>
    <m/>
    <x v="1"/>
    <m/>
    <m/>
    <n v="0"/>
    <m/>
    <m/>
    <n v="0"/>
    <m/>
    <m/>
    <n v="0"/>
    <m/>
    <m/>
    <n v="0"/>
    <n v="0"/>
    <x v="2"/>
    <s v=""/>
    <m/>
    <m/>
    <m/>
    <m/>
    <m/>
    <m/>
    <m/>
    <m/>
    <m/>
    <m/>
    <m/>
    <m/>
    <s v=""/>
    <m/>
    <n v="0"/>
    <m/>
    <n v="0"/>
    <n v="309907.97999999992"/>
    <s v=""/>
    <s v=""/>
    <s v=""/>
    <m/>
  </r>
  <r>
    <x v="1"/>
    <d v="2025-09-23T05:02:24"/>
    <s v="DS 5am"/>
    <m/>
    <m/>
    <m/>
    <m/>
    <x v="1"/>
    <m/>
    <m/>
    <n v="0"/>
    <m/>
    <m/>
    <n v="0"/>
    <m/>
    <m/>
    <n v="0"/>
    <m/>
    <m/>
    <n v="0"/>
    <n v="0"/>
    <x v="2"/>
    <s v=""/>
    <m/>
    <m/>
    <m/>
    <m/>
    <m/>
    <m/>
    <m/>
    <m/>
    <m/>
    <m/>
    <m/>
    <m/>
    <s v=""/>
    <m/>
    <n v="0"/>
    <m/>
    <n v="0"/>
    <n v="309907.97999999992"/>
    <s v=""/>
    <s v=""/>
    <s v=""/>
    <m/>
  </r>
  <r>
    <x v="1"/>
    <d v="2025-09-23T17:02:24"/>
    <s v="NS 5pm"/>
    <m/>
    <m/>
    <m/>
    <m/>
    <x v="1"/>
    <m/>
    <m/>
    <n v="0"/>
    <m/>
    <m/>
    <n v="0"/>
    <m/>
    <m/>
    <n v="0"/>
    <m/>
    <m/>
    <n v="0"/>
    <n v="0"/>
    <x v="2"/>
    <s v=""/>
    <m/>
    <m/>
    <m/>
    <m/>
    <m/>
    <m/>
    <m/>
    <m/>
    <m/>
    <m/>
    <m/>
    <m/>
    <s v=""/>
    <m/>
    <n v="0"/>
    <m/>
    <n v="0"/>
    <n v="309907.97999999992"/>
    <s v=""/>
    <s v=""/>
    <s v=""/>
    <m/>
  </r>
  <r>
    <x v="1"/>
    <d v="2025-09-24T05:02:24"/>
    <s v="DS 5am"/>
    <m/>
    <m/>
    <m/>
    <m/>
    <x v="1"/>
    <m/>
    <m/>
    <n v="0"/>
    <m/>
    <m/>
    <n v="0"/>
    <m/>
    <m/>
    <n v="0"/>
    <m/>
    <m/>
    <n v="0"/>
    <n v="0"/>
    <x v="2"/>
    <s v=""/>
    <m/>
    <m/>
    <m/>
    <m/>
    <m/>
    <m/>
    <m/>
    <m/>
    <m/>
    <m/>
    <m/>
    <m/>
    <s v=""/>
    <m/>
    <n v="0"/>
    <m/>
    <n v="0"/>
    <n v="309907.97999999992"/>
    <s v=""/>
    <s v=""/>
    <s v=""/>
    <m/>
  </r>
  <r>
    <x v="1"/>
    <d v="2025-09-24T17:02:24"/>
    <s v="NS 5pm"/>
    <m/>
    <m/>
    <m/>
    <m/>
    <x v="1"/>
    <m/>
    <m/>
    <n v="0"/>
    <m/>
    <m/>
    <n v="0"/>
    <m/>
    <m/>
    <n v="0"/>
    <m/>
    <m/>
    <n v="0"/>
    <n v="0"/>
    <x v="2"/>
    <s v=""/>
    <m/>
    <m/>
    <m/>
    <m/>
    <m/>
    <m/>
    <m/>
    <m/>
    <m/>
    <m/>
    <m/>
    <m/>
    <s v=""/>
    <m/>
    <n v="0"/>
    <m/>
    <n v="0"/>
    <n v="309907.97999999992"/>
    <s v=""/>
    <s v=""/>
    <s v=""/>
    <m/>
  </r>
  <r>
    <x v="1"/>
    <d v="2025-09-25T05:02:24"/>
    <s v="DS 5am"/>
    <m/>
    <m/>
    <m/>
    <m/>
    <x v="1"/>
    <m/>
    <m/>
    <n v="0"/>
    <m/>
    <m/>
    <n v="0"/>
    <m/>
    <m/>
    <n v="0"/>
    <m/>
    <m/>
    <n v="0"/>
    <n v="0"/>
    <x v="2"/>
    <s v=""/>
    <m/>
    <m/>
    <m/>
    <m/>
    <m/>
    <m/>
    <m/>
    <m/>
    <m/>
    <m/>
    <m/>
    <m/>
    <s v=""/>
    <m/>
    <n v="0"/>
    <m/>
    <n v="0"/>
    <n v="309907.97999999992"/>
    <s v=""/>
    <s v=""/>
    <s v=""/>
    <m/>
  </r>
  <r>
    <x v="1"/>
    <d v="2025-09-25T17:02:24"/>
    <s v="NS 5pm"/>
    <m/>
    <m/>
    <m/>
    <m/>
    <x v="1"/>
    <m/>
    <m/>
    <n v="0"/>
    <m/>
    <m/>
    <n v="0"/>
    <m/>
    <m/>
    <n v="0"/>
    <m/>
    <m/>
    <n v="0"/>
    <n v="0"/>
    <x v="2"/>
    <s v=""/>
    <m/>
    <m/>
    <m/>
    <m/>
    <m/>
    <m/>
    <m/>
    <m/>
    <m/>
    <m/>
    <m/>
    <m/>
    <s v=""/>
    <m/>
    <n v="0"/>
    <m/>
    <n v="0"/>
    <n v="309907.97999999992"/>
    <s v=""/>
    <s v=""/>
    <s v=""/>
    <m/>
  </r>
  <r>
    <x v="1"/>
    <d v="2025-09-26T05:02:24"/>
    <s v="DS 5am"/>
    <m/>
    <m/>
    <m/>
    <m/>
    <x v="1"/>
    <m/>
    <m/>
    <n v="0"/>
    <m/>
    <m/>
    <n v="0"/>
    <m/>
    <m/>
    <n v="0"/>
    <m/>
    <m/>
    <n v="0"/>
    <n v="0"/>
    <x v="2"/>
    <s v=""/>
    <m/>
    <m/>
    <m/>
    <m/>
    <m/>
    <m/>
    <m/>
    <m/>
    <m/>
    <m/>
    <m/>
    <m/>
    <s v=""/>
    <m/>
    <n v="0"/>
    <m/>
    <n v="0"/>
    <n v="309907.97999999992"/>
    <s v=""/>
    <s v=""/>
    <s v=""/>
    <m/>
  </r>
  <r>
    <x v="1"/>
    <d v="2025-09-26T17:02:24"/>
    <s v="NS 5pm"/>
    <m/>
    <m/>
    <m/>
    <m/>
    <x v="1"/>
    <m/>
    <m/>
    <n v="0"/>
    <m/>
    <m/>
    <n v="0"/>
    <m/>
    <m/>
    <n v="0"/>
    <m/>
    <m/>
    <n v="0"/>
    <n v="0"/>
    <x v="2"/>
    <s v=""/>
    <m/>
    <m/>
    <m/>
    <m/>
    <m/>
    <m/>
    <m/>
    <m/>
    <m/>
    <m/>
    <m/>
    <m/>
    <s v=""/>
    <m/>
    <n v="0"/>
    <m/>
    <n v="0"/>
    <n v="309907.97999999992"/>
    <s v=""/>
    <s v=""/>
    <s v=""/>
    <m/>
  </r>
  <r>
    <x v="1"/>
    <d v="2025-09-27T05:02:24"/>
    <s v="DS 5am"/>
    <m/>
    <m/>
    <m/>
    <m/>
    <x v="1"/>
    <m/>
    <m/>
    <n v="0"/>
    <m/>
    <m/>
    <n v="0"/>
    <m/>
    <m/>
    <n v="0"/>
    <m/>
    <m/>
    <n v="0"/>
    <n v="0"/>
    <x v="2"/>
    <s v=""/>
    <m/>
    <m/>
    <m/>
    <m/>
    <m/>
    <m/>
    <m/>
    <m/>
    <m/>
    <m/>
    <m/>
    <m/>
    <s v=""/>
    <m/>
    <n v="0"/>
    <m/>
    <n v="0"/>
    <n v="309907.97999999992"/>
    <s v=""/>
    <s v=""/>
    <s v=""/>
    <m/>
  </r>
  <r>
    <x v="1"/>
    <d v="2025-09-27T17:02:24"/>
    <s v="NS 5pm"/>
    <m/>
    <m/>
    <m/>
    <m/>
    <x v="1"/>
    <m/>
    <m/>
    <n v="0"/>
    <m/>
    <m/>
    <n v="0"/>
    <m/>
    <m/>
    <n v="0"/>
    <m/>
    <m/>
    <n v="0"/>
    <n v="0"/>
    <x v="2"/>
    <s v=""/>
    <m/>
    <m/>
    <m/>
    <m/>
    <m/>
    <m/>
    <m/>
    <m/>
    <m/>
    <m/>
    <m/>
    <m/>
    <s v=""/>
    <m/>
    <n v="0"/>
    <m/>
    <n v="0"/>
    <n v="309907.97999999992"/>
    <s v=""/>
    <s v=""/>
    <s v=""/>
    <m/>
  </r>
  <r>
    <x v="1"/>
    <d v="2025-09-28T05:02:24"/>
    <s v="DS 5am"/>
    <m/>
    <m/>
    <m/>
    <m/>
    <x v="1"/>
    <m/>
    <m/>
    <n v="0"/>
    <m/>
    <m/>
    <n v="0"/>
    <m/>
    <m/>
    <n v="0"/>
    <m/>
    <m/>
    <n v="0"/>
    <n v="0"/>
    <x v="2"/>
    <s v=""/>
    <m/>
    <m/>
    <m/>
    <m/>
    <m/>
    <m/>
    <m/>
    <m/>
    <m/>
    <m/>
    <m/>
    <m/>
    <s v=""/>
    <m/>
    <n v="0"/>
    <m/>
    <n v="0"/>
    <n v="309907.97999999992"/>
    <s v=""/>
    <s v=""/>
    <s v=""/>
    <m/>
  </r>
  <r>
    <x v="1"/>
    <d v="2025-09-28T17:02:24"/>
    <s v="NS 5pm"/>
    <m/>
    <m/>
    <m/>
    <m/>
    <x v="1"/>
    <m/>
    <m/>
    <n v="0"/>
    <m/>
    <m/>
    <n v="0"/>
    <m/>
    <m/>
    <n v="0"/>
    <m/>
    <m/>
    <n v="0"/>
    <n v="0"/>
    <x v="2"/>
    <s v=""/>
    <m/>
    <m/>
    <m/>
    <m/>
    <m/>
    <m/>
    <m/>
    <m/>
    <m/>
    <m/>
    <m/>
    <m/>
    <s v=""/>
    <m/>
    <n v="0"/>
    <m/>
    <n v="0"/>
    <n v="309907.97999999992"/>
    <s v=""/>
    <s v=""/>
    <s v=""/>
    <m/>
  </r>
  <r>
    <x v="1"/>
    <d v="2025-09-29T05:02:24"/>
    <s v="DS 5am"/>
    <m/>
    <m/>
    <m/>
    <m/>
    <x v="1"/>
    <m/>
    <m/>
    <n v="0"/>
    <m/>
    <m/>
    <n v="0"/>
    <m/>
    <m/>
    <n v="0"/>
    <m/>
    <m/>
    <n v="0"/>
    <n v="0"/>
    <x v="2"/>
    <s v=""/>
    <m/>
    <m/>
    <m/>
    <m/>
    <m/>
    <m/>
    <m/>
    <m/>
    <m/>
    <m/>
    <m/>
    <m/>
    <s v=""/>
    <m/>
    <n v="0"/>
    <m/>
    <n v="0"/>
    <n v="309907.97999999992"/>
    <s v=""/>
    <s v=""/>
    <s v=""/>
    <m/>
  </r>
  <r>
    <x v="1"/>
    <d v="2025-09-29T17:02:24"/>
    <s v="NS 5pm"/>
    <m/>
    <m/>
    <m/>
    <m/>
    <x v="1"/>
    <m/>
    <m/>
    <n v="0"/>
    <m/>
    <m/>
    <n v="0"/>
    <m/>
    <m/>
    <n v="0"/>
    <m/>
    <m/>
    <n v="0"/>
    <n v="0"/>
    <x v="2"/>
    <s v=""/>
    <m/>
    <m/>
    <m/>
    <m/>
    <m/>
    <m/>
    <m/>
    <m/>
    <m/>
    <m/>
    <m/>
    <m/>
    <s v=""/>
    <m/>
    <n v="0"/>
    <m/>
    <n v="0"/>
    <n v="309907.97999999992"/>
    <s v=""/>
    <s v=""/>
    <s v=""/>
    <m/>
  </r>
  <r>
    <x v="1"/>
    <d v="2025-09-30T05:02:24"/>
    <s v="DS 5am"/>
    <m/>
    <m/>
    <m/>
    <m/>
    <x v="1"/>
    <m/>
    <m/>
    <n v="0"/>
    <m/>
    <m/>
    <n v="0"/>
    <m/>
    <m/>
    <n v="0"/>
    <m/>
    <m/>
    <n v="0"/>
    <n v="0"/>
    <x v="2"/>
    <s v=""/>
    <m/>
    <m/>
    <m/>
    <m/>
    <m/>
    <m/>
    <m/>
    <m/>
    <m/>
    <m/>
    <m/>
    <m/>
    <s v=""/>
    <m/>
    <n v="0"/>
    <m/>
    <n v="0"/>
    <n v="309907.97999999992"/>
    <s v=""/>
    <s v=""/>
    <s v=""/>
    <m/>
  </r>
  <r>
    <x v="1"/>
    <d v="2025-09-30T17:02:24"/>
    <s v="NS 5pm"/>
    <m/>
    <m/>
    <m/>
    <m/>
    <x v="1"/>
    <m/>
    <m/>
    <n v="0"/>
    <m/>
    <m/>
    <n v="0"/>
    <m/>
    <m/>
    <n v="0"/>
    <m/>
    <m/>
    <n v="0"/>
    <n v="0"/>
    <x v="2"/>
    <s v=""/>
    <m/>
    <m/>
    <m/>
    <m/>
    <m/>
    <m/>
    <m/>
    <m/>
    <m/>
    <m/>
    <m/>
    <m/>
    <s v=""/>
    <m/>
    <n v="0"/>
    <m/>
    <n v="0"/>
    <n v="309907.97999999992"/>
    <s v=""/>
    <s v=""/>
    <s v=""/>
    <m/>
  </r>
  <r>
    <x v="1"/>
    <d v="2025-10-01T05:02:24"/>
    <s v="DS 5am"/>
    <m/>
    <m/>
    <m/>
    <m/>
    <x v="1"/>
    <m/>
    <m/>
    <n v="0"/>
    <m/>
    <m/>
    <n v="0"/>
    <m/>
    <m/>
    <n v="0"/>
    <m/>
    <m/>
    <n v="0"/>
    <n v="0"/>
    <x v="2"/>
    <s v=""/>
    <m/>
    <m/>
    <m/>
    <m/>
    <m/>
    <m/>
    <m/>
    <m/>
    <m/>
    <m/>
    <m/>
    <m/>
    <s v=""/>
    <m/>
    <n v="0"/>
    <m/>
    <n v="0"/>
    <n v="309907.97999999992"/>
    <s v=""/>
    <s v=""/>
    <s v=""/>
    <m/>
  </r>
  <r>
    <x v="1"/>
    <d v="2025-10-01T17:02:24"/>
    <s v="NS 5pm"/>
    <m/>
    <m/>
    <m/>
    <m/>
    <x v="1"/>
    <m/>
    <m/>
    <n v="0"/>
    <m/>
    <m/>
    <n v="0"/>
    <m/>
    <m/>
    <n v="0"/>
    <m/>
    <m/>
    <n v="0"/>
    <n v="0"/>
    <x v="2"/>
    <s v=""/>
    <m/>
    <m/>
    <m/>
    <m/>
    <m/>
    <m/>
    <m/>
    <m/>
    <m/>
    <m/>
    <m/>
    <m/>
    <s v=""/>
    <m/>
    <n v="0"/>
    <m/>
    <n v="0"/>
    <n v="309907.97999999992"/>
    <s v=""/>
    <s v=""/>
    <s v=""/>
    <m/>
  </r>
  <r>
    <x v="1"/>
    <d v="2025-10-02T05:02:24"/>
    <s v="DS 5am"/>
    <m/>
    <m/>
    <m/>
    <m/>
    <x v="1"/>
    <m/>
    <m/>
    <n v="0"/>
    <m/>
    <m/>
    <n v="0"/>
    <m/>
    <m/>
    <n v="0"/>
    <m/>
    <m/>
    <n v="0"/>
    <n v="0"/>
    <x v="2"/>
    <s v=""/>
    <m/>
    <m/>
    <m/>
    <m/>
    <m/>
    <m/>
    <m/>
    <m/>
    <m/>
    <m/>
    <m/>
    <m/>
    <s v=""/>
    <m/>
    <n v="0"/>
    <m/>
    <n v="0"/>
    <n v="309907.97999999992"/>
    <s v=""/>
    <s v=""/>
    <s v=""/>
    <m/>
  </r>
  <r>
    <x v="1"/>
    <d v="2025-10-02T17:02:24"/>
    <s v="NS 5pm"/>
    <m/>
    <m/>
    <m/>
    <m/>
    <x v="1"/>
    <m/>
    <m/>
    <n v="0"/>
    <m/>
    <m/>
    <n v="0"/>
    <m/>
    <m/>
    <n v="0"/>
    <m/>
    <m/>
    <n v="0"/>
    <n v="0"/>
    <x v="2"/>
    <s v=""/>
    <m/>
    <m/>
    <m/>
    <m/>
    <m/>
    <m/>
    <m/>
    <m/>
    <m/>
    <m/>
    <m/>
    <m/>
    <s v=""/>
    <m/>
    <n v="0"/>
    <m/>
    <n v="0"/>
    <n v="309907.97999999992"/>
    <s v=""/>
    <s v=""/>
    <s v=""/>
    <m/>
  </r>
  <r>
    <x v="1"/>
    <d v="2025-10-03T05:02:24"/>
    <s v="DS 5am"/>
    <m/>
    <m/>
    <m/>
    <m/>
    <x v="1"/>
    <m/>
    <m/>
    <n v="0"/>
    <m/>
    <m/>
    <n v="0"/>
    <m/>
    <m/>
    <n v="0"/>
    <m/>
    <m/>
    <n v="0"/>
    <n v="0"/>
    <x v="2"/>
    <s v=""/>
    <m/>
    <m/>
    <m/>
    <m/>
    <m/>
    <m/>
    <m/>
    <m/>
    <m/>
    <m/>
    <m/>
    <m/>
    <s v=""/>
    <m/>
    <n v="0"/>
    <m/>
    <n v="0"/>
    <n v="309907.97999999992"/>
    <s v=""/>
    <s v=""/>
    <s v=""/>
    <m/>
  </r>
  <r>
    <x v="1"/>
    <d v="2025-10-03T17:02:24"/>
    <s v="NS 5pm"/>
    <m/>
    <m/>
    <m/>
    <m/>
    <x v="1"/>
    <m/>
    <m/>
    <n v="0"/>
    <m/>
    <m/>
    <n v="0"/>
    <m/>
    <m/>
    <n v="0"/>
    <m/>
    <m/>
    <n v="0"/>
    <n v="0"/>
    <x v="2"/>
    <s v=""/>
    <m/>
    <m/>
    <m/>
    <m/>
    <m/>
    <m/>
    <m/>
    <m/>
    <m/>
    <m/>
    <m/>
    <m/>
    <s v=""/>
    <m/>
    <n v="0"/>
    <m/>
    <n v="0"/>
    <n v="309907.97999999992"/>
    <s v=""/>
    <s v=""/>
    <s v=""/>
    <m/>
  </r>
  <r>
    <x v="1"/>
    <d v="2025-10-04T05:02:24"/>
    <s v="DS 5am"/>
    <m/>
    <m/>
    <m/>
    <m/>
    <x v="1"/>
    <m/>
    <m/>
    <n v="0"/>
    <m/>
    <m/>
    <n v="0"/>
    <m/>
    <m/>
    <n v="0"/>
    <m/>
    <m/>
    <n v="0"/>
    <n v="0"/>
    <x v="2"/>
    <s v=""/>
    <m/>
    <m/>
    <m/>
    <m/>
    <m/>
    <m/>
    <m/>
    <m/>
    <m/>
    <m/>
    <m/>
    <m/>
    <s v=""/>
    <m/>
    <n v="0"/>
    <m/>
    <n v="0"/>
    <n v="309907.97999999992"/>
    <s v=""/>
    <s v=""/>
    <s v=""/>
    <m/>
  </r>
  <r>
    <x v="1"/>
    <d v="2025-10-04T17:02:24"/>
    <s v="NS 5pm"/>
    <m/>
    <m/>
    <m/>
    <m/>
    <x v="1"/>
    <m/>
    <m/>
    <n v="0"/>
    <m/>
    <m/>
    <n v="0"/>
    <m/>
    <m/>
    <n v="0"/>
    <m/>
    <m/>
    <n v="0"/>
    <n v="0"/>
    <x v="2"/>
    <s v=""/>
    <m/>
    <m/>
    <m/>
    <m/>
    <m/>
    <m/>
    <m/>
    <m/>
    <m/>
    <m/>
    <m/>
    <m/>
    <s v=""/>
    <m/>
    <n v="0"/>
    <m/>
    <n v="0"/>
    <n v="309907.97999999992"/>
    <s v=""/>
    <s v=""/>
    <s v=""/>
    <m/>
  </r>
  <r>
    <x v="1"/>
    <d v="2025-10-05T05:02:24"/>
    <s v="DS 5am"/>
    <m/>
    <m/>
    <m/>
    <m/>
    <x v="1"/>
    <m/>
    <m/>
    <n v="0"/>
    <m/>
    <m/>
    <n v="0"/>
    <m/>
    <m/>
    <n v="0"/>
    <m/>
    <m/>
    <n v="0"/>
    <n v="0"/>
    <x v="2"/>
    <s v=""/>
    <m/>
    <m/>
    <m/>
    <m/>
    <m/>
    <m/>
    <m/>
    <m/>
    <m/>
    <m/>
    <m/>
    <m/>
    <s v=""/>
    <m/>
    <n v="0"/>
    <m/>
    <n v="0"/>
    <n v="309907.97999999992"/>
    <s v=""/>
    <s v=""/>
    <s v=""/>
    <m/>
  </r>
  <r>
    <x v="1"/>
    <d v="2025-10-05T17:02:24"/>
    <s v="NS 5pm"/>
    <m/>
    <m/>
    <m/>
    <m/>
    <x v="4"/>
    <m/>
    <m/>
    <m/>
    <m/>
    <m/>
    <m/>
    <m/>
    <m/>
    <m/>
    <m/>
    <m/>
    <m/>
    <n v="0"/>
    <x v="2"/>
    <s v=""/>
    <m/>
    <m/>
    <m/>
    <m/>
    <m/>
    <m/>
    <m/>
    <m/>
    <m/>
    <m/>
    <m/>
    <m/>
    <m/>
    <m/>
    <m/>
    <m/>
    <m/>
    <m/>
    <m/>
    <m/>
    <m/>
    <m/>
  </r>
  <r>
    <x v="1"/>
    <d v="2025-10-06T05:02:24"/>
    <s v="DS 5am"/>
    <m/>
    <m/>
    <m/>
    <m/>
    <x v="4"/>
    <m/>
    <m/>
    <m/>
    <m/>
    <m/>
    <m/>
    <m/>
    <m/>
    <m/>
    <m/>
    <m/>
    <m/>
    <n v="0"/>
    <x v="2"/>
    <s v=""/>
    <m/>
    <m/>
    <m/>
    <m/>
    <m/>
    <m/>
    <m/>
    <m/>
    <m/>
    <m/>
    <m/>
    <m/>
    <m/>
    <m/>
    <m/>
    <m/>
    <m/>
    <m/>
    <m/>
    <m/>
    <m/>
    <m/>
  </r>
  <r>
    <x v="1"/>
    <d v="2025-10-06T17:02:24"/>
    <s v="NS 5pm"/>
    <m/>
    <m/>
    <m/>
    <m/>
    <x v="4"/>
    <m/>
    <m/>
    <m/>
    <m/>
    <m/>
    <m/>
    <m/>
    <m/>
    <m/>
    <m/>
    <m/>
    <m/>
    <n v="0"/>
    <x v="2"/>
    <s v=""/>
    <m/>
    <m/>
    <m/>
    <m/>
    <m/>
    <m/>
    <m/>
    <m/>
    <m/>
    <m/>
    <m/>
    <m/>
    <m/>
    <m/>
    <m/>
    <m/>
    <m/>
    <m/>
    <m/>
    <m/>
    <m/>
    <m/>
  </r>
  <r>
    <x v="1"/>
    <d v="2025-10-07T05:02:24"/>
    <s v="DS 5am"/>
    <m/>
    <m/>
    <m/>
    <m/>
    <x v="4"/>
    <m/>
    <m/>
    <m/>
    <m/>
    <m/>
    <m/>
    <m/>
    <m/>
    <m/>
    <m/>
    <m/>
    <m/>
    <n v="0"/>
    <x v="2"/>
    <s v=""/>
    <m/>
    <m/>
    <m/>
    <m/>
    <m/>
    <m/>
    <m/>
    <m/>
    <m/>
    <m/>
    <m/>
    <m/>
    <m/>
    <m/>
    <m/>
    <m/>
    <m/>
    <m/>
    <m/>
    <m/>
    <m/>
    <m/>
  </r>
  <r>
    <x v="1"/>
    <d v="2025-10-07T17:02:24"/>
    <s v="NS 5pm"/>
    <m/>
    <m/>
    <m/>
    <m/>
    <x v="4"/>
    <m/>
    <m/>
    <m/>
    <m/>
    <m/>
    <m/>
    <m/>
    <m/>
    <m/>
    <m/>
    <m/>
    <m/>
    <n v="0"/>
    <x v="2"/>
    <s v=""/>
    <m/>
    <m/>
    <m/>
    <m/>
    <m/>
    <m/>
    <m/>
    <m/>
    <m/>
    <m/>
    <m/>
    <m/>
    <m/>
    <m/>
    <m/>
    <m/>
    <m/>
    <m/>
    <m/>
    <m/>
    <m/>
    <m/>
  </r>
  <r>
    <x v="1"/>
    <d v="2025-10-08T05:02:24"/>
    <s v="DS 5am"/>
    <m/>
    <m/>
    <m/>
    <m/>
    <x v="4"/>
    <m/>
    <m/>
    <m/>
    <m/>
    <m/>
    <m/>
    <m/>
    <m/>
    <m/>
    <m/>
    <m/>
    <m/>
    <n v="0"/>
    <x v="2"/>
    <s v=""/>
    <m/>
    <m/>
    <m/>
    <m/>
    <m/>
    <m/>
    <m/>
    <m/>
    <m/>
    <m/>
    <m/>
    <m/>
    <m/>
    <m/>
    <m/>
    <m/>
    <m/>
    <m/>
    <m/>
    <m/>
    <m/>
    <m/>
  </r>
  <r>
    <x v="1"/>
    <d v="2025-10-08T17:02:24"/>
    <s v="NS 5pm"/>
    <m/>
    <m/>
    <m/>
    <m/>
    <x v="4"/>
    <m/>
    <m/>
    <m/>
    <m/>
    <m/>
    <m/>
    <m/>
    <m/>
    <m/>
    <m/>
    <m/>
    <m/>
    <n v="0"/>
    <x v="2"/>
    <s v=""/>
    <m/>
    <m/>
    <m/>
    <m/>
    <m/>
    <m/>
    <m/>
    <m/>
    <m/>
    <m/>
    <m/>
    <m/>
    <m/>
    <m/>
    <m/>
    <m/>
    <m/>
    <m/>
    <m/>
    <m/>
    <m/>
    <m/>
  </r>
  <r>
    <x v="1"/>
    <d v="2025-10-09T05:02:24"/>
    <s v="DS 5am"/>
    <m/>
    <m/>
    <m/>
    <m/>
    <x v="4"/>
    <m/>
    <m/>
    <m/>
    <m/>
    <m/>
    <m/>
    <m/>
    <m/>
    <m/>
    <m/>
    <m/>
    <m/>
    <n v="0"/>
    <x v="2"/>
    <s v=""/>
    <m/>
    <m/>
    <m/>
    <m/>
    <m/>
    <m/>
    <m/>
    <m/>
    <m/>
    <m/>
    <m/>
    <m/>
    <m/>
    <m/>
    <m/>
    <m/>
    <m/>
    <m/>
    <m/>
    <m/>
    <m/>
    <m/>
  </r>
  <r>
    <x v="1"/>
    <d v="2025-10-09T17:02:24"/>
    <s v="NS 5pm"/>
    <m/>
    <m/>
    <m/>
    <m/>
    <x v="4"/>
    <m/>
    <m/>
    <m/>
    <m/>
    <m/>
    <m/>
    <m/>
    <m/>
    <m/>
    <m/>
    <m/>
    <m/>
    <n v="0"/>
    <x v="2"/>
    <s v=""/>
    <m/>
    <m/>
    <m/>
    <m/>
    <m/>
    <m/>
    <m/>
    <m/>
    <m/>
    <m/>
    <m/>
    <m/>
    <m/>
    <m/>
    <m/>
    <m/>
    <m/>
    <m/>
    <m/>
    <m/>
    <m/>
    <m/>
  </r>
  <r>
    <x v="1"/>
    <d v="2025-10-10T05:02:24"/>
    <s v="DS 5am"/>
    <m/>
    <m/>
    <m/>
    <m/>
    <x v="4"/>
    <m/>
    <m/>
    <m/>
    <m/>
    <m/>
    <m/>
    <m/>
    <m/>
    <m/>
    <m/>
    <m/>
    <m/>
    <n v="0"/>
    <x v="2"/>
    <s v=""/>
    <m/>
    <m/>
    <m/>
    <m/>
    <m/>
    <m/>
    <m/>
    <m/>
    <m/>
    <m/>
    <m/>
    <m/>
    <m/>
    <m/>
    <m/>
    <m/>
    <m/>
    <m/>
    <m/>
    <m/>
    <m/>
    <m/>
  </r>
  <r>
    <x v="1"/>
    <d v="2025-10-10T17:02:24"/>
    <s v="NS 5pm"/>
    <m/>
    <m/>
    <m/>
    <m/>
    <x v="4"/>
    <m/>
    <m/>
    <m/>
    <m/>
    <m/>
    <m/>
    <m/>
    <m/>
    <m/>
    <m/>
    <m/>
    <m/>
    <n v="0"/>
    <x v="2"/>
    <s v=""/>
    <m/>
    <m/>
    <m/>
    <m/>
    <m/>
    <m/>
    <m/>
    <m/>
    <m/>
    <m/>
    <m/>
    <m/>
    <m/>
    <m/>
    <m/>
    <m/>
    <m/>
    <m/>
    <m/>
    <m/>
    <m/>
    <m/>
  </r>
  <r>
    <x v="1"/>
    <d v="2025-10-11T05:02:24"/>
    <s v="DS 5am"/>
    <m/>
    <m/>
    <m/>
    <m/>
    <x v="4"/>
    <m/>
    <m/>
    <m/>
    <m/>
    <m/>
    <m/>
    <m/>
    <m/>
    <m/>
    <m/>
    <m/>
    <m/>
    <n v="0"/>
    <x v="2"/>
    <s v=""/>
    <m/>
    <m/>
    <m/>
    <m/>
    <m/>
    <m/>
    <m/>
    <m/>
    <m/>
    <m/>
    <m/>
    <m/>
    <m/>
    <m/>
    <m/>
    <m/>
    <m/>
    <m/>
    <m/>
    <m/>
    <m/>
    <m/>
  </r>
  <r>
    <x v="1"/>
    <d v="2025-10-11T17:02:24"/>
    <s v="NS 5pm"/>
    <m/>
    <m/>
    <m/>
    <m/>
    <x v="4"/>
    <m/>
    <m/>
    <m/>
    <m/>
    <m/>
    <m/>
    <m/>
    <m/>
    <m/>
    <m/>
    <m/>
    <m/>
    <n v="0"/>
    <x v="2"/>
    <s v=""/>
    <m/>
    <m/>
    <m/>
    <m/>
    <m/>
    <m/>
    <m/>
    <m/>
    <m/>
    <m/>
    <m/>
    <m/>
    <m/>
    <m/>
    <m/>
    <m/>
    <m/>
    <m/>
    <m/>
    <m/>
    <m/>
    <m/>
  </r>
  <r>
    <x v="1"/>
    <d v="2025-10-12T05:02:24"/>
    <s v="DS 5am"/>
    <m/>
    <m/>
    <m/>
    <m/>
    <x v="4"/>
    <m/>
    <m/>
    <m/>
    <m/>
    <m/>
    <m/>
    <m/>
    <m/>
    <m/>
    <m/>
    <m/>
    <m/>
    <n v="0"/>
    <x v="2"/>
    <s v=""/>
    <m/>
    <m/>
    <m/>
    <m/>
    <m/>
    <m/>
    <m/>
    <m/>
    <m/>
    <m/>
    <m/>
    <m/>
    <m/>
    <m/>
    <m/>
    <m/>
    <m/>
    <m/>
    <m/>
    <m/>
    <m/>
    <m/>
  </r>
  <r>
    <x v="1"/>
    <d v="2025-10-12T17:02:24"/>
    <s v="NS 5pm"/>
    <m/>
    <m/>
    <m/>
    <m/>
    <x v="4"/>
    <m/>
    <m/>
    <m/>
    <m/>
    <m/>
    <m/>
    <m/>
    <m/>
    <m/>
    <m/>
    <m/>
    <m/>
    <n v="0"/>
    <x v="2"/>
    <s v=""/>
    <m/>
    <m/>
    <m/>
    <m/>
    <m/>
    <m/>
    <m/>
    <m/>
    <m/>
    <m/>
    <m/>
    <m/>
    <m/>
    <m/>
    <m/>
    <m/>
    <m/>
    <m/>
    <m/>
    <m/>
    <m/>
    <m/>
  </r>
  <r>
    <x v="1"/>
    <d v="2025-10-13T05:02:24"/>
    <s v="DS 5am"/>
    <m/>
    <m/>
    <m/>
    <m/>
    <x v="4"/>
    <m/>
    <m/>
    <m/>
    <m/>
    <m/>
    <m/>
    <m/>
    <m/>
    <m/>
    <m/>
    <m/>
    <m/>
    <n v="0"/>
    <x v="2"/>
    <s v=""/>
    <m/>
    <m/>
    <m/>
    <m/>
    <m/>
    <m/>
    <m/>
    <m/>
    <m/>
    <m/>
    <m/>
    <m/>
    <m/>
    <m/>
    <m/>
    <m/>
    <m/>
    <m/>
    <m/>
    <m/>
    <m/>
    <m/>
  </r>
  <r>
    <x v="1"/>
    <d v="2025-10-13T17:02:24"/>
    <s v="NS 5pm"/>
    <m/>
    <m/>
    <m/>
    <m/>
    <x v="4"/>
    <m/>
    <m/>
    <m/>
    <m/>
    <m/>
    <m/>
    <m/>
    <m/>
    <m/>
    <m/>
    <m/>
    <m/>
    <n v="0"/>
    <x v="2"/>
    <s v=""/>
    <m/>
    <m/>
    <m/>
    <m/>
    <m/>
    <m/>
    <m/>
    <m/>
    <m/>
    <m/>
    <m/>
    <m/>
    <m/>
    <m/>
    <m/>
    <m/>
    <m/>
    <m/>
    <m/>
    <m/>
    <m/>
    <m/>
  </r>
  <r>
    <x v="1"/>
    <d v="2025-10-14T05:02:24"/>
    <s v="DS 5am"/>
    <m/>
    <m/>
    <m/>
    <m/>
    <x v="4"/>
    <m/>
    <m/>
    <m/>
    <m/>
    <m/>
    <m/>
    <m/>
    <m/>
    <m/>
    <m/>
    <m/>
    <m/>
    <n v="0"/>
    <x v="2"/>
    <s v=""/>
    <m/>
    <m/>
    <m/>
    <m/>
    <m/>
    <m/>
    <m/>
    <m/>
    <m/>
    <m/>
    <m/>
    <m/>
    <m/>
    <m/>
    <m/>
    <m/>
    <m/>
    <m/>
    <m/>
    <m/>
    <m/>
    <m/>
  </r>
  <r>
    <x v="1"/>
    <d v="2025-10-14T17:02:24"/>
    <s v="NS 5pm"/>
    <m/>
    <m/>
    <m/>
    <m/>
    <x v="4"/>
    <m/>
    <m/>
    <m/>
    <m/>
    <m/>
    <m/>
    <m/>
    <m/>
    <m/>
    <m/>
    <m/>
    <m/>
    <n v="0"/>
    <x v="2"/>
    <s v=""/>
    <m/>
    <m/>
    <m/>
    <m/>
    <m/>
    <m/>
    <m/>
    <m/>
    <m/>
    <m/>
    <m/>
    <m/>
    <m/>
    <m/>
    <m/>
    <m/>
    <m/>
    <m/>
    <m/>
    <m/>
    <m/>
    <m/>
  </r>
  <r>
    <x v="1"/>
    <d v="2025-10-15T05:02:24"/>
    <s v="DS 5am"/>
    <m/>
    <m/>
    <m/>
    <m/>
    <x v="4"/>
    <m/>
    <m/>
    <m/>
    <m/>
    <m/>
    <m/>
    <m/>
    <m/>
    <m/>
    <m/>
    <m/>
    <m/>
    <n v="0"/>
    <x v="2"/>
    <s v=""/>
    <m/>
    <m/>
    <m/>
    <m/>
    <m/>
    <m/>
    <m/>
    <m/>
    <m/>
    <m/>
    <m/>
    <m/>
    <m/>
    <m/>
    <m/>
    <m/>
    <m/>
    <m/>
    <m/>
    <m/>
    <m/>
    <m/>
  </r>
  <r>
    <x v="1"/>
    <d v="2025-10-15T17:02:24"/>
    <s v="NS 5pm"/>
    <m/>
    <m/>
    <m/>
    <m/>
    <x v="4"/>
    <m/>
    <m/>
    <m/>
    <m/>
    <m/>
    <m/>
    <m/>
    <m/>
    <m/>
    <m/>
    <m/>
    <m/>
    <n v="0"/>
    <x v="2"/>
    <s v=""/>
    <m/>
    <m/>
    <m/>
    <m/>
    <m/>
    <m/>
    <m/>
    <m/>
    <m/>
    <m/>
    <m/>
    <m/>
    <m/>
    <m/>
    <m/>
    <m/>
    <m/>
    <m/>
    <m/>
    <m/>
    <m/>
    <m/>
  </r>
  <r>
    <x v="1"/>
    <d v="2025-10-16T05:02:24"/>
    <s v="DS 5am"/>
    <m/>
    <m/>
    <m/>
    <m/>
    <x v="4"/>
    <m/>
    <m/>
    <m/>
    <m/>
    <m/>
    <m/>
    <m/>
    <m/>
    <m/>
    <m/>
    <m/>
    <m/>
    <n v="0"/>
    <x v="2"/>
    <s v=""/>
    <m/>
    <m/>
    <m/>
    <m/>
    <m/>
    <m/>
    <m/>
    <m/>
    <m/>
    <m/>
    <m/>
    <m/>
    <m/>
    <m/>
    <m/>
    <m/>
    <m/>
    <m/>
    <m/>
    <m/>
    <m/>
    <m/>
  </r>
  <r>
    <x v="1"/>
    <d v="2025-10-16T17:02:24"/>
    <s v="NS 5pm"/>
    <m/>
    <m/>
    <m/>
    <m/>
    <x v="4"/>
    <m/>
    <m/>
    <m/>
    <m/>
    <m/>
    <m/>
    <m/>
    <m/>
    <m/>
    <m/>
    <m/>
    <m/>
    <n v="0"/>
    <x v="2"/>
    <s v=""/>
    <m/>
    <m/>
    <m/>
    <m/>
    <m/>
    <m/>
    <m/>
    <m/>
    <m/>
    <m/>
    <m/>
    <m/>
    <m/>
    <m/>
    <m/>
    <m/>
    <m/>
    <m/>
    <m/>
    <m/>
    <m/>
    <m/>
  </r>
  <r>
    <x v="1"/>
    <d v="2025-10-17T05:02:24"/>
    <s v="DS 5am"/>
    <m/>
    <m/>
    <m/>
    <m/>
    <x v="4"/>
    <m/>
    <m/>
    <m/>
    <m/>
    <m/>
    <m/>
    <m/>
    <m/>
    <m/>
    <m/>
    <m/>
    <m/>
    <n v="0"/>
    <x v="2"/>
    <s v=""/>
    <m/>
    <m/>
    <m/>
    <m/>
    <m/>
    <m/>
    <m/>
    <m/>
    <m/>
    <m/>
    <m/>
    <m/>
    <m/>
    <m/>
    <m/>
    <m/>
    <m/>
    <m/>
    <m/>
    <m/>
    <m/>
    <m/>
  </r>
  <r>
    <x v="1"/>
    <d v="2025-10-17T17:02:24"/>
    <s v="NS 5pm"/>
    <m/>
    <m/>
    <m/>
    <m/>
    <x v="4"/>
    <m/>
    <m/>
    <m/>
    <m/>
    <m/>
    <m/>
    <m/>
    <m/>
    <m/>
    <m/>
    <m/>
    <m/>
    <n v="0"/>
    <x v="2"/>
    <s v=""/>
    <m/>
    <m/>
    <m/>
    <m/>
    <m/>
    <m/>
    <m/>
    <m/>
    <m/>
    <m/>
    <m/>
    <m/>
    <m/>
    <m/>
    <m/>
    <m/>
    <m/>
    <m/>
    <m/>
    <m/>
    <m/>
    <m/>
  </r>
  <r>
    <x v="1"/>
    <d v="2025-10-18T05:02:24"/>
    <s v="DS 5am"/>
    <m/>
    <m/>
    <m/>
    <m/>
    <x v="4"/>
    <m/>
    <m/>
    <m/>
    <m/>
    <m/>
    <m/>
    <m/>
    <m/>
    <m/>
    <m/>
    <m/>
    <m/>
    <n v="0"/>
    <x v="2"/>
    <s v=""/>
    <m/>
    <m/>
    <m/>
    <m/>
    <m/>
    <m/>
    <m/>
    <m/>
    <m/>
    <m/>
    <m/>
    <m/>
    <m/>
    <m/>
    <m/>
    <m/>
    <m/>
    <m/>
    <m/>
    <m/>
    <m/>
    <m/>
  </r>
  <r>
    <x v="1"/>
    <d v="2025-10-18T17:02:24"/>
    <s v="NS 5pm"/>
    <m/>
    <m/>
    <m/>
    <m/>
    <x v="4"/>
    <m/>
    <m/>
    <m/>
    <m/>
    <m/>
    <m/>
    <m/>
    <m/>
    <m/>
    <m/>
    <m/>
    <m/>
    <n v="0"/>
    <x v="2"/>
    <s v=""/>
    <m/>
    <m/>
    <m/>
    <m/>
    <m/>
    <m/>
    <m/>
    <m/>
    <m/>
    <m/>
    <m/>
    <m/>
    <m/>
    <m/>
    <m/>
    <m/>
    <m/>
    <m/>
    <m/>
    <m/>
    <m/>
    <m/>
  </r>
  <r>
    <x v="1"/>
    <d v="2025-10-19T05:02:24"/>
    <s v="DS 5am"/>
    <m/>
    <m/>
    <m/>
    <m/>
    <x v="4"/>
    <m/>
    <m/>
    <m/>
    <m/>
    <m/>
    <m/>
    <m/>
    <m/>
    <m/>
    <m/>
    <m/>
    <m/>
    <n v="0"/>
    <x v="2"/>
    <s v=""/>
    <m/>
    <m/>
    <m/>
    <m/>
    <m/>
    <m/>
    <m/>
    <m/>
    <m/>
    <m/>
    <m/>
    <m/>
    <m/>
    <m/>
    <m/>
    <m/>
    <m/>
    <m/>
    <m/>
    <m/>
    <m/>
    <m/>
  </r>
  <r>
    <x v="1"/>
    <d v="2025-10-19T17:02:24"/>
    <s v="NS 5pm"/>
    <m/>
    <m/>
    <m/>
    <m/>
    <x v="4"/>
    <m/>
    <m/>
    <m/>
    <m/>
    <m/>
    <m/>
    <m/>
    <m/>
    <m/>
    <m/>
    <m/>
    <m/>
    <n v="0"/>
    <x v="2"/>
    <s v=""/>
    <m/>
    <m/>
    <m/>
    <m/>
    <m/>
    <m/>
    <m/>
    <m/>
    <m/>
    <m/>
    <m/>
    <m/>
    <m/>
    <m/>
    <m/>
    <m/>
    <m/>
    <m/>
    <m/>
    <m/>
    <m/>
    <m/>
  </r>
  <r>
    <x v="1"/>
    <d v="2025-10-20T05:02:24"/>
    <s v="DS 5am"/>
    <m/>
    <m/>
    <m/>
    <m/>
    <x v="4"/>
    <m/>
    <m/>
    <m/>
    <m/>
    <m/>
    <m/>
    <m/>
    <m/>
    <m/>
    <m/>
    <m/>
    <m/>
    <n v="0"/>
    <x v="2"/>
    <s v=""/>
    <m/>
    <m/>
    <m/>
    <m/>
    <m/>
    <m/>
    <m/>
    <m/>
    <m/>
    <m/>
    <m/>
    <m/>
    <m/>
    <m/>
    <m/>
    <m/>
    <m/>
    <m/>
    <m/>
    <m/>
    <m/>
    <m/>
  </r>
  <r>
    <x v="1"/>
    <d v="2025-10-20T17:02:24"/>
    <s v="NS 5pm"/>
    <m/>
    <m/>
    <m/>
    <m/>
    <x v="4"/>
    <m/>
    <m/>
    <m/>
    <m/>
    <m/>
    <m/>
    <m/>
    <m/>
    <m/>
    <m/>
    <m/>
    <m/>
    <n v="0"/>
    <x v="2"/>
    <s v=""/>
    <m/>
    <m/>
    <m/>
    <m/>
    <m/>
    <m/>
    <m/>
    <m/>
    <m/>
    <m/>
    <m/>
    <m/>
    <m/>
    <m/>
    <m/>
    <m/>
    <m/>
    <m/>
    <m/>
    <m/>
    <m/>
    <m/>
  </r>
  <r>
    <x v="1"/>
    <d v="2025-10-21T05:02:24"/>
    <s v="DS 5am"/>
    <m/>
    <m/>
    <m/>
    <m/>
    <x v="4"/>
    <m/>
    <m/>
    <m/>
    <m/>
    <m/>
    <m/>
    <m/>
    <m/>
    <m/>
    <m/>
    <m/>
    <m/>
    <n v="0"/>
    <x v="2"/>
    <s v=""/>
    <m/>
    <m/>
    <m/>
    <m/>
    <m/>
    <m/>
    <m/>
    <m/>
    <m/>
    <m/>
    <m/>
    <m/>
    <m/>
    <m/>
    <m/>
    <m/>
    <m/>
    <m/>
    <m/>
    <m/>
    <m/>
    <m/>
  </r>
  <r>
    <x v="1"/>
    <d v="2025-10-21T17:02:24"/>
    <s v="NS 5pm"/>
    <m/>
    <m/>
    <m/>
    <m/>
    <x v="4"/>
    <m/>
    <m/>
    <m/>
    <m/>
    <m/>
    <m/>
    <m/>
    <m/>
    <m/>
    <m/>
    <m/>
    <m/>
    <n v="0"/>
    <x v="2"/>
    <s v=""/>
    <m/>
    <m/>
    <m/>
    <m/>
    <m/>
    <m/>
    <m/>
    <m/>
    <m/>
    <m/>
    <m/>
    <m/>
    <m/>
    <m/>
    <m/>
    <m/>
    <m/>
    <m/>
    <m/>
    <m/>
    <m/>
    <m/>
  </r>
  <r>
    <x v="1"/>
    <d v="2025-10-22T05:02:24"/>
    <s v="DS 5am"/>
    <m/>
    <m/>
    <m/>
    <m/>
    <x v="4"/>
    <m/>
    <m/>
    <m/>
    <m/>
    <m/>
    <m/>
    <m/>
    <m/>
    <m/>
    <m/>
    <m/>
    <m/>
    <n v="0"/>
    <x v="2"/>
    <s v=""/>
    <m/>
    <m/>
    <m/>
    <m/>
    <m/>
    <m/>
    <m/>
    <m/>
    <m/>
    <m/>
    <m/>
    <m/>
    <m/>
    <m/>
    <m/>
    <m/>
    <m/>
    <m/>
    <m/>
    <m/>
    <m/>
    <m/>
  </r>
  <r>
    <x v="1"/>
    <d v="2025-10-22T17:02:24"/>
    <s v="NS 5pm"/>
    <m/>
    <m/>
    <m/>
    <m/>
    <x v="4"/>
    <m/>
    <m/>
    <m/>
    <m/>
    <m/>
    <m/>
    <m/>
    <m/>
    <m/>
    <m/>
    <m/>
    <m/>
    <n v="0"/>
    <x v="2"/>
    <s v=""/>
    <m/>
    <m/>
    <m/>
    <m/>
    <m/>
    <m/>
    <m/>
    <m/>
    <m/>
    <m/>
    <m/>
    <m/>
    <m/>
    <m/>
    <m/>
    <m/>
    <m/>
    <m/>
    <m/>
    <m/>
    <m/>
    <m/>
  </r>
  <r>
    <x v="1"/>
    <d v="2025-10-23T05:02:24"/>
    <s v="DS 5am"/>
    <m/>
    <m/>
    <m/>
    <m/>
    <x v="4"/>
    <m/>
    <m/>
    <m/>
    <m/>
    <m/>
    <m/>
    <m/>
    <m/>
    <m/>
    <m/>
    <m/>
    <m/>
    <n v="0"/>
    <x v="2"/>
    <s v=""/>
    <m/>
    <m/>
    <m/>
    <m/>
    <m/>
    <m/>
    <m/>
    <m/>
    <m/>
    <m/>
    <m/>
    <m/>
    <m/>
    <m/>
    <m/>
    <m/>
    <m/>
    <m/>
    <m/>
    <m/>
    <m/>
    <m/>
  </r>
  <r>
    <x v="1"/>
    <d v="2025-10-23T17:02:24"/>
    <s v="NS 5pm"/>
    <m/>
    <m/>
    <m/>
    <m/>
    <x v="4"/>
    <m/>
    <m/>
    <m/>
    <m/>
    <m/>
    <m/>
    <m/>
    <m/>
    <m/>
    <m/>
    <m/>
    <m/>
    <n v="0"/>
    <x v="2"/>
    <s v=""/>
    <m/>
    <m/>
    <m/>
    <m/>
    <m/>
    <m/>
    <m/>
    <m/>
    <m/>
    <m/>
    <m/>
    <m/>
    <m/>
    <m/>
    <m/>
    <m/>
    <m/>
    <m/>
    <m/>
    <m/>
    <m/>
    <m/>
  </r>
  <r>
    <x v="1"/>
    <d v="2025-10-24T05:02:24"/>
    <s v="DS 5am"/>
    <m/>
    <m/>
    <m/>
    <m/>
    <x v="4"/>
    <m/>
    <m/>
    <m/>
    <m/>
    <m/>
    <m/>
    <m/>
    <m/>
    <m/>
    <m/>
    <m/>
    <m/>
    <n v="0"/>
    <x v="2"/>
    <s v=""/>
    <m/>
    <m/>
    <m/>
    <m/>
    <m/>
    <m/>
    <m/>
    <m/>
    <m/>
    <m/>
    <m/>
    <m/>
    <m/>
    <m/>
    <m/>
    <m/>
    <m/>
    <m/>
    <m/>
    <m/>
    <m/>
    <m/>
  </r>
  <r>
    <x v="1"/>
    <d v="2025-10-24T17:02:24"/>
    <s v="NS 5pm"/>
    <m/>
    <m/>
    <m/>
    <m/>
    <x v="4"/>
    <m/>
    <m/>
    <m/>
    <m/>
    <m/>
    <m/>
    <m/>
    <m/>
    <m/>
    <m/>
    <m/>
    <m/>
    <n v="0"/>
    <x v="2"/>
    <s v=""/>
    <m/>
    <m/>
    <m/>
    <m/>
    <m/>
    <m/>
    <m/>
    <m/>
    <m/>
    <m/>
    <m/>
    <m/>
    <m/>
    <m/>
    <m/>
    <m/>
    <m/>
    <m/>
    <m/>
    <m/>
    <m/>
    <m/>
  </r>
  <r>
    <x v="1"/>
    <d v="2025-10-25T05:02:24"/>
    <s v="DS 5am"/>
    <m/>
    <m/>
    <m/>
    <m/>
    <x v="4"/>
    <m/>
    <m/>
    <m/>
    <m/>
    <m/>
    <m/>
    <m/>
    <m/>
    <m/>
    <m/>
    <m/>
    <m/>
    <n v="0"/>
    <x v="2"/>
    <s v=""/>
    <m/>
    <m/>
    <m/>
    <m/>
    <m/>
    <m/>
    <m/>
    <m/>
    <m/>
    <m/>
    <m/>
    <m/>
    <m/>
    <m/>
    <m/>
    <m/>
    <m/>
    <m/>
    <m/>
    <m/>
    <m/>
    <m/>
  </r>
  <r>
    <x v="1"/>
    <d v="2025-10-25T17:02:24"/>
    <s v="NS 5pm"/>
    <m/>
    <m/>
    <m/>
    <m/>
    <x v="4"/>
    <m/>
    <m/>
    <m/>
    <m/>
    <m/>
    <m/>
    <m/>
    <m/>
    <m/>
    <m/>
    <m/>
    <m/>
    <n v="0"/>
    <x v="2"/>
    <s v=""/>
    <m/>
    <m/>
    <m/>
    <m/>
    <m/>
    <m/>
    <m/>
    <m/>
    <m/>
    <m/>
    <m/>
    <m/>
    <m/>
    <m/>
    <m/>
    <m/>
    <m/>
    <m/>
    <m/>
    <m/>
    <m/>
    <m/>
  </r>
  <r>
    <x v="1"/>
    <d v="2025-10-26T05:02:24"/>
    <s v="DS 5am"/>
    <m/>
    <m/>
    <m/>
    <m/>
    <x v="4"/>
    <m/>
    <m/>
    <m/>
    <m/>
    <m/>
    <m/>
    <m/>
    <m/>
    <m/>
    <m/>
    <m/>
    <m/>
    <n v="0"/>
    <x v="2"/>
    <s v=""/>
    <m/>
    <m/>
    <m/>
    <m/>
    <m/>
    <m/>
    <m/>
    <m/>
    <m/>
    <m/>
    <m/>
    <m/>
    <m/>
    <m/>
    <m/>
    <m/>
    <m/>
    <m/>
    <m/>
    <m/>
    <m/>
    <m/>
  </r>
  <r>
    <x v="1"/>
    <d v="2025-10-26T17:02:24"/>
    <s v="NS 5pm"/>
    <m/>
    <m/>
    <m/>
    <m/>
    <x v="4"/>
    <m/>
    <m/>
    <m/>
    <m/>
    <m/>
    <m/>
    <m/>
    <m/>
    <m/>
    <m/>
    <m/>
    <m/>
    <n v="0"/>
    <x v="2"/>
    <s v=""/>
    <m/>
    <m/>
    <m/>
    <m/>
    <m/>
    <m/>
    <m/>
    <m/>
    <m/>
    <m/>
    <m/>
    <m/>
    <m/>
    <m/>
    <m/>
    <m/>
    <m/>
    <m/>
    <m/>
    <m/>
    <m/>
    <m/>
  </r>
  <r>
    <x v="1"/>
    <d v="2025-10-27T05:02:24"/>
    <s v="DS 5am"/>
    <m/>
    <m/>
    <m/>
    <m/>
    <x v="4"/>
    <m/>
    <m/>
    <m/>
    <m/>
    <m/>
    <m/>
    <m/>
    <m/>
    <m/>
    <m/>
    <m/>
    <m/>
    <n v="0"/>
    <x v="2"/>
    <s v=""/>
    <m/>
    <m/>
    <m/>
    <m/>
    <m/>
    <m/>
    <m/>
    <m/>
    <m/>
    <m/>
    <m/>
    <m/>
    <m/>
    <m/>
    <m/>
    <m/>
    <m/>
    <m/>
    <m/>
    <m/>
    <m/>
    <m/>
  </r>
  <r>
    <x v="1"/>
    <d v="2025-10-27T17:02:24"/>
    <s v="NS 5pm"/>
    <m/>
    <m/>
    <m/>
    <m/>
    <x v="4"/>
    <m/>
    <m/>
    <m/>
    <m/>
    <m/>
    <m/>
    <m/>
    <m/>
    <m/>
    <m/>
    <m/>
    <m/>
    <n v="0"/>
    <x v="2"/>
    <s v=""/>
    <m/>
    <m/>
    <m/>
    <m/>
    <m/>
    <m/>
    <m/>
    <m/>
    <m/>
    <m/>
    <m/>
    <m/>
    <m/>
    <m/>
    <m/>
    <m/>
    <m/>
    <m/>
    <m/>
    <m/>
    <m/>
    <m/>
  </r>
  <r>
    <x v="1"/>
    <d v="2025-10-28T05:02:24"/>
    <s v="DS 5am"/>
    <m/>
    <m/>
    <m/>
    <m/>
    <x v="4"/>
    <m/>
    <m/>
    <m/>
    <m/>
    <m/>
    <m/>
    <m/>
    <m/>
    <m/>
    <m/>
    <m/>
    <m/>
    <n v="0"/>
    <x v="2"/>
    <s v=""/>
    <m/>
    <m/>
    <m/>
    <m/>
    <m/>
    <m/>
    <m/>
    <m/>
    <m/>
    <m/>
    <m/>
    <m/>
    <m/>
    <m/>
    <m/>
    <m/>
    <m/>
    <m/>
    <m/>
    <m/>
    <m/>
    <m/>
  </r>
  <r>
    <x v="1"/>
    <d v="2025-10-28T17:02:24"/>
    <s v="NS 5pm"/>
    <m/>
    <m/>
    <m/>
    <m/>
    <x v="4"/>
    <m/>
    <m/>
    <m/>
    <m/>
    <m/>
    <m/>
    <m/>
    <m/>
    <m/>
    <m/>
    <m/>
    <m/>
    <n v="0"/>
    <x v="2"/>
    <s v=""/>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x v="0"/>
    <n v="1"/>
    <n v="2"/>
    <n v="3"/>
    <n v="4"/>
    <n v="5"/>
    <n v="6"/>
    <n v="7"/>
    <n v="8"/>
    <n v="9"/>
    <n v="10"/>
    <n v="11"/>
    <n v="12"/>
    <n v="13"/>
    <n v="14"/>
    <n v="15"/>
    <n v="16"/>
    <n v="17"/>
    <n v="18"/>
    <n v="19"/>
    <m/>
    <n v="20"/>
    <n v="21"/>
    <n v="22"/>
    <n v="23"/>
    <n v="24"/>
    <n v="25"/>
    <n v="26"/>
    <n v="27"/>
    <n v="28"/>
    <n v="29"/>
    <n v="30"/>
    <n v="31"/>
    <n v="32"/>
    <m/>
    <n v="33"/>
    <n v="34"/>
    <n v="35"/>
    <n v="36"/>
    <n v="37"/>
    <n v="38"/>
    <n v="39"/>
    <n v="40"/>
    <n v="41"/>
    <n v="42"/>
  </r>
  <r>
    <x v="1"/>
    <d v="2025-06-13T05:02:24"/>
    <s v="DS 5am"/>
    <m/>
    <m/>
    <s v="Peter Gillespie"/>
    <n v="0"/>
    <n v="0"/>
    <m/>
    <m/>
    <s v=""/>
    <m/>
    <m/>
    <n v="0"/>
    <m/>
    <m/>
    <n v="0"/>
    <m/>
    <m/>
    <n v="0"/>
    <s v=""/>
    <s v=""/>
    <s v=""/>
    <n v="1"/>
    <n v="1"/>
    <n v="13122"/>
    <m/>
    <m/>
    <m/>
    <m/>
    <m/>
    <m/>
    <m/>
    <m/>
    <m/>
    <n v="0"/>
    <m/>
    <n v="0"/>
    <m/>
    <n v="575"/>
    <n v="575"/>
    <n v="575"/>
    <s v="no drilling completed"/>
    <s v="LINK"/>
    <s v="Start mobilisation to site"/>
  </r>
  <r>
    <x v="2"/>
    <d v="2025-06-13T17:02:24"/>
    <s v="NS 5pm"/>
    <m/>
    <m/>
    <m/>
    <m/>
    <s v=""/>
    <m/>
    <m/>
    <s v=""/>
    <m/>
    <m/>
    <n v="0"/>
    <m/>
    <m/>
    <n v="0"/>
    <m/>
    <m/>
    <n v="0"/>
    <s v=""/>
    <s v=""/>
    <s v=""/>
    <m/>
    <m/>
    <m/>
    <m/>
    <m/>
    <m/>
    <m/>
    <m/>
    <m/>
    <m/>
    <m/>
    <m/>
    <n v="0"/>
    <m/>
    <n v="0"/>
    <m/>
    <n v="0"/>
    <n v="575"/>
    <n v="575"/>
    <s v="no drilling completed"/>
    <s v="LINK"/>
    <s v="NO NIGHTSHIFT DURING MOB"/>
  </r>
  <r>
    <x v="3"/>
    <d v="2025-06-14T05:02:24"/>
    <s v="DS 5am"/>
    <m/>
    <m/>
    <s v="Peter Gillespie"/>
    <n v="0"/>
    <n v="0"/>
    <m/>
    <m/>
    <s v=""/>
    <m/>
    <m/>
    <n v="0"/>
    <m/>
    <m/>
    <n v="0"/>
    <m/>
    <m/>
    <n v="0"/>
    <s v=""/>
    <s v=""/>
    <s v=""/>
    <n v="1"/>
    <n v="1"/>
    <n v="13122"/>
    <m/>
    <m/>
    <m/>
    <m/>
    <m/>
    <m/>
    <m/>
    <m/>
    <m/>
    <n v="0"/>
    <m/>
    <n v="0"/>
    <m/>
    <n v="575"/>
    <n v="1150"/>
    <n v="1150"/>
    <s v="no drilling completed"/>
    <s v="LINK"/>
    <s v="Day 2 of mobilisation"/>
  </r>
  <r>
    <x v="4"/>
    <d v="2025-06-14T17:02:24"/>
    <s v="NS 5pm"/>
    <m/>
    <m/>
    <m/>
    <m/>
    <s v=""/>
    <m/>
    <m/>
    <s v=""/>
    <m/>
    <m/>
    <n v="0"/>
    <m/>
    <m/>
    <n v="0"/>
    <m/>
    <m/>
    <n v="0"/>
    <s v=""/>
    <s v=""/>
    <s v=""/>
    <m/>
    <m/>
    <m/>
    <m/>
    <m/>
    <m/>
    <m/>
    <m/>
    <m/>
    <m/>
    <m/>
    <m/>
    <n v="0"/>
    <m/>
    <n v="0"/>
    <m/>
    <n v="0"/>
    <n v="1150"/>
    <n v="1150"/>
    <s v="no drilling completed"/>
    <s v="LINK"/>
    <s v="NO NIGHTSHIFT DURING MOB"/>
  </r>
  <r>
    <x v="5"/>
    <d v="2025-06-15T05:02:24"/>
    <s v="DS 5am"/>
    <m/>
    <m/>
    <s v="Peter Gillespie"/>
    <n v="0"/>
    <n v="0"/>
    <m/>
    <m/>
    <s v=""/>
    <m/>
    <m/>
    <n v="0"/>
    <m/>
    <m/>
    <n v="0"/>
    <m/>
    <m/>
    <n v="0"/>
    <s v=""/>
    <s v=""/>
    <s v=""/>
    <n v="1"/>
    <n v="1"/>
    <n v="13122"/>
    <m/>
    <m/>
    <m/>
    <m/>
    <n v="7"/>
    <m/>
    <n v="5"/>
    <m/>
    <m/>
    <n v="12"/>
    <m/>
    <n v="2520"/>
    <m/>
    <n v="3095"/>
    <n v="4245"/>
    <n v="4245"/>
    <s v="no drilling completed"/>
    <s v="LINK"/>
    <s v="Completed mobilisation, started unloading at Speewah"/>
  </r>
  <r>
    <x v="6"/>
    <d v="2025-06-15T17:02:24"/>
    <s v="NS 5pm"/>
    <m/>
    <m/>
    <m/>
    <m/>
    <s v=""/>
    <m/>
    <m/>
    <s v=""/>
    <m/>
    <m/>
    <n v="0"/>
    <m/>
    <m/>
    <n v="0"/>
    <m/>
    <m/>
    <n v="0"/>
    <s v=""/>
    <s v=""/>
    <s v=""/>
    <m/>
    <m/>
    <m/>
    <m/>
    <m/>
    <m/>
    <m/>
    <m/>
    <m/>
    <m/>
    <m/>
    <m/>
    <n v="0"/>
    <m/>
    <n v="0"/>
    <m/>
    <n v="0"/>
    <n v="4245"/>
    <n v="4245"/>
    <s v="no drilling completed"/>
    <s v="LINK"/>
    <s v="NO NIGHTSHIFT DURING MOB"/>
  </r>
  <r>
    <x v="7"/>
    <d v="2025-06-16T05:02:24"/>
    <s v="DS 5am"/>
    <m/>
    <m/>
    <s v="Peter Gillespie"/>
    <n v="0"/>
    <n v="0"/>
    <m/>
    <m/>
    <s v=""/>
    <m/>
    <m/>
    <n v="0"/>
    <m/>
    <m/>
    <n v="0"/>
    <m/>
    <m/>
    <n v="0"/>
    <s v=""/>
    <s v=""/>
    <s v=""/>
    <n v="1"/>
    <n v="1"/>
    <n v="13122"/>
    <m/>
    <n v="4.75"/>
    <m/>
    <n v="4.75"/>
    <m/>
    <m/>
    <n v="2.5"/>
    <m/>
    <m/>
    <n v="12"/>
    <m/>
    <n v="3895"/>
    <m/>
    <n v="4470"/>
    <n v="8715"/>
    <n v="8715"/>
    <s v="no drilling completed"/>
    <s v="LINK"/>
    <s v="Inductions, welcome to country, establish water supply,  set-up camp"/>
  </r>
  <r>
    <x v="8"/>
    <d v="2025-06-16T17:02:24"/>
    <s v="NS 5pm"/>
    <m/>
    <m/>
    <m/>
    <m/>
    <s v=""/>
    <m/>
    <m/>
    <s v=""/>
    <m/>
    <m/>
    <n v="0"/>
    <m/>
    <m/>
    <n v="0"/>
    <m/>
    <m/>
    <n v="0"/>
    <s v=""/>
    <s v=""/>
    <s v=""/>
    <m/>
    <m/>
    <m/>
    <m/>
    <m/>
    <m/>
    <m/>
    <m/>
    <m/>
    <m/>
    <m/>
    <m/>
    <n v="0"/>
    <m/>
    <n v="0"/>
    <m/>
    <n v="0"/>
    <n v="8715"/>
    <n v="8715"/>
    <s v="no drilling completed"/>
    <s v="LINK"/>
    <s v="NO NIGHTSHIFT DURING MOB"/>
  </r>
  <r>
    <x v="9"/>
    <d v="2025-06-17T05:02:24"/>
    <s v="DS 5am"/>
    <m/>
    <m/>
    <s v="Zeke Shackelton"/>
    <n v="4"/>
    <n v="520"/>
    <m/>
    <m/>
    <s v=""/>
    <m/>
    <m/>
    <n v="0"/>
    <m/>
    <m/>
    <n v="0"/>
    <m/>
    <m/>
    <n v="0"/>
    <s v=""/>
    <s v=""/>
    <s v=""/>
    <n v="1"/>
    <n v="1"/>
    <n v="13122"/>
    <m/>
    <n v="10.75"/>
    <m/>
    <m/>
    <n v="1.25"/>
    <m/>
    <m/>
    <m/>
    <m/>
    <n v="12"/>
    <m/>
    <n v="5395"/>
    <m/>
    <n v="6490"/>
    <n v="15205"/>
    <n v="15205"/>
    <s v="no drilling completed"/>
    <s v="LINK"/>
    <s v="Establish water supply, wait for sumps to get dug, set-up rig on 1st pad"/>
  </r>
  <r>
    <x v="10"/>
    <d v="2025-06-17T17:02:24"/>
    <s v="NS 5pm"/>
    <m/>
    <m/>
    <s v="Peter Gillespie"/>
    <n v="3"/>
    <n v="390"/>
    <m/>
    <m/>
    <s v=""/>
    <m/>
    <m/>
    <n v="0"/>
    <m/>
    <m/>
    <n v="0"/>
    <m/>
    <m/>
    <n v="0"/>
    <s v=""/>
    <s v=""/>
    <s v=""/>
    <m/>
    <m/>
    <m/>
    <m/>
    <n v="7.25"/>
    <m/>
    <n v="3.25"/>
    <n v="1.5"/>
    <m/>
    <m/>
    <m/>
    <m/>
    <n v="12"/>
    <m/>
    <n v="5045"/>
    <m/>
    <n v="5435"/>
    <n v="20640"/>
    <n v="20640"/>
    <s v="no drilling completed"/>
    <s v="LINK"/>
    <s v="Complete rig set-up on pad, run poly pipe to next pad, wait for pre drill inspection on DS before commencing drilling"/>
  </r>
  <r>
    <x v="11"/>
    <d v="2025-06-18T05:02:24"/>
    <s v="DS 5am"/>
    <s v="SF25_DMET006"/>
    <m/>
    <s v="Zeke Shackelton"/>
    <n v="4"/>
    <n v="520"/>
    <n v="0"/>
    <n v="24.5"/>
    <n v="24.5"/>
    <m/>
    <m/>
    <n v="0"/>
    <m/>
    <m/>
    <n v="0"/>
    <m/>
    <m/>
    <n v="0"/>
    <n v="24.5"/>
    <n v="4287.5"/>
    <n v="4287.5"/>
    <n v="1"/>
    <n v="1"/>
    <n v="13122"/>
    <n v="8.75"/>
    <n v="1.5"/>
    <m/>
    <m/>
    <n v="1.75"/>
    <m/>
    <m/>
    <m/>
    <m/>
    <n v="12"/>
    <m/>
    <n v="1320"/>
    <n v="547.6400000000001"/>
    <n v="7250.14"/>
    <n v="27890.14"/>
    <n v="27890.14"/>
    <n v="295.9240816326531"/>
    <s v="LINK"/>
    <s v="Standby on client for pre-drill checks and inductions, commence drilling PQ3 from surface, pull out barrel and run in rock roller, pull out rock roll and install PVC collar, run in barrel and continue coring PQ3, survey @ 18m, condition hole throughout shift"/>
  </r>
  <r>
    <x v="11"/>
    <d v="2025-06-18T17:02:24"/>
    <s v="NS 5pm"/>
    <s v="SF25_DMET007"/>
    <m/>
    <s v="Peter Gillespie"/>
    <n v="3"/>
    <n v="390"/>
    <n v="24.5"/>
    <n v="51.5"/>
    <n v="27"/>
    <m/>
    <m/>
    <n v="0"/>
    <m/>
    <m/>
    <n v="0"/>
    <m/>
    <m/>
    <n v="0"/>
    <n v="27"/>
    <n v="4725"/>
    <n v="4725"/>
    <m/>
    <m/>
    <m/>
    <n v="10.25"/>
    <n v="1"/>
    <m/>
    <m/>
    <n v="0.75"/>
    <m/>
    <m/>
    <m/>
    <m/>
    <n v="12"/>
    <m/>
    <n v="730"/>
    <n v="253.98000000000002"/>
    <n v="6098.98"/>
    <n v="33989.119999999995"/>
    <n v="33989.119999999995"/>
    <n v="225.88814814814813"/>
    <s v="LINK"/>
    <s v="Continue to drill, pull rods due to tube not seating, remove dropped core from barrel, run rods in, survey, deliver core at E.O.S as per client request"/>
  </r>
  <r>
    <x v="11"/>
    <d v="2025-06-19T05:02:24"/>
    <s v="DS 5am"/>
    <s v="SF25_DMET008"/>
    <m/>
    <s v="Zeke Shackelton"/>
    <n v="4"/>
    <n v="520"/>
    <n v="51.5"/>
    <n v="80"/>
    <n v="28.5"/>
    <m/>
    <m/>
    <n v="0"/>
    <m/>
    <m/>
    <n v="0"/>
    <m/>
    <m/>
    <n v="0"/>
    <n v="28.5"/>
    <n v="4987.5"/>
    <n v="4987.5"/>
    <n v="1"/>
    <n v="1"/>
    <n v="13122"/>
    <n v="9.25"/>
    <n v="2.5"/>
    <m/>
    <m/>
    <n v="0.25"/>
    <m/>
    <m/>
    <m/>
    <m/>
    <n v="12"/>
    <m/>
    <n v="1240"/>
    <n v="878.93000000000006"/>
    <n v="8201.43"/>
    <n v="42190.549999999996"/>
    <n v="42190.549999999996"/>
    <n v="287.76947368421054"/>
    <s v="LINK"/>
    <s v="Continue to drill PQ3, survey @ 54m, 72m and EOH. EOH @ 80m, move equipment and move in ST to pull out rods, mast down, move rig, mast up, setup drill site"/>
  </r>
  <r>
    <x v="11"/>
    <d v="2025-06-19T17:02:24"/>
    <s v="NS 5pm"/>
    <s v="SF25_DMET007"/>
    <m/>
    <s v="Peter Gillespie"/>
    <n v="3"/>
    <n v="390"/>
    <n v="0"/>
    <n v="27.5"/>
    <n v="27.5"/>
    <m/>
    <m/>
    <n v="0"/>
    <m/>
    <m/>
    <n v="0"/>
    <m/>
    <m/>
    <n v="0"/>
    <n v="27.5"/>
    <n v="4812.5"/>
    <n v="4812.5"/>
    <m/>
    <m/>
    <m/>
    <n v="8"/>
    <n v="3"/>
    <m/>
    <n v="1"/>
    <m/>
    <m/>
    <m/>
    <m/>
    <m/>
    <n v="12"/>
    <m/>
    <n v="1740"/>
    <n v="301"/>
    <n v="7243.5"/>
    <n v="49434.049999999996"/>
    <n v="49434.049999999996"/>
    <n v="263.39999999999998"/>
    <s v="LINK"/>
    <s v="Continue to set up site, start PQ3 core from surface, open hole with 6 1/2&quot; roller, run in 2.8m of PVC, run in 3m barrel, survey, bit change, drop core off @ E.O.S. "/>
  </r>
  <r>
    <x v="11"/>
    <d v="2025-06-20T05:02:24"/>
    <s v="DS 5am"/>
    <s v="SF25_DMET008"/>
    <m/>
    <s v="Zeke Shackelton"/>
    <n v="4"/>
    <n v="520"/>
    <n v="27.5"/>
    <n v="59.3"/>
    <n v="31.799999999999997"/>
    <m/>
    <m/>
    <n v="0"/>
    <m/>
    <m/>
    <n v="0"/>
    <m/>
    <m/>
    <n v="0"/>
    <n v="31.799999999999997"/>
    <n v="5564.9999999999991"/>
    <n v="5564.9999999999991"/>
    <n v="1"/>
    <n v="1"/>
    <n v="13122"/>
    <n v="11"/>
    <n v="0.75"/>
    <m/>
    <m/>
    <n v="0.25"/>
    <m/>
    <m/>
    <m/>
    <m/>
    <n v="12"/>
    <m/>
    <n v="435"/>
    <n v="1030.72"/>
    <n v="8125.7199999999993"/>
    <n v="57559.77"/>
    <n v="57559.77"/>
    <n v="255.52578616352201"/>
    <s v="LINK"/>
    <s v="continue to drill PQ3, survey @ 36m &amp; 54m, lost water return @ 42m, condition hole throughout shift. Lined sumps on next 2 pads"/>
  </r>
  <r>
    <x v="11"/>
    <d v="2025-06-20T17:02:24"/>
    <s v="NS 5pm"/>
    <s v="SF25_DMET009"/>
    <m/>
    <s v="Peter Gillespie"/>
    <n v="3"/>
    <n v="390"/>
    <n v="59.3"/>
    <n v="80"/>
    <n v="20.700000000000003"/>
    <m/>
    <m/>
    <n v="0"/>
    <m/>
    <m/>
    <n v="0"/>
    <m/>
    <m/>
    <n v="0"/>
    <n v="20.700000000000003"/>
    <n v="3622.5000000000005"/>
    <n v="3622.5000000000005"/>
    <m/>
    <m/>
    <m/>
    <n v="7"/>
    <n v="2"/>
    <m/>
    <n v="1"/>
    <n v="2"/>
    <s v="Rig move at night?"/>
    <m/>
    <m/>
    <m/>
    <n v="12"/>
    <m/>
    <n v="2000"/>
    <n v="117.93"/>
    <n v="6130.43"/>
    <n v="63690.2"/>
    <n v="63690.2"/>
    <n v="296.156038647343"/>
    <s v="LINK"/>
    <s v="Continue to drill / Drill to 80m / Survey / Set up to pull rods onto back of rod truck / Pull all rods out / Mast down / Drop core off @ E.O.S / Standby on client due to no rig moves on N/S."/>
  </r>
  <r>
    <x v="11"/>
    <d v="2025-06-21T05:02:24"/>
    <s v="DS 5am"/>
    <s v="SF25_DMET001"/>
    <m/>
    <s v="Zeke Shackelton"/>
    <n v="4"/>
    <n v="520"/>
    <n v="0"/>
    <n v="1.9"/>
    <n v="1.9"/>
    <m/>
    <m/>
    <n v="0"/>
    <m/>
    <m/>
    <n v="0"/>
    <m/>
    <m/>
    <n v="0"/>
    <n v="1.9"/>
    <n v="332.5"/>
    <n v="575"/>
    <n v="1"/>
    <n v="1"/>
    <n v="13122"/>
    <n v="1.25"/>
    <n v="6"/>
    <m/>
    <n v="0.25"/>
    <n v="4.5"/>
    <m/>
    <m/>
    <m/>
    <m/>
    <n v="12"/>
    <m/>
    <n v="4470"/>
    <m/>
    <n v="6140"/>
    <n v="69830.2"/>
    <n v="69830.2"/>
    <n v="3231.5789473684213"/>
    <s v="LINK"/>
    <s v="Standby until sunrise to commence rig move, moved rig to site. Standby to flatten pad. Set up site, hard ground to dig. Started to drill pq3 "/>
  </r>
  <r>
    <x v="11"/>
    <d v="2025-06-21T17:02:24"/>
    <s v="NS 5pm"/>
    <s v="SF25_DMET001"/>
    <m/>
    <s v="Peter Gillespie"/>
    <n v="3"/>
    <n v="390"/>
    <n v="1.9"/>
    <n v="21.4"/>
    <n v="19.5"/>
    <m/>
    <m/>
    <n v="0"/>
    <m/>
    <m/>
    <n v="0"/>
    <m/>
    <m/>
    <n v="0"/>
    <n v="19.5"/>
    <n v="3412.5"/>
    <n v="4140"/>
    <m/>
    <m/>
    <m/>
    <n v="9"/>
    <n v="2"/>
    <m/>
    <m/>
    <n v="1"/>
    <m/>
    <m/>
    <m/>
    <m/>
    <n v="12"/>
    <m/>
    <n v="1280"/>
    <n v="772.65"/>
    <n v="6582.65"/>
    <n v="76412.849999999991"/>
    <n v="76412.849999999991"/>
    <n v="337.57179487179485"/>
    <s v="LINK"/>
    <s v="Continue to drill. Open hole up with 6 1/2&quot; roller. Run in 6m 150mm PVC. Run in 3m PQ barrel, slow going due to sticky clays. Short runs all shift. Drop core off at E.O.S as per client's request."/>
  </r>
  <r>
    <x v="11"/>
    <d v="2025-06-22T05:02:24"/>
    <s v="DS 5am"/>
    <s v="SF25_DMET001"/>
    <m/>
    <s v="Zeke Shackelton"/>
    <n v="4"/>
    <n v="520"/>
    <n v="21.4"/>
    <n v="51.4"/>
    <n v="30"/>
    <m/>
    <m/>
    <n v="0"/>
    <m/>
    <m/>
    <n v="0"/>
    <m/>
    <m/>
    <n v="0"/>
    <n v="30"/>
    <n v="5250"/>
    <n v="5250"/>
    <n v="1"/>
    <n v="1"/>
    <n v="13122"/>
    <n v="10.5"/>
    <n v="0.75"/>
    <m/>
    <m/>
    <n v="0.25"/>
    <m/>
    <n v="0.5"/>
    <m/>
    <m/>
    <n v="12"/>
    <m/>
    <n v="435"/>
    <m/>
    <n v="6780"/>
    <n v="83192.849999999991"/>
    <n v="83192.849999999991"/>
    <n v="226"/>
    <s v="LINK"/>
    <s v="continued to drill PQ3. survey @ 18m &amp; 36m, toolbox meeting"/>
  </r>
  <r>
    <x v="11"/>
    <d v="2025-06-22T17:02:24"/>
    <s v="NS 5pm"/>
    <s v="SF25_DMET001"/>
    <m/>
    <s v="Peter Gillespie"/>
    <n v="3"/>
    <n v="390"/>
    <n v="51.4"/>
    <n v="80"/>
    <n v="28.6"/>
    <m/>
    <m/>
    <n v="0"/>
    <m/>
    <m/>
    <n v="0"/>
    <m/>
    <m/>
    <n v="0"/>
    <n v="28.6"/>
    <n v="5005"/>
    <n v="5005"/>
    <m/>
    <m/>
    <m/>
    <n v="10"/>
    <n v="0.5"/>
    <m/>
    <m/>
    <n v="1"/>
    <m/>
    <n v="0.5"/>
    <m/>
    <m/>
    <n v="12"/>
    <m/>
    <n v="590"/>
    <n v="117.93"/>
    <n v="6102.93"/>
    <n v="89295.78"/>
    <n v="89295.78"/>
    <n v="213.38916083916084"/>
    <s v="LINK"/>
    <s v="Continue to drill, Survey @ 54 &amp; 72m. Drop core off at E.O.S as per client's request."/>
  </r>
  <r>
    <x v="11"/>
    <d v="2025-06-23T05:02:24"/>
    <s v="DS 5am"/>
    <s v="SF25_DMET001"/>
    <m/>
    <s v="Zeke Shackelton"/>
    <n v="4"/>
    <n v="520"/>
    <n v="80"/>
    <n v="104.2"/>
    <n v="24.200000000000003"/>
    <m/>
    <m/>
    <n v="0"/>
    <m/>
    <m/>
    <n v="0"/>
    <m/>
    <m/>
    <n v="0"/>
    <n v="24.200000000000003"/>
    <n v="4235.0000000000009"/>
    <n v="5175"/>
    <n v="1"/>
    <n v="1"/>
    <n v="13122"/>
    <n v="11.25"/>
    <n v="0.5"/>
    <m/>
    <m/>
    <n v="0.25"/>
    <m/>
    <m/>
    <m/>
    <m/>
    <n v="12"/>
    <m/>
    <n v="320"/>
    <m/>
    <n v="6590"/>
    <n v="95885.78"/>
    <n v="95885.78"/>
    <n v="272.31404958677683"/>
    <s v="LINK"/>
    <s v="continued to drill PQ3. survey @ 90m"/>
  </r>
  <r>
    <x v="11"/>
    <d v="2025-06-23T17:02:24"/>
    <s v="NS 5pm"/>
    <s v="SF25_DMET001"/>
    <m/>
    <s v="Peter Gillespie"/>
    <n v="3"/>
    <n v="390"/>
    <n v="104.2"/>
    <n v="110"/>
    <n v="5.7999999999999972"/>
    <m/>
    <m/>
    <n v="0"/>
    <m/>
    <m/>
    <n v="0"/>
    <m/>
    <m/>
    <n v="0"/>
    <n v="5.7999999999999972"/>
    <n v="1014.9999999999995"/>
    <n v="1840"/>
    <m/>
    <m/>
    <m/>
    <n v="4"/>
    <n v="4.75"/>
    <m/>
    <n v="1"/>
    <n v="2.25"/>
    <s v="Rig move at night?"/>
    <m/>
    <m/>
    <m/>
    <n v="12"/>
    <m/>
    <n v="3355"/>
    <n v="232"/>
    <n v="5817"/>
    <n v="101702.78"/>
    <n v="101702.78"/>
    <n v="1002.9310344827591"/>
    <s v="LINK"/>
    <s v="Continue to drill in broken ground with 20% water return, survey EOH. Pull rod out on to back of rod truck. Drop core off at E.O.S as per client's request."/>
  </r>
  <r>
    <x v="11"/>
    <d v="2025-06-24T05:02:24"/>
    <s v="DS 5am"/>
    <s v="SF25_DMET002"/>
    <m/>
    <s v="Zeke Shackelton"/>
    <n v="4"/>
    <n v="520"/>
    <n v="0"/>
    <n v="12"/>
    <n v="12"/>
    <m/>
    <m/>
    <n v="0"/>
    <m/>
    <m/>
    <n v="0"/>
    <m/>
    <m/>
    <n v="0"/>
    <n v="12"/>
    <n v="2100"/>
    <n v="2645"/>
    <n v="1"/>
    <n v="1"/>
    <n v="13122"/>
    <n v="5.75"/>
    <n v="5"/>
    <m/>
    <m/>
    <n v="1.25"/>
    <m/>
    <m/>
    <m/>
    <m/>
    <n v="12"/>
    <m/>
    <n v="2750"/>
    <n v="500.08"/>
    <n v="6990.08"/>
    <n v="108692.86"/>
    <n v="108692.86"/>
    <n v="582.50666666666666"/>
    <s v="LINK"/>
    <s v="Standby until sunrise to begin rig move to next pad, move all equipment to new pad and setup site, commence drilling PQ3 from surface, pull out barrel, run in rock roller and ream open hole, pull out and install PVC collar, run in 3m barrel and continue to drill PQ3."/>
  </r>
  <r>
    <x v="11"/>
    <d v="2025-06-24T17:02:24"/>
    <s v="NS 5pm"/>
    <s v="SF25_DMET002"/>
    <m/>
    <s v="Peter Gillespie"/>
    <n v="3"/>
    <n v="390"/>
    <n v="12"/>
    <n v="42.6"/>
    <n v="30.6"/>
    <m/>
    <m/>
    <n v="0"/>
    <m/>
    <m/>
    <n v="0"/>
    <m/>
    <m/>
    <n v="0"/>
    <n v="30.6"/>
    <n v="5355"/>
    <n v="5355"/>
    <m/>
    <m/>
    <m/>
    <n v="10"/>
    <n v="0.5"/>
    <m/>
    <m/>
    <n v="1"/>
    <m/>
    <n v="0.5"/>
    <m/>
    <m/>
    <n v="12"/>
    <m/>
    <n v="590"/>
    <n v="232"/>
    <n v="6567"/>
    <n v="115259.86"/>
    <n v="115259.86"/>
    <n v="214.60784313725489"/>
    <s v="LINK"/>
    <s v="Continue to drill, Survey x2. Drop core off at E.O.S as per client's request. Crew change."/>
  </r>
  <r>
    <x v="11"/>
    <d v="2025-06-25T05:02:24"/>
    <s v="DS 5am"/>
    <s v="SF25_DMET002"/>
    <m/>
    <s v="Benjamin Payton"/>
    <n v="4"/>
    <n v="520"/>
    <n v="42.6"/>
    <n v="48.6"/>
    <n v="6"/>
    <m/>
    <m/>
    <n v="0"/>
    <m/>
    <m/>
    <n v="0"/>
    <m/>
    <m/>
    <n v="0"/>
    <n v="6"/>
    <n v="1050"/>
    <n v="1265"/>
    <n v="1"/>
    <n v="1"/>
    <n v="13122"/>
    <n v="2.75"/>
    <m/>
    <m/>
    <n v="0.25"/>
    <n v="1"/>
    <m/>
    <n v="8"/>
    <m/>
    <m/>
    <n v="12"/>
    <m/>
    <n v="450"/>
    <m/>
    <n v="2810"/>
    <n v="118069.86"/>
    <n v="118069.86"/>
    <n v="468.33333333333331"/>
    <s v="LINK"/>
    <s v="Crew change, smoking ceremony, Pre-shift meeting, Pre-Start all equipment, continue to drill PQ3"/>
  </r>
  <r>
    <x v="11"/>
    <d v="2025-06-25T17:02:24"/>
    <s v="NS 5pm"/>
    <s v="SF25_DMET002"/>
    <m/>
    <s v="Zeke Shackelton"/>
    <n v="3"/>
    <n v="390"/>
    <n v="48.6"/>
    <n v="51.8"/>
    <n v="3.1999999999999957"/>
    <n v="51.8"/>
    <n v="65.599999999999994"/>
    <n v="13.799999999999997"/>
    <m/>
    <m/>
    <n v="0"/>
    <m/>
    <m/>
    <n v="0"/>
    <n v="16.999999999999993"/>
    <n v="2422.9999999999986"/>
    <n v="3105"/>
    <m/>
    <m/>
    <m/>
    <n v="6.75"/>
    <n v="5"/>
    <m/>
    <n v="0.25"/>
    <m/>
    <m/>
    <m/>
    <m/>
    <m/>
    <n v="12"/>
    <m/>
    <n v="2390"/>
    <m/>
    <n v="5885"/>
    <n v="123954.86"/>
    <n v="123954.86"/>
    <n v="346.17647058823542"/>
    <s v="LINK"/>
    <s v="Continued to drill PQ3, ground too hard changed to a softer bit. Drilling became unsafe due to ground conditions so pulled out and cased off PQ. Ran in HQ barrel and drilled HQ for the rest of the shift."/>
  </r>
  <r>
    <x v="11"/>
    <d v="2025-06-26T05:02:24"/>
    <s v="DS 5am"/>
    <s v="SF25_DMET002"/>
    <m/>
    <s v="Benjamin Payton"/>
    <n v="4"/>
    <n v="520"/>
    <m/>
    <m/>
    <n v="0"/>
    <n v="65.599999999999994"/>
    <n v="99.6"/>
    <n v="34"/>
    <m/>
    <m/>
    <n v="0"/>
    <m/>
    <m/>
    <n v="0"/>
    <n v="34"/>
    <n v="4590"/>
    <n v="5175"/>
    <n v="1"/>
    <n v="1"/>
    <n v="13122"/>
    <n v="11.25"/>
    <n v="0.5"/>
    <m/>
    <n v="0.25"/>
    <m/>
    <m/>
    <m/>
    <m/>
    <m/>
    <n v="12"/>
    <m/>
    <n v="320"/>
    <n v="878.93"/>
    <n v="7468.93"/>
    <n v="131423.79"/>
    <n v="131423.79"/>
    <n v="219.67441176470589"/>
    <s v="LINK"/>
    <s v="Continue to drill HQ3, hard broken formation-short runs from 65.6m to 75.6m, competent/hard ground from 75.6m to 99.6m, survey @ 72m &amp; 90m"/>
  </r>
  <r>
    <x v="11"/>
    <d v="2025-06-26T17:02:24"/>
    <s v="NS 5pm"/>
    <s v="SF25_DMET002"/>
    <m/>
    <s v="Zeke Shackelton"/>
    <n v="3"/>
    <n v="390"/>
    <m/>
    <m/>
    <n v="0"/>
    <n v="99.6"/>
    <n v="130.69999999999999"/>
    <n v="31.099999999999994"/>
    <m/>
    <m/>
    <n v="0"/>
    <m/>
    <m/>
    <n v="0"/>
    <n v="31.099999999999994"/>
    <n v="4198.4999999999991"/>
    <n v="5060"/>
    <m/>
    <m/>
    <m/>
    <n v="11"/>
    <n v="0.75"/>
    <m/>
    <n v="0.25"/>
    <m/>
    <m/>
    <m/>
    <m/>
    <m/>
    <n v="12"/>
    <m/>
    <n v="435"/>
    <m/>
    <n v="5885"/>
    <n v="137308.79"/>
    <n v="137308.79"/>
    <n v="189.22829581993574"/>
    <s v="LINK"/>
    <s v="Continue to drill HQ3 to end of hole depth 130.7m. "/>
  </r>
  <r>
    <x v="11"/>
    <d v="2025-06-27T05:02:24"/>
    <s v="DS 5am"/>
    <s v="SF25_DMET003"/>
    <m/>
    <s v="Benjamin Payton"/>
    <n v="4"/>
    <n v="520"/>
    <n v="0"/>
    <n v="18.100000000000001"/>
    <n v="18.100000000000001"/>
    <m/>
    <m/>
    <n v="0"/>
    <m/>
    <m/>
    <n v="0"/>
    <m/>
    <m/>
    <n v="0"/>
    <n v="18.100000000000001"/>
    <n v="3167.5000000000005"/>
    <n v="3167.5000000000005"/>
    <n v="1"/>
    <n v="1"/>
    <n v="13122"/>
    <n v="6.75"/>
    <n v="5"/>
    <m/>
    <n v="0.25"/>
    <m/>
    <m/>
    <m/>
    <m/>
    <m/>
    <n v="12"/>
    <m/>
    <n v="2390"/>
    <n v="395.85"/>
    <n v="7048.35"/>
    <n v="144357.14000000001"/>
    <n v="144357.14000000001"/>
    <n v="389.41160220994476"/>
    <s v="LINK"/>
    <s v="move equipment for EOH to pull rods, Pull HQ rods and barrel, Free PHD casing, Pull PHD casing out, Change Mast dip to -55, Set up rod bench &amp; site again, Drill PQ3 from surface, pull out barrel, run in rock roller and ream open hole, pull out and install PVC collar, run in 3m barrel and continue to drill PQ3."/>
  </r>
  <r>
    <x v="11"/>
    <d v="2025-06-27T17:02:24"/>
    <s v="NS 5pm"/>
    <s v="SF25_DMET003"/>
    <m/>
    <s v="Zeke Shackelton"/>
    <n v="3"/>
    <n v="390"/>
    <n v="18.100000000000001"/>
    <n v="43.9"/>
    <n v="25.799999999999997"/>
    <m/>
    <m/>
    <n v="0"/>
    <m/>
    <m/>
    <n v="0"/>
    <m/>
    <m/>
    <n v="0"/>
    <n v="25.799999999999997"/>
    <n v="4514.9999999999991"/>
    <n v="4945"/>
    <m/>
    <m/>
    <m/>
    <n v="10.75"/>
    <n v="1"/>
    <m/>
    <n v="0.25"/>
    <m/>
    <m/>
    <m/>
    <m/>
    <m/>
    <n v="12"/>
    <m/>
    <n v="550"/>
    <n v="407.22"/>
    <n v="6292.22"/>
    <n v="150649.36000000002"/>
    <n v="150649.36000000002"/>
    <n v="243.88449612403105"/>
    <s v="LINK"/>
    <s v="Continued drilling PQ3, slowly lost water return throughout shift, bombed hole to get return back, drilled through sandy patch between 34m to 37m, mixed up thick muds to condition hole, continue to drill PQ3. "/>
  </r>
  <r>
    <x v="11"/>
    <d v="2025-06-28T05:02:24"/>
    <s v="DS 5am"/>
    <s v="SF25_DMET003"/>
    <m/>
    <s v="Benjamin Payton"/>
    <n v="4"/>
    <n v="520"/>
    <n v="43.9"/>
    <n v="75.400000000000006"/>
    <n v="31.500000000000007"/>
    <m/>
    <m/>
    <n v="0"/>
    <m/>
    <m/>
    <n v="0"/>
    <m/>
    <m/>
    <n v="0"/>
    <n v="31.500000000000007"/>
    <n v="5512.5000000000009"/>
    <n v="5512.5000000000009"/>
    <n v="1"/>
    <n v="1"/>
    <n v="13122"/>
    <n v="11.25"/>
    <n v="0.5"/>
    <m/>
    <n v="0.25"/>
    <m/>
    <m/>
    <m/>
    <m/>
    <m/>
    <n v="12"/>
    <m/>
    <n v="320"/>
    <n v="117.93"/>
    <n v="7045.4300000000012"/>
    <n v="157694.79"/>
    <n v="157694.79"/>
    <n v="223.66444444444443"/>
    <s v="LINK"/>
    <s v="Continue to drill PQ3, Survey hole @ 54m and 72m, Minimal Water return-30% most of hole"/>
  </r>
  <r>
    <x v="11"/>
    <d v="2025-06-28T17:02:24"/>
    <s v="NS 5pm"/>
    <s v="SF25_DMET003"/>
    <m/>
    <s v="Zeke Shackelton"/>
    <n v="3"/>
    <n v="390"/>
    <n v="75.400000000000006"/>
    <n v="80"/>
    <n v="4.5999999999999943"/>
    <m/>
    <m/>
    <n v="0"/>
    <m/>
    <m/>
    <n v="0"/>
    <m/>
    <m/>
    <n v="0"/>
    <n v="4.5999999999999943"/>
    <n v="804.99999999999898"/>
    <n v="1265"/>
    <m/>
    <m/>
    <m/>
    <n v="2.75"/>
    <n v="3"/>
    <m/>
    <n v="0.25"/>
    <n v="6"/>
    <s v="Rig move at night?"/>
    <m/>
    <m/>
    <m/>
    <n v="12"/>
    <m/>
    <n v="3630"/>
    <n v="117.93"/>
    <n v="5402.93"/>
    <n v="163097.72"/>
    <n v="163097.72"/>
    <n v="1174.5500000000015"/>
    <s v="LINK"/>
    <s v="continue drilling PQ3,slow drilling, E.O.H 80m, Move rod bench, pull rods onto ST, Mast down rig, start to pack up site ready to move holes. Stand by on Client as no moving rig on N/S, continue with housekeeping and Maintenace"/>
  </r>
  <r>
    <x v="11"/>
    <d v="2025-06-29T05:02:24"/>
    <s v="DS 5am"/>
    <s v="SF25_DMET003"/>
    <m/>
    <s v="Benjamin Payton"/>
    <n v="4"/>
    <n v="520"/>
    <n v="0"/>
    <n v="15.4"/>
    <n v="15.4"/>
    <m/>
    <m/>
    <n v="0"/>
    <m/>
    <m/>
    <n v="0"/>
    <m/>
    <m/>
    <n v="0"/>
    <n v="15.4"/>
    <n v="2695"/>
    <n v="2695"/>
    <n v="1"/>
    <n v="1"/>
    <n v="13122"/>
    <n v="4.75"/>
    <n v="5.5"/>
    <m/>
    <n v="0.25"/>
    <n v="1"/>
    <m/>
    <n v="0.5"/>
    <m/>
    <m/>
    <n v="12"/>
    <m/>
    <n v="2980"/>
    <n v="396.12"/>
    <n v="7166.12"/>
    <n v="170263.84"/>
    <n v="170263.84"/>
    <n v="465.33246753246749"/>
    <s v="LINK"/>
    <s v="Pre-shift meeting, Pre-start all equipment, Stanby until daylight to move rig, Move rig &amp; equipment to next pad, Set up drill site-tight pad positioning gear, Line rig up to client hole requirements, Set up site, Strat drilling from surface, Pull out barrel, Run in rock roller and ream open hole, Pull out and install PVC collar, Run in 3m barrel and continue to drill PQ3, Weekly toolbox meeting Assets: DR41 / LT 92 / LP73 / RV 04 / ST56 / GP62 / GP04 / KV08 / BV17 / DDH1DL173 / DDH1DL160"/>
  </r>
  <r>
    <x v="11"/>
    <d v="2025-06-29T17:02:24"/>
    <s v="NS 5pm"/>
    <s v="SF25_DMET003"/>
    <m/>
    <s v="Zeke Shackelton"/>
    <n v="3"/>
    <n v="390"/>
    <n v="15.4"/>
    <n v="45.4"/>
    <n v="30"/>
    <m/>
    <m/>
    <n v="0"/>
    <m/>
    <m/>
    <n v="0"/>
    <m/>
    <m/>
    <n v="0"/>
    <n v="30"/>
    <n v="5250"/>
    <n v="5250"/>
    <m/>
    <m/>
    <m/>
    <n v="10.25"/>
    <n v="1"/>
    <m/>
    <n v="0.25"/>
    <m/>
    <m/>
    <n v="0.5"/>
    <m/>
    <m/>
    <n v="12"/>
    <m/>
    <n v="550"/>
    <m/>
    <n v="6190"/>
    <n v="176453.84"/>
    <n v="176453.84"/>
    <n v="206.33333333333334"/>
    <s v="LINK"/>
    <m/>
  </r>
  <r>
    <x v="11"/>
    <d v="2025-06-30T05:02:24"/>
    <s v="DS 5am"/>
    <s v="SFDMET25004"/>
    <m/>
    <s v="Benjamin Payton"/>
    <n v="4"/>
    <n v="520"/>
    <n v="45.4"/>
    <n v="62.5"/>
    <n v="17.100000000000001"/>
    <n v="62.5"/>
    <n v="63.4"/>
    <n v="0.89999999999999858"/>
    <m/>
    <m/>
    <n v="0"/>
    <m/>
    <m/>
    <n v="0"/>
    <n v="18"/>
    <n v="3114.0000000000005"/>
    <n v="3450"/>
    <n v="1"/>
    <n v="1"/>
    <n v="13122"/>
    <n v="7.5"/>
    <n v="4.25"/>
    <m/>
    <n v="0.25"/>
    <m/>
    <m/>
    <m/>
    <m/>
    <m/>
    <n v="12"/>
    <m/>
    <n v="2045"/>
    <n v="776.68"/>
    <n v="7366.68"/>
    <n v="183820.52"/>
    <n v="183820.52"/>
    <n v="409.26"/>
    <s v="LINK"/>
    <m/>
  </r>
  <r>
    <x v="11"/>
    <d v="2025-06-30T17:02:24"/>
    <s v="NS 5pm"/>
    <s v="SFDMET25004"/>
    <m/>
    <s v="Zeke Shackelton"/>
    <n v="3"/>
    <n v="390"/>
    <m/>
    <m/>
    <n v="0"/>
    <n v="63.4"/>
    <n v="66.400000000000006"/>
    <n v="3.0000000000000071"/>
    <m/>
    <m/>
    <n v="0"/>
    <m/>
    <m/>
    <n v="0"/>
    <n v="3.0000000000000071"/>
    <n v="405.00000000000097"/>
    <n v="575"/>
    <m/>
    <m/>
    <m/>
    <n v="1.25"/>
    <n v="3"/>
    <m/>
    <n v="2.25"/>
    <n v="5.5"/>
    <s v="Water springing from pad, Rig move at night??"/>
    <m/>
    <m/>
    <m/>
    <n v="12"/>
    <m/>
    <n v="4170"/>
    <m/>
    <n v="5135"/>
    <n v="188955.51999999999"/>
    <n v="188955.51999999999"/>
    <n v="1711.6666666666626"/>
    <s v="LINK"/>
    <m/>
  </r>
  <r>
    <x v="11"/>
    <d v="2025-07-01T05:02:24"/>
    <s v="DS 5am"/>
    <s v="SF25_DMET008"/>
    <m/>
    <s v="Benjamin Payton"/>
    <n v="4"/>
    <n v="520"/>
    <n v="0"/>
    <n v="1.8"/>
    <n v="1.8"/>
    <m/>
    <m/>
    <n v="0"/>
    <m/>
    <m/>
    <n v="0"/>
    <m/>
    <m/>
    <n v="0"/>
    <n v="1.8"/>
    <n v="315"/>
    <n v="460"/>
    <n v="1"/>
    <n v="1"/>
    <n v="13122"/>
    <n v="1"/>
    <n v="4"/>
    <s v="Rig went to wrong pad and set up - costs associated to this were removed - AST"/>
    <n v="0.75"/>
    <n v="1"/>
    <m/>
    <n v="5.25"/>
    <m/>
    <m/>
    <n v="12"/>
    <m/>
    <n v="2470"/>
    <n v="761"/>
    <n v="4786"/>
    <n v="193741.52"/>
    <n v="4786"/>
    <n v="2658.8888888888887"/>
    <s v="LINK"/>
    <s v="Drillers went to the wrong pad and setup. They initially charged for this, but the Plod was refused as we showed them the pad and put a collar peg in for the correct site. The plod has since been adjusted to not include costs associated with the incorrect move. "/>
  </r>
  <r>
    <x v="11"/>
    <d v="2025-07-01T17:02:24"/>
    <s v="NS 5pm"/>
    <s v="SF25_DMET008"/>
    <m/>
    <s v="Zeke Shackelton"/>
    <n v="3"/>
    <n v="390"/>
    <n v="1.8"/>
    <n v="20.2"/>
    <n v="18.399999999999999"/>
    <m/>
    <m/>
    <n v="0"/>
    <m/>
    <m/>
    <n v="0"/>
    <m/>
    <m/>
    <n v="0"/>
    <n v="18.399999999999999"/>
    <n v="3219.9999999999995"/>
    <n v="4140"/>
    <m/>
    <m/>
    <m/>
    <n v="9"/>
    <n v="2.75"/>
    <m/>
    <n v="0.25"/>
    <m/>
    <m/>
    <m/>
    <m/>
    <m/>
    <n v="12"/>
    <m/>
    <n v="1355"/>
    <n v="395"/>
    <n v="6280"/>
    <n v="200021.52"/>
    <n v="11066"/>
    <n v="341.304347826087"/>
    <s v="LINK"/>
    <s v="Pre-shift meeting, Pre-Start all equipment, Continue drilling PQ3 then drill MR to 6m case off with pvc. change over to 3m barrel and and continue to drill PQ3 "/>
  </r>
  <r>
    <x v="11"/>
    <d v="2025-07-02T05:02:24"/>
    <s v="DS 5am"/>
    <s v="SF25_DMET008"/>
    <m/>
    <s v="Benjamin Payton"/>
    <n v="3"/>
    <n v="390"/>
    <n v="20.2"/>
    <n v="41.8"/>
    <n v="21.599999999999998"/>
    <m/>
    <m/>
    <n v="0"/>
    <m/>
    <m/>
    <n v="0"/>
    <m/>
    <m/>
    <n v="0"/>
    <n v="21.599999999999998"/>
    <n v="3779.9999999999995"/>
    <n v="4485"/>
    <n v="1"/>
    <n v="1"/>
    <n v="13122"/>
    <n v="9.75"/>
    <n v="1.5"/>
    <m/>
    <n v="0.25"/>
    <n v="0.5"/>
    <m/>
    <m/>
    <m/>
    <m/>
    <n v="12"/>
    <m/>
    <n v="960"/>
    <n v="0"/>
    <n v="6410"/>
    <n v="206431.52"/>
    <n v="17476"/>
    <n v="296.7592592592593"/>
    <s v="LINK"/>
    <s v="Note: Charged for 3 accom instead of listed 4 people. (-$120) Pre-shift meeting, Pre-start all equipment, Drill PQ3, Pull rods for bit change/Worn bit,= (29.8m drilled with new bit) Ream 18m back to bottom due to cave in, Drill on PQ3, Survey hole @ 36m, Stop drilling for Client drill pad inspections, sign offs"/>
  </r>
  <r>
    <x v="11"/>
    <d v="2025-07-02T17:02:24"/>
    <s v="NS 5pm"/>
    <s v="SF25_DMET008"/>
    <m/>
    <s v="Zeke Shackelton"/>
    <n v="3"/>
    <n v="390"/>
    <n v="41.8"/>
    <n v="50"/>
    <n v="8.2000000000000028"/>
    <n v="50"/>
    <n v="54.6"/>
    <n v="4.6000000000000014"/>
    <n v="0"/>
    <n v="1.8"/>
    <n v="1.8"/>
    <m/>
    <m/>
    <n v="0"/>
    <n v="14.600000000000005"/>
    <n v="2371.0000000000009"/>
    <n v="2875"/>
    <m/>
    <m/>
    <m/>
    <n v="6.25"/>
    <n v="5.5"/>
    <s v="Difficult ground conditions listed - short bit life and 4 hours reaming"/>
    <n v="0.25"/>
    <m/>
    <m/>
    <m/>
    <m/>
    <m/>
    <n v="12"/>
    <m/>
    <n v="2620"/>
    <n v="0"/>
    <n v="5885"/>
    <n v="212316.52"/>
    <n v="23361"/>
    <n v="403.0821917808218"/>
    <s v="LINK"/>
    <m/>
  </r>
  <r>
    <x v="11"/>
    <d v="2025-07-03T05:02:24"/>
    <s v="DS 5am"/>
    <s v="SF25_DMET008"/>
    <s v="SF25_DMET009"/>
    <s v="Benjamin Payton"/>
    <n v="3"/>
    <n v="390"/>
    <n v="54.6"/>
    <n v="60.2"/>
    <n v="5.6000000000000014"/>
    <m/>
    <m/>
    <n v="0"/>
    <n v="0"/>
    <n v="0"/>
    <n v="0"/>
    <m/>
    <m/>
    <n v="0"/>
    <n v="5.6000000000000014"/>
    <n v="980.00000000000023"/>
    <n v="1955"/>
    <n v="1"/>
    <n v="1"/>
    <n v="13122"/>
    <n v="4.25"/>
    <n v="6.5"/>
    <m/>
    <n v="0.25"/>
    <n v="0.5"/>
    <s v="Rig/site inspection 30mins"/>
    <m/>
    <n v="0.5"/>
    <m/>
    <n v="12"/>
    <m/>
    <n v="3260"/>
    <n v="761"/>
    <n v="6941"/>
    <n v="219257.52"/>
    <n v="30302"/>
    <n v="1239.4642857142853"/>
    <s v="LINK"/>
    <m/>
  </r>
  <r>
    <x v="11"/>
    <d v="2025-07-03T17:02:24"/>
    <s v="NS 5pm"/>
    <s v="SF25_DMET009"/>
    <m/>
    <s v="Zeke Shackelton"/>
    <n v="3"/>
    <n v="390"/>
    <n v="1.8"/>
    <n v="10.199999999999999"/>
    <n v="8.3999999999999986"/>
    <m/>
    <m/>
    <n v="0"/>
    <m/>
    <m/>
    <n v="0"/>
    <m/>
    <m/>
    <n v="0"/>
    <n v="8.3999999999999986"/>
    <n v="1469.9999999999998"/>
    <n v="3680"/>
    <m/>
    <m/>
    <m/>
    <n v="8"/>
    <n v="3"/>
    <s v="Difficult ground conditions - broken oxides - geo checked core"/>
    <n v="0.25"/>
    <m/>
    <m/>
    <m/>
    <n v="0.75"/>
    <m/>
    <n v="12"/>
    <m/>
    <n v="1470"/>
    <n v="395"/>
    <n v="5935"/>
    <n v="225192.52"/>
    <n v="36237"/>
    <n v="706.54761904761915"/>
    <s v="LINK"/>
    <s v="Pre-shift meeting, Pre-start all equipment, continue to dill PQ3. pull out case off with pvc swelling clays sand and cave in having to ream to bottom of hole every run, Slow going due to poor formation being drilled, pulled barrel x two times first time to clean barrel second to change bit, snapped wireline housekeeping and Maintenace "/>
  </r>
  <r>
    <x v="11"/>
    <d v="2025-07-04T05:02:24"/>
    <s v="DS 5am"/>
    <s v="SF25_DMET009"/>
    <m/>
    <s v="Benjamin Payton"/>
    <n v="3"/>
    <n v="390"/>
    <n v="10.199999999999999"/>
    <n v="21.4"/>
    <n v="11.2"/>
    <m/>
    <m/>
    <n v="0"/>
    <m/>
    <m/>
    <n v="0"/>
    <m/>
    <m/>
    <n v="0"/>
    <n v="11.2"/>
    <n v="1959.9999999999998"/>
    <n v="4255"/>
    <n v="1"/>
    <n v="1"/>
    <n v="13122"/>
    <n v="9.25"/>
    <n v="2.5"/>
    <s v="Difficult ground conditions - broken oxides - had to ream PWT to 12m"/>
    <n v="0.25"/>
    <m/>
    <m/>
    <m/>
    <m/>
    <m/>
    <n v="12"/>
    <m/>
    <n v="1240"/>
    <n v="290.49"/>
    <n v="6750.49"/>
    <n v="231943.00999999998"/>
    <n v="42987.49"/>
    <n v="602.72232142857149"/>
    <s v="LINK"/>
    <s v="Pre-shift meeting, Pre-start all equipment, Drill PQ3, Drill first 1.5m through pressurized ground and hole collaring off, Slow going to get down fto depth for reaming PWT, Ream 12m PWT casing into hole, Drill on PQ3 = Extremely fractured formation, short runs Survey hole @ 18m"/>
  </r>
  <r>
    <x v="11"/>
    <d v="2025-07-04T17:02:24"/>
    <s v="NS 5pm"/>
    <s v="SF25_DMET009"/>
    <m/>
    <s v="Zeke Shackelton"/>
    <n v="3"/>
    <n v="390"/>
    <n v="21.4"/>
    <n v="40.6"/>
    <n v="19.200000000000003"/>
    <m/>
    <m/>
    <n v="0"/>
    <m/>
    <m/>
    <n v="0"/>
    <m/>
    <m/>
    <n v="0"/>
    <n v="19.200000000000003"/>
    <n v="3360.0000000000005"/>
    <n v="3910"/>
    <m/>
    <m/>
    <m/>
    <n v="8.5"/>
    <n v="2.25"/>
    <m/>
    <n v="1.25"/>
    <m/>
    <s v="Core farm delivery listed as 1 hour inactive time - does the drill rig have to stop for core delivery? - Due to the limited size of drill pad - they couldn't move the core until they moved site - so was done all at once in bulk"/>
    <m/>
    <m/>
    <m/>
    <n v="12"/>
    <m/>
    <n v="1485"/>
    <n v="117.93"/>
    <n v="5902.93"/>
    <n v="237845.93999999997"/>
    <n v="48890.42"/>
    <n v="307.44427083333329"/>
    <s v="LINK"/>
    <m/>
  </r>
  <r>
    <x v="11"/>
    <d v="2025-07-05T05:02:24"/>
    <s v="DS 5am"/>
    <s v="SF25_DMET009"/>
    <m/>
    <s v="Benjamin Payton"/>
    <n v="3"/>
    <n v="390"/>
    <n v="40.6"/>
    <n v="63.9"/>
    <n v="23.299999999999997"/>
    <m/>
    <m/>
    <n v="0"/>
    <m/>
    <m/>
    <n v="0"/>
    <m/>
    <m/>
    <n v="0"/>
    <n v="23.299999999999997"/>
    <n v="4077.4999999999995"/>
    <n v="4485"/>
    <n v="1"/>
    <n v="1"/>
    <n v="13122"/>
    <n v="9.75"/>
    <n v="2"/>
    <s v="Minor reaming of PWT"/>
    <n v="0.25"/>
    <m/>
    <m/>
    <m/>
    <m/>
    <m/>
    <n v="12"/>
    <m/>
    <n v="1010"/>
    <n v="117.93"/>
    <n v="6577.93"/>
    <n v="244423.86999999997"/>
    <n v="55468.35"/>
    <n v="282.31459227467815"/>
    <s v="LINK"/>
    <s v="Pre-shift meeting, Pre-start all equipment, Pull rods for core in barrel, Ream back to bottom from 18m, Drill on PQ3, Survey hole @ 54m, Advancve PWT casing 3m as rattled down low"/>
  </r>
  <r>
    <x v="11"/>
    <d v="2025-07-05T17:02:24"/>
    <s v="NS 5pm"/>
    <s v="SF25_DMET009"/>
    <m/>
    <s v="Zeke Shackelton"/>
    <n v="3"/>
    <n v="390"/>
    <n v="63.9"/>
    <n v="79.099999999999994"/>
    <n v="15.199999999999996"/>
    <m/>
    <m/>
    <n v="0"/>
    <m/>
    <m/>
    <n v="0"/>
    <m/>
    <m/>
    <n v="0"/>
    <n v="15.199999999999996"/>
    <n v="2659.9999999999991"/>
    <n v="4025"/>
    <m/>
    <m/>
    <m/>
    <n v="8.75"/>
    <n v="2.5"/>
    <s v="Slow reaming listed"/>
    <n v="0.25"/>
    <m/>
    <m/>
    <m/>
    <n v="0.5"/>
    <m/>
    <n v="12"/>
    <m/>
    <n v="1240"/>
    <n v="117.93"/>
    <n v="5772.93"/>
    <n v="250196.79999999996"/>
    <n v="61241.279999999999"/>
    <n v="379.79802631578963"/>
    <s v="LINK"/>
    <s v="Pre-shift meeting, Pre-start all equipment, continue to dill PQ3. reamed 1m of pwt very slow reaming. pulled rods ground is to hard put a softer bit on. Drilling PQ3 still slow due to hard ground. survey at 72m.housekeeping and Maintenace "/>
  </r>
  <r>
    <x v="11"/>
    <d v="2025-07-06T05:02:24"/>
    <s v="DS 5am"/>
    <s v="SF25_DMET009"/>
    <m/>
    <s v="Benjamin Payton"/>
    <n v="3"/>
    <n v="390"/>
    <n v="79.099999999999994"/>
    <n v="97"/>
    <n v="17.900000000000006"/>
    <m/>
    <m/>
    <n v="0"/>
    <m/>
    <m/>
    <n v="0"/>
    <m/>
    <m/>
    <n v="0"/>
    <n v="17.900000000000006"/>
    <n v="3132.5000000000009"/>
    <n v="4600"/>
    <n v="1"/>
    <n v="1"/>
    <n v="13122"/>
    <n v="10"/>
    <n v="1.25"/>
    <m/>
    <n v="0.25"/>
    <m/>
    <m/>
    <n v="0.5"/>
    <m/>
    <m/>
    <n v="12"/>
    <m/>
    <n v="665"/>
    <n v="878.93"/>
    <n v="7108.93"/>
    <n v="257305.72999999995"/>
    <n v="68350.209999999992"/>
    <n v="397.14692737430158"/>
    <s v="LINK"/>
    <s v="Pre-shift meeting, Pre-start all equipment, Drill on PQ3, Bit change /worn bit = hard abrasive formation (15m drilled with new 12-14 bit), Run in with rod grease, Drill on PQ3, Survey hole @ 90m, weekly toolbox meeting"/>
  </r>
  <r>
    <x v="11"/>
    <d v="2025-07-06T17:02:24"/>
    <s v="NS 5pm"/>
    <s v="SF25_DMET009"/>
    <m/>
    <s v="Zeke Shackelton"/>
    <n v="3"/>
    <n v="390"/>
    <n v="97"/>
    <n v="105.3"/>
    <n v="8.2999999999999972"/>
    <m/>
    <m/>
    <n v="0"/>
    <m/>
    <m/>
    <n v="0"/>
    <m/>
    <m/>
    <n v="0"/>
    <n v="8.2999999999999972"/>
    <n v="1452.4999999999995"/>
    <n v="2070"/>
    <m/>
    <m/>
    <m/>
    <n v="4.5"/>
    <n v="3.75"/>
    <m/>
    <n v="0.25"/>
    <n v="3"/>
    <m/>
    <n v="0.5"/>
    <m/>
    <m/>
    <n v="12"/>
    <m/>
    <n v="2895"/>
    <n v="117.93"/>
    <n v="5472.93"/>
    <n v="262778.65999999997"/>
    <n v="73823.139999999985"/>
    <n v="659.38915662650629"/>
    <s v="LINK"/>
    <s v="Toolbox meeting. Pre-shift meeting, Pre-start all equipment, continue to dill PQ3 to E.O.H 105.3. pulled rods out and casing. established water for next hole packed site up. housekeeping and Maintenace "/>
  </r>
  <r>
    <x v="11"/>
    <d v="2025-07-07T05:02:24"/>
    <s v="DS 5am"/>
    <s v="SF25_DMET009"/>
    <s v="SF25_DMET012"/>
    <s v="Benjamin Payton"/>
    <n v="3"/>
    <n v="390"/>
    <n v="105.3"/>
    <n v="105.3"/>
    <n v="0"/>
    <m/>
    <m/>
    <n v="0"/>
    <n v="0"/>
    <n v="10.4"/>
    <n v="10.4"/>
    <m/>
    <m/>
    <n v="0"/>
    <n v="10.4"/>
    <n v="1820"/>
    <n v="2185"/>
    <n v="1"/>
    <n v="1"/>
    <n v="13122"/>
    <n v="4.75"/>
    <n v="5.5"/>
    <s v="Standby and packup due to no moving on NS"/>
    <n v="0.75"/>
    <n v="1"/>
    <m/>
    <m/>
    <m/>
    <m/>
    <n v="12"/>
    <m/>
    <n v="3160"/>
    <n v="422.05"/>
    <n v="6732.05"/>
    <n v="269510.70999999996"/>
    <n v="80555.189999999988"/>
    <n v="647.3125"/>
    <s v="LINK"/>
    <m/>
  </r>
  <r>
    <x v="11"/>
    <d v="2025-07-07T17:02:24"/>
    <s v="NS 5pm"/>
    <s v="SF25_DMET012"/>
    <m/>
    <s v="Zeke Shackelton"/>
    <n v="3"/>
    <n v="390"/>
    <n v="10.4"/>
    <n v="36.799999999999997"/>
    <n v="26.4"/>
    <m/>
    <m/>
    <n v="0"/>
    <m/>
    <m/>
    <n v="0"/>
    <m/>
    <m/>
    <n v="0"/>
    <n v="26.4"/>
    <n v="4620"/>
    <n v="4945"/>
    <m/>
    <m/>
    <m/>
    <n v="10.75"/>
    <n v="0.5"/>
    <m/>
    <n v="0.75"/>
    <m/>
    <m/>
    <m/>
    <m/>
    <m/>
    <n v="12"/>
    <m/>
    <n v="500"/>
    <n v="117.93"/>
    <n v="5952.93"/>
    <n v="275463.63999999996"/>
    <n v="86508.12"/>
    <n v="225.48977272727274"/>
    <s v="LINK"/>
    <m/>
  </r>
  <r>
    <x v="11"/>
    <d v="2025-07-08T05:02:24"/>
    <s v="DS 5am"/>
    <s v="SF25_DMET012"/>
    <m/>
    <s v="Carl Jonas"/>
    <n v="3"/>
    <n v="390"/>
    <n v="36.799999999999997"/>
    <n v="42.4"/>
    <n v="5.6000000000000014"/>
    <m/>
    <m/>
    <n v="0"/>
    <m/>
    <m/>
    <n v="0"/>
    <m/>
    <m/>
    <n v="0"/>
    <n v="5.6000000000000014"/>
    <n v="980.00000000000023"/>
    <n v="3220"/>
    <n v="1"/>
    <n v="1"/>
    <n v="13122"/>
    <n v="7"/>
    <n v="4.75"/>
    <m/>
    <n v="0.25"/>
    <m/>
    <m/>
    <m/>
    <m/>
    <m/>
    <n v="12"/>
    <m/>
    <n v="2275"/>
    <n v="235.86"/>
    <n v="6695.86"/>
    <n v="282159.49999999994"/>
    <n v="93203.98"/>
    <n v="1195.6892857142855"/>
    <s v="LINK"/>
    <s v="Pre-shift meeting / Pre-start all equipment / Finish setting up drill site, make up barrel &amp; tubes, check all running gear / Wait on water for sumps to fill / Client pre-drill inspection / Drill PQ3 from surface / Open out hole with rock roller, Grout 6.0m 150mm PVC in place, Flush back to bottom, Drill on PQ3 / Pull rods out and change bit for ground conditions to try improve core recovery in soft sands &amp; broken formation"/>
  </r>
  <r>
    <x v="11"/>
    <d v="2025-07-08T17:02:24"/>
    <s v="NS 5pm"/>
    <s v="SF25_DMET012"/>
    <m/>
    <s v="Dean Melville"/>
    <n v="2"/>
    <n v="260"/>
    <n v="42.4"/>
    <n v="69.400000000000006"/>
    <n v="27.000000000000007"/>
    <m/>
    <m/>
    <n v="0"/>
    <m/>
    <m/>
    <n v="0"/>
    <m/>
    <m/>
    <n v="0"/>
    <n v="27.000000000000007"/>
    <n v="4725.0000000000009"/>
    <n v="4725.0000000000009"/>
    <m/>
    <m/>
    <m/>
    <n v="9"/>
    <n v="1.5"/>
    <m/>
    <n v="0.5"/>
    <m/>
    <m/>
    <m/>
    <n v="1"/>
    <m/>
    <n v="12"/>
    <m/>
    <n v="870"/>
    <n v="117.93"/>
    <n v="5972.9300000000012"/>
    <n v="288132.42999999993"/>
    <n v="99176.91"/>
    <n v="221.21962962962962"/>
    <s v="LINK"/>
    <m/>
  </r>
  <r>
    <x v="11"/>
    <d v="2025-07-09T05:02:24"/>
    <s v="DS 5am"/>
    <s v="SF25_DMET012"/>
    <m/>
    <s v="Carl Jonas"/>
    <n v="5"/>
    <n v="650"/>
    <n v="69.400000000000006"/>
    <n v="79"/>
    <n v="9.5999999999999943"/>
    <m/>
    <m/>
    <n v="0"/>
    <m/>
    <m/>
    <n v="0"/>
    <m/>
    <m/>
    <n v="0"/>
    <n v="9.5999999999999943"/>
    <n v="1679.9999999999991"/>
    <n v="2070"/>
    <n v="1"/>
    <n v="1"/>
    <n v="13122"/>
    <n v="4.5"/>
    <m/>
    <s v="Breakdown repairs"/>
    <n v="0.5"/>
    <m/>
    <m/>
    <m/>
    <n v="7"/>
    <m/>
    <n v="12"/>
    <m/>
    <n v="180"/>
    <n v="235.86"/>
    <n v="3710.86"/>
    <n v="291843.28999999992"/>
    <n v="102887.77"/>
    <n v="386.54791666666694"/>
    <s v="LINK"/>
    <m/>
  </r>
  <r>
    <x v="11"/>
    <d v="2025-07-09T17:02:24"/>
    <s v="NS 5pm"/>
    <s v="SF25_DMET012"/>
    <s v="SF25_DMET013"/>
    <s v="Dean Melville"/>
    <n v="2"/>
    <n v="260"/>
    <n v="79"/>
    <n v="90.4"/>
    <n v="11.400000000000006"/>
    <m/>
    <m/>
    <n v="0"/>
    <m/>
    <m/>
    <n v="0"/>
    <m/>
    <m/>
    <n v="0"/>
    <n v="11.400000000000006"/>
    <n v="1995.0000000000009"/>
    <n v="1995.0000000000009"/>
    <m/>
    <m/>
    <m/>
    <n v="4"/>
    <n v="5"/>
    <s v="Rig Move"/>
    <n v="0.5"/>
    <n v="2.5"/>
    <s v="Rig move at night - we are now permitting moves at night"/>
    <m/>
    <m/>
    <m/>
    <n v="12"/>
    <m/>
    <n v="3380"/>
    <n v="236.49"/>
    <n v="5871.4900000000007"/>
    <n v="297714.77999999991"/>
    <n v="108759.26000000001"/>
    <n v="515.04298245614018"/>
    <s v="LINK"/>
    <m/>
  </r>
  <r>
    <x v="11"/>
    <d v="2025-07-10T05:02:24"/>
    <s v="DS 5am"/>
    <s v="SF25_DMET013"/>
    <m/>
    <s v="Carl Jonas"/>
    <n v="4"/>
    <n v="520"/>
    <n v="0"/>
    <n v="7.9"/>
    <n v="7.9"/>
    <m/>
    <m/>
    <n v="0"/>
    <m/>
    <m/>
    <n v="0"/>
    <m/>
    <m/>
    <n v="0"/>
    <n v="7.9"/>
    <n v="1382.5"/>
    <n v="2300"/>
    <n v="1"/>
    <n v="1"/>
    <n v="13122"/>
    <n v="5"/>
    <n v="2.5"/>
    <s v="Rig move and repairs"/>
    <n v="0.5"/>
    <n v="2"/>
    <s v="Rig move at night - we are now permitting moves at night"/>
    <m/>
    <n v="2"/>
    <m/>
    <n v="12"/>
    <m/>
    <n v="2050"/>
    <n v="570.72"/>
    <n v="6015.72"/>
    <n v="303730.49999999988"/>
    <n v="114774.98000000001"/>
    <n v="761.48354430379743"/>
    <s v="LINK"/>
    <m/>
  </r>
  <r>
    <x v="11"/>
    <d v="2025-07-10T17:02:24"/>
    <s v="NS 5pm"/>
    <s v="SF25_DMET013"/>
    <m/>
    <s v="Dean Melville"/>
    <n v="3"/>
    <n v="390"/>
    <n v="7.9"/>
    <n v="27.5"/>
    <n v="19.600000000000001"/>
    <m/>
    <m/>
    <n v="0"/>
    <m/>
    <m/>
    <n v="0"/>
    <m/>
    <m/>
    <n v="0"/>
    <n v="19.600000000000001"/>
    <n v="3430.0000000000005"/>
    <n v="4025"/>
    <m/>
    <m/>
    <m/>
    <n v="8.75"/>
    <n v="2.25"/>
    <m/>
    <n v="1"/>
    <m/>
    <m/>
    <m/>
    <m/>
    <m/>
    <n v="12"/>
    <m/>
    <n v="1395"/>
    <n v="490.79999999999995"/>
    <n v="6300.8"/>
    <n v="310031.29999999987"/>
    <n v="121075.78000000001"/>
    <n v="321.46938775510205"/>
    <s v="LINK"/>
    <m/>
  </r>
  <r>
    <x v="11"/>
    <d v="2025-07-11T05:02:24"/>
    <s v="DS 5am"/>
    <s v="SF25_DMET013"/>
    <m/>
    <s v="Carl Jonas"/>
    <n v="4"/>
    <n v="520"/>
    <n v="27.5"/>
    <n v="45.5"/>
    <n v="18"/>
    <m/>
    <m/>
    <n v="0"/>
    <m/>
    <m/>
    <n v="0"/>
    <m/>
    <m/>
    <n v="0"/>
    <n v="18"/>
    <n v="3150"/>
    <n v="4140"/>
    <n v="1"/>
    <n v="1"/>
    <n v="13122"/>
    <n v="9"/>
    <n v="2.5"/>
    <m/>
    <n v="0.5"/>
    <m/>
    <m/>
    <m/>
    <m/>
    <m/>
    <n v="12"/>
    <m/>
    <n v="1330"/>
    <n v="269.72000000000003"/>
    <n v="6834.72"/>
    <n v="316866.01999999984"/>
    <n v="127910.50000000001"/>
    <n v="379.70666666666671"/>
    <s v="LINK"/>
    <m/>
  </r>
  <r>
    <x v="11"/>
    <d v="2025-07-11T17:02:24"/>
    <s v="NS 5pm"/>
    <s v="SF25_DMET013"/>
    <m/>
    <s v="Dean Melville"/>
    <n v="3"/>
    <n v="390"/>
    <n v="45.5"/>
    <n v="55.7"/>
    <n v="10.200000000000003"/>
    <m/>
    <m/>
    <n v="0"/>
    <m/>
    <m/>
    <n v="0"/>
    <m/>
    <m/>
    <n v="0"/>
    <n v="10.200000000000003"/>
    <n v="1785.0000000000005"/>
    <n v="4370"/>
    <m/>
    <m/>
    <m/>
    <n v="9.5"/>
    <n v="2"/>
    <m/>
    <n v="0.5"/>
    <m/>
    <m/>
    <m/>
    <m/>
    <m/>
    <n v="12"/>
    <m/>
    <n v="1100"/>
    <n v="117.93"/>
    <n v="5977.93"/>
    <n v="322843.94999999984"/>
    <n v="133888.43000000002"/>
    <n v="586.0715686274508"/>
    <s v="LINK"/>
    <m/>
  </r>
  <r>
    <x v="11"/>
    <d v="2025-07-12T05:02:24"/>
    <s v="DS 5am"/>
    <s v="SF25_DMET013"/>
    <m/>
    <s v="Carl Jonas"/>
    <n v="4"/>
    <n v="520"/>
    <n v="55.7"/>
    <n v="66.5"/>
    <n v="10.799999999999997"/>
    <m/>
    <m/>
    <n v="0"/>
    <m/>
    <m/>
    <n v="0"/>
    <m/>
    <m/>
    <n v="0"/>
    <n v="10.799999999999997"/>
    <n v="1889.9999999999995"/>
    <n v="4485"/>
    <n v="1"/>
    <n v="1"/>
    <n v="13122"/>
    <n v="9.75"/>
    <n v="1.5"/>
    <m/>
    <n v="0.5"/>
    <m/>
    <m/>
    <n v="0.25"/>
    <m/>
    <m/>
    <n v="12"/>
    <m/>
    <n v="870"/>
    <n v="269.72000000000003"/>
    <n v="6719.72"/>
    <n v="329563.66999999981"/>
    <n v="140608.15000000002"/>
    <n v="622.19629629629651"/>
    <s v="LINK"/>
    <m/>
  </r>
  <r>
    <x v="11"/>
    <d v="2025-07-12T17:02:24"/>
    <s v="NS 5pm"/>
    <s v="SF25_DMET013"/>
    <m/>
    <s v="Dean Melville"/>
    <n v="3"/>
    <n v="390"/>
    <n v="66.5"/>
    <n v="87.5"/>
    <n v="21"/>
    <m/>
    <m/>
    <n v="0"/>
    <m/>
    <m/>
    <n v="0"/>
    <m/>
    <m/>
    <n v="0"/>
    <n v="21"/>
    <n v="3675"/>
    <n v="4945"/>
    <m/>
    <m/>
    <m/>
    <n v="10.75"/>
    <n v="0.25"/>
    <m/>
    <n v="0.5"/>
    <m/>
    <m/>
    <n v="0.5"/>
    <m/>
    <m/>
    <n v="12"/>
    <m/>
    <n v="295"/>
    <n v="117.93"/>
    <n v="5747.93"/>
    <n v="335311.5999999998"/>
    <n v="146356.08000000002"/>
    <n v="273.71095238095239"/>
    <s v="LINK"/>
    <m/>
  </r>
  <r>
    <x v="11"/>
    <d v="2025-07-13T05:02:24"/>
    <s v="DS 5am"/>
    <s v="SF25_DMET013"/>
    <m/>
    <s v="Carl Jonas"/>
    <n v="4"/>
    <n v="520"/>
    <n v="87.5"/>
    <n v="90.5"/>
    <n v="3"/>
    <m/>
    <m/>
    <n v="0"/>
    <m/>
    <m/>
    <n v="0"/>
    <m/>
    <m/>
    <n v="0"/>
    <n v="3"/>
    <n v="525"/>
    <n v="525"/>
    <n v="1"/>
    <n v="1"/>
    <n v="13122"/>
    <n v="1"/>
    <n v="10.5"/>
    <s v="Rig Move"/>
    <n v="0.5"/>
    <m/>
    <m/>
    <m/>
    <m/>
    <m/>
    <n v="12"/>
    <m/>
    <n v="5010"/>
    <n v="0"/>
    <n v="6630"/>
    <n v="341941.5999999998"/>
    <n v="152986.08000000002"/>
    <n v="2210"/>
    <s v="LINK"/>
    <m/>
  </r>
  <r>
    <x v="11"/>
    <d v="2025-07-13T17:02:24"/>
    <s v="NS 5pm"/>
    <s v="SF25_DMET004"/>
    <m/>
    <s v="Dean Melville"/>
    <n v="3"/>
    <n v="390"/>
    <n v="66.400000000000006"/>
    <n v="80.900000000000006"/>
    <n v="14.5"/>
    <m/>
    <m/>
    <n v="0"/>
    <m/>
    <m/>
    <n v="0"/>
    <m/>
    <m/>
    <n v="0"/>
    <n v="14.5"/>
    <n v="2537.5"/>
    <n v="3450"/>
    <m/>
    <m/>
    <m/>
    <n v="7.5"/>
    <n v="3.75"/>
    <m/>
    <n v="0.75"/>
    <m/>
    <m/>
    <m/>
    <m/>
    <m/>
    <n v="12"/>
    <m/>
    <n v="1995"/>
    <n v="117.93"/>
    <n v="5952.93"/>
    <n v="347894.5299999998"/>
    <n v="158939.01"/>
    <n v="410.54689655172416"/>
    <s v="LINK"/>
    <s v="Pre-shift meeting, Pre-start equipment: finish setting up site, run poly to pad, run rods into hole to 60m ream barrel to 66.4m, start coring PQ3 gyro surveys. "/>
  </r>
  <r>
    <x v="11"/>
    <d v="2025-07-14T05:02:24"/>
    <s v="DS 5am"/>
    <s v="SF25_DMET004"/>
    <m/>
    <s v="Carl Jonas"/>
    <n v="3"/>
    <n v="390"/>
    <n v="80.900000000000006"/>
    <n v="93.6"/>
    <n v="12.699999999999989"/>
    <m/>
    <m/>
    <n v="0"/>
    <m/>
    <m/>
    <n v="0"/>
    <m/>
    <m/>
    <n v="0"/>
    <n v="12.699999999999989"/>
    <n v="2222.4999999999982"/>
    <n v="4140"/>
    <n v="1"/>
    <n v="1"/>
    <n v="13122"/>
    <n v="9"/>
    <n v="2.5"/>
    <m/>
    <n v="0.5"/>
    <m/>
    <m/>
    <m/>
    <m/>
    <m/>
    <n v="12"/>
    <m/>
    <n v="1330"/>
    <n v="220"/>
    <n v="6655"/>
    <n v="354549.5299999998"/>
    <n v="165594.01"/>
    <n v="524.01574803149651"/>
    <s v="LINK"/>
    <s v="Pre-shift meeting, Pre-start all equipment, continue drilling PQ3, pull out rods for bit change due to warn bit, run rods back in with rod grease, continue drilling PQ3 "/>
  </r>
  <r>
    <x v="11"/>
    <d v="2025-07-14T17:02:24"/>
    <s v="NS 5pm"/>
    <s v="SF25_DMET004"/>
    <m/>
    <s v="Dean Melville"/>
    <n v="3"/>
    <n v="390"/>
    <n v="93.6"/>
    <n v="117.6"/>
    <n v="24"/>
    <m/>
    <m/>
    <n v="0"/>
    <m/>
    <m/>
    <n v="0"/>
    <m/>
    <m/>
    <n v="0"/>
    <n v="24"/>
    <n v="4200"/>
    <n v="4945"/>
    <m/>
    <m/>
    <m/>
    <n v="10.75"/>
    <n v="0.5"/>
    <m/>
    <n v="0.75"/>
    <m/>
    <m/>
    <m/>
    <m/>
    <m/>
    <n v="12"/>
    <m/>
    <n v="500"/>
    <n v="236.49"/>
    <n v="6071.49"/>
    <n v="360621.01999999979"/>
    <n v="171665.5"/>
    <n v="252.97874999999999"/>
    <s v="LINK"/>
    <m/>
  </r>
  <r>
    <x v="11"/>
    <d v="2025-07-15T05:02:24"/>
    <s v="DS 5am"/>
    <s v="SF25_DMET004"/>
    <s v="SF25_DMET005"/>
    <s v="Carl Jonas"/>
    <n v="3"/>
    <n v="390"/>
    <n v="117.6"/>
    <n v="120.2"/>
    <n v="2.6000000000000085"/>
    <m/>
    <m/>
    <n v="0"/>
    <n v="0"/>
    <n v="7.7"/>
    <n v="7.7"/>
    <m/>
    <m/>
    <n v="0"/>
    <n v="10.300000000000008"/>
    <n v="1802.5000000000014"/>
    <n v="1840"/>
    <n v="1"/>
    <n v="1"/>
    <n v="13122"/>
    <n v="4"/>
    <n v="7.5"/>
    <m/>
    <n v="0.5"/>
    <m/>
    <m/>
    <m/>
    <m/>
    <m/>
    <n v="12"/>
    <m/>
    <n v="3630"/>
    <n v="277.39999999999998"/>
    <n v="6712.4"/>
    <n v="367333.41999999981"/>
    <n v="178377.9"/>
    <n v="651.68932038834896"/>
    <s v="LINK"/>
    <s v="Continue drilling PQ3, pull out rods EOH in 3m lengths, mast down and move rig forward and line up for next hole DMET005, start the hole PQ3, rock roll hole for PVC colar"/>
  </r>
  <r>
    <x v="11"/>
    <d v="2025-07-15T17:02:24"/>
    <s v="NS 5pm"/>
    <s v="SF25_DMET005"/>
    <m/>
    <s v="Dean Melville"/>
    <n v="3"/>
    <n v="390"/>
    <n v="7.7"/>
    <n v="21.5"/>
    <n v="13.8"/>
    <m/>
    <m/>
    <n v="0"/>
    <m/>
    <m/>
    <n v="0"/>
    <m/>
    <m/>
    <n v="0"/>
    <n v="13.8"/>
    <n v="2415"/>
    <n v="2415"/>
    <m/>
    <m/>
    <m/>
    <n v="5.25"/>
    <n v="1"/>
    <s v="crew change"/>
    <n v="2.75"/>
    <m/>
    <s v="cement PVC collar"/>
    <n v="3"/>
    <m/>
    <m/>
    <n v="12"/>
    <m/>
    <n v="1450"/>
    <n v="3105.93"/>
    <n v="7360.93"/>
    <n v="374694.3499999998"/>
    <n v="185738.83"/>
    <n v="533.40072463768115"/>
    <s v="LINK"/>
    <s v="Install PVC collar, cement in place, continue drilling HQ3 core, flush hole end of shift for crew change. "/>
  </r>
  <r>
    <x v="11"/>
    <d v="2025-07-16T05:02:24"/>
    <s v="DS 5am"/>
    <s v="SF25_DMET005"/>
    <m/>
    <s v="Nicholas Nakovics"/>
    <n v="3"/>
    <n v="390"/>
    <n v="21.5"/>
    <n v="21.5"/>
    <n v="0"/>
    <m/>
    <m/>
    <n v="0"/>
    <m/>
    <m/>
    <n v="0"/>
    <m/>
    <m/>
    <n v="0"/>
    <n v="0"/>
    <n v="0"/>
    <n v="0"/>
    <n v="1"/>
    <n v="1"/>
    <n v="13122"/>
    <n v="0"/>
    <n v="0.5"/>
    <s v="crew change"/>
    <n v="0.75"/>
    <m/>
    <m/>
    <n v="9"/>
    <n v="1.75"/>
    <m/>
    <n v="12"/>
    <m/>
    <n v="500"/>
    <m/>
    <n v="1465"/>
    <n v="376159.3499999998"/>
    <n v="187203.83"/>
    <e v="#DIV/0!"/>
    <s v="LINK"/>
    <s v="Crew Change pick up stores, dump rubbish, pick up food order, changeover gas bottles,  Run in 6m rods, Seat tube. Maintenance leaking fuel filter adjust wireline arcemedies "/>
  </r>
  <r>
    <x v="11"/>
    <d v="2025-07-16T17:02:24"/>
    <s v="NS 5pm"/>
    <s v="SF25_DMET005"/>
    <m/>
    <s v="Carl Jonas"/>
    <n v="3"/>
    <n v="390"/>
    <n v="21.5"/>
    <n v="54.5"/>
    <n v="33"/>
    <m/>
    <m/>
    <n v="0"/>
    <m/>
    <m/>
    <n v="0"/>
    <m/>
    <m/>
    <n v="0"/>
    <n v="33"/>
    <n v="5775"/>
    <n v="5775"/>
    <m/>
    <m/>
    <m/>
    <n v="9.75"/>
    <n v="1.75"/>
    <m/>
    <n v="0.5"/>
    <m/>
    <m/>
    <m/>
    <m/>
    <m/>
    <n v="12"/>
    <m/>
    <n v="985"/>
    <n v="117.93"/>
    <n v="7267.93"/>
    <n v="383427.2799999998"/>
    <n v="194471.75999999998"/>
    <n v="220.24030303030304"/>
    <s v="LINK"/>
    <s v="Condition hole sumps are small so there's a lot of cuttings, continue drilling PQ3, survey @36M, continue drilling PQ3"/>
  </r>
  <r>
    <x v="11"/>
    <d v="2025-07-17T05:02:24"/>
    <s v="DS 5am"/>
    <s v="SF25_DMET005"/>
    <m/>
    <s v="Nicholas Nakovics"/>
    <n v="3"/>
    <n v="390"/>
    <n v="54.5"/>
    <n v="75.2"/>
    <n v="20.700000000000003"/>
    <m/>
    <m/>
    <n v="0"/>
    <m/>
    <m/>
    <n v="0"/>
    <m/>
    <m/>
    <n v="0"/>
    <n v="20.700000000000003"/>
    <n v="3622.5000000000005"/>
    <n v="4600"/>
    <n v="1"/>
    <n v="1"/>
    <n v="13122"/>
    <n v="10"/>
    <n v="1.25"/>
    <m/>
    <n v="0.75"/>
    <m/>
    <m/>
    <m/>
    <m/>
    <m/>
    <n v="12"/>
    <m/>
    <n v="845"/>
    <m/>
    <n v="6410"/>
    <n v="389837.2799999998"/>
    <n v="200881.75999999998"/>
    <n v="309.66183574879221"/>
    <s v="LINK"/>
    <s v="Drill PQ3, Survey @ 54m. Bit change due to ground conditions, drill PQ3"/>
  </r>
  <r>
    <x v="11"/>
    <d v="2025-07-17T17:02:24"/>
    <s v="NS 5pm"/>
    <s v="SF25_DMET005"/>
    <m/>
    <s v="Carl Jonas"/>
    <n v="3"/>
    <n v="390"/>
    <n v="75.2"/>
    <n v="86.7"/>
    <n v="11.5"/>
    <m/>
    <m/>
    <n v="0"/>
    <m/>
    <m/>
    <n v="0"/>
    <m/>
    <m/>
    <n v="0"/>
    <n v="11.5"/>
    <n v="2012.5"/>
    <n v="4140"/>
    <m/>
    <m/>
    <m/>
    <n v="9"/>
    <n v="2.5"/>
    <m/>
    <n v="0.5"/>
    <m/>
    <m/>
    <m/>
    <m/>
    <m/>
    <n v="12"/>
    <m/>
    <n v="1330"/>
    <n v="337.93"/>
    <n v="6197.93"/>
    <n v="396035.20999999979"/>
    <n v="207079.68999999997"/>
    <n v="538.95043478260868"/>
    <s v="LINK"/>
    <s v="condition hole sumps are small so there's a lot of cuttings, continue drilling PQ3, pull out for bit inspection and to grease rods, survey @ 72m, continue drilling PQ3 hard broken ground, condition hole"/>
  </r>
  <r>
    <x v="11"/>
    <d v="2025-07-18T05:02:24"/>
    <s v="DS 5am"/>
    <s v="SF25_DMET005"/>
    <m/>
    <s v="Nicholas Nakovics"/>
    <n v="3"/>
    <n v="390"/>
    <n v="86.7"/>
    <n v="108.5"/>
    <n v="21.799999999999997"/>
    <m/>
    <m/>
    <n v="0"/>
    <m/>
    <m/>
    <n v="0"/>
    <m/>
    <m/>
    <n v="0"/>
    <n v="21.799999999999997"/>
    <n v="3814.9999999999995"/>
    <n v="4600"/>
    <n v="1"/>
    <n v="1"/>
    <n v="13122"/>
    <n v="10"/>
    <n v="1.25"/>
    <m/>
    <n v="0.75"/>
    <m/>
    <m/>
    <m/>
    <m/>
    <m/>
    <n v="12"/>
    <m/>
    <n v="845"/>
    <n v="117.93"/>
    <n v="6527.93"/>
    <n v="402563.13999999978"/>
    <n v="213607.61999999997"/>
    <n v="299.4463302752294"/>
    <s v="LINK"/>
    <s v="Drill PQ3 /Survey @90 / Bit Change worn bit / Drill PQ3 "/>
  </r>
  <r>
    <x v="11"/>
    <d v="2025-07-18T17:02:24"/>
    <s v="NS 5pm"/>
    <s v="SF25_DMET005"/>
    <m/>
    <s v="Carl Jonas"/>
    <n v="3"/>
    <n v="390"/>
    <n v="108.5"/>
    <n v="120.5"/>
    <n v="12"/>
    <m/>
    <m/>
    <n v="0"/>
    <m/>
    <m/>
    <n v="0"/>
    <m/>
    <m/>
    <n v="0"/>
    <n v="12"/>
    <n v="2100"/>
    <n v="2100"/>
    <m/>
    <m/>
    <m/>
    <n v="3.5"/>
    <n v="8"/>
    <m/>
    <n v="0.5"/>
    <m/>
    <m/>
    <m/>
    <m/>
    <m/>
    <n v="12"/>
    <m/>
    <n v="3860"/>
    <n v="117.93"/>
    <n v="6467.93"/>
    <n v="409031.06999999977"/>
    <n v="220075.54999999996"/>
    <n v="538.99416666666673"/>
    <s v="LINK"/>
    <s v="Condition hole sumps are small so there's a lot of cuttings, continue drilling PQ3,survey @108m, survey @120m EOH, pull out all rods EOH, mast down and move rig, mast up and align for new hole, set up drill pad "/>
  </r>
  <r>
    <x v="12"/>
    <d v="2025-07-19T05:02:24"/>
    <s v="DS 5am"/>
    <s v="SF25_DDGT003"/>
    <m/>
    <s v="Nicholas Nakovics"/>
    <n v="3"/>
    <n v="390"/>
    <m/>
    <m/>
    <n v="0"/>
    <n v="0"/>
    <n v="30.6"/>
    <n v="30.6"/>
    <m/>
    <m/>
    <n v="0"/>
    <m/>
    <m/>
    <n v="0"/>
    <n v="30.6"/>
    <n v="4131"/>
    <n v="4370"/>
    <n v="1"/>
    <n v="1"/>
    <n v="13122"/>
    <n v="9.5"/>
    <n v="1.25"/>
    <m/>
    <n v="1.25"/>
    <m/>
    <m/>
    <m/>
    <m/>
    <m/>
    <n v="12"/>
    <m/>
    <n v="1025"/>
    <m/>
    <n v="6360"/>
    <n v="415391.06999999977"/>
    <n v="226435.54999999996"/>
    <n v="207.84313725490196"/>
    <s v="LINK"/>
    <s v="Site set up / Start of hole Drill Hq3 / Reaming PQ ream over to 3.1m case off / Continue drilling HQ3 / Survey @18m"/>
  </r>
  <r>
    <x v="12"/>
    <d v="2025-07-19T17:02:24"/>
    <s v="NS 5pm"/>
    <s v="SF25_DDGT003"/>
    <m/>
    <s v="Carl Jonas"/>
    <n v="3"/>
    <n v="390"/>
    <m/>
    <m/>
    <n v="0"/>
    <n v="30.6"/>
    <n v="60.6"/>
    <n v="30"/>
    <m/>
    <m/>
    <n v="0"/>
    <m/>
    <m/>
    <n v="0"/>
    <n v="30"/>
    <n v="4050"/>
    <n v="4140"/>
    <m/>
    <m/>
    <m/>
    <n v="9"/>
    <n v="2.5"/>
    <m/>
    <n v="0.5"/>
    <m/>
    <m/>
    <m/>
    <m/>
    <m/>
    <n v="12"/>
    <m/>
    <n v="1330"/>
    <n v="117.93"/>
    <n v="5977.93"/>
    <n v="421368.99999999977"/>
    <n v="232413.47999999995"/>
    <n v="199.26433333333335"/>
    <s v="LINK"/>
    <s v="condition hole sumps are small so there's a lot of cuttings, continue drilling HQ3,survey@36m, continue drilling, survey @54m, continue drilling HQ3, condition hole"/>
  </r>
  <r>
    <x v="12"/>
    <d v="2025-07-20T05:02:24"/>
    <s v="DS 5am"/>
    <s v="SF25_DDGT003"/>
    <m/>
    <s v="Nicholas Nakovics"/>
    <n v="3"/>
    <n v="390"/>
    <m/>
    <m/>
    <n v="0"/>
    <n v="60.6"/>
    <n v="90.6"/>
    <n v="29.999999999999993"/>
    <m/>
    <m/>
    <n v="0"/>
    <m/>
    <m/>
    <n v="0"/>
    <n v="29.999999999999993"/>
    <n v="4049.9999999999991"/>
    <n v="4830"/>
    <n v="1"/>
    <n v="1"/>
    <n v="13122"/>
    <n v="10.5"/>
    <n v="0.25"/>
    <m/>
    <n v="0.75"/>
    <m/>
    <m/>
    <n v="0.5"/>
    <m/>
    <m/>
    <n v="12"/>
    <m/>
    <n v="385"/>
    <m/>
    <n v="6180"/>
    <n v="427548.99999999977"/>
    <n v="238593.47999999995"/>
    <n v="206.00000000000006"/>
    <s v="LINK"/>
    <s v="Continue drilling HQ3 / Survey @72m / toolbox"/>
  </r>
  <r>
    <x v="12"/>
    <d v="2025-07-20T17:02:24"/>
    <s v="NS 5pm"/>
    <s v="SF25_DDGT003"/>
    <m/>
    <s v="Carl Jonas"/>
    <n v="3"/>
    <n v="390"/>
    <m/>
    <m/>
    <n v="0"/>
    <n v="90.6"/>
    <n v="110"/>
    <n v="19.400000000000006"/>
    <m/>
    <m/>
    <n v="0"/>
    <m/>
    <m/>
    <n v="0"/>
    <n v="19.400000000000006"/>
    <n v="2619.0000000000009"/>
    <n v="2645"/>
    <m/>
    <m/>
    <m/>
    <n v="5.75"/>
    <n v="5.25"/>
    <m/>
    <n v="0.5"/>
    <m/>
    <m/>
    <n v="0.5"/>
    <m/>
    <m/>
    <n v="12"/>
    <m/>
    <n v="2595"/>
    <n v="117.93"/>
    <n v="5747.93"/>
    <n v="433296.92999999976"/>
    <n v="244341.40999999995"/>
    <n v="296.28505154639168"/>
    <s v="LINK"/>
    <s v="Continue Drilling HQ3 / Survey @108m, pull out all rods EOH, rig down, pack up site, rig move to next pad, rig up, survey @0m, set up site"/>
  </r>
  <r>
    <x v="12"/>
    <d v="2025-07-21T05:02:24"/>
    <s v="DS 5am"/>
    <s v="SF25_DDGT004"/>
    <m/>
    <s v="Nicholas Nakovics"/>
    <n v="3"/>
    <n v="390"/>
    <m/>
    <m/>
    <n v="0"/>
    <n v="0"/>
    <n v="30.6"/>
    <n v="30.6"/>
    <m/>
    <m/>
    <n v="0"/>
    <m/>
    <m/>
    <n v="0"/>
    <n v="30.6"/>
    <n v="4131"/>
    <n v="4830"/>
    <n v="1"/>
    <n v="1"/>
    <n v="13122"/>
    <n v="10.5"/>
    <n v="0.75"/>
    <m/>
    <n v="0.75"/>
    <m/>
    <m/>
    <m/>
    <m/>
    <m/>
    <n v="12"/>
    <m/>
    <n v="615"/>
    <m/>
    <n v="6410"/>
    <n v="439706.92999999976"/>
    <n v="250751.40999999995"/>
    <n v="209.47712418300654"/>
    <s v="LINK"/>
    <s v="Drill HQ3 / Ream in PQ casing / Seat casing / Drill HQ3 / Survey @18m"/>
  </r>
  <r>
    <x v="12"/>
    <d v="2025-07-21T17:02:24"/>
    <s v="NS 5pm"/>
    <s v="SF25_DDGT004"/>
    <m/>
    <s v="Carl Jonas"/>
    <n v="3"/>
    <n v="390"/>
    <m/>
    <m/>
    <n v="0"/>
    <n v="30.6"/>
    <n v="60.6"/>
    <n v="30"/>
    <m/>
    <m/>
    <n v="0"/>
    <m/>
    <m/>
    <n v="0"/>
    <n v="30"/>
    <n v="4050"/>
    <n v="4600"/>
    <m/>
    <m/>
    <m/>
    <n v="10"/>
    <n v="1.5"/>
    <m/>
    <n v="0.5"/>
    <m/>
    <m/>
    <m/>
    <m/>
    <m/>
    <n v="12"/>
    <m/>
    <n v="870"/>
    <n v="117.93"/>
    <n v="5977.93"/>
    <n v="445684.85999999975"/>
    <n v="256729.33999999994"/>
    <n v="199.26433333333335"/>
    <s v="LINK"/>
    <s v="Condition hole/ continue Drilling HQ3 / survey @36m/ continue drilling HQ3/ survey @54m/ continue drilling HQ3/ condition hole"/>
  </r>
  <r>
    <x v="12"/>
    <d v="2025-07-22T05:02:24"/>
    <s v="DS 5am"/>
    <s v="SF25_DDGT004"/>
    <m/>
    <s v="Nicholas Nakovics"/>
    <n v="3"/>
    <n v="390"/>
    <m/>
    <m/>
    <n v="0"/>
    <n v="60.6"/>
    <n v="90.6"/>
    <n v="29.999999999999993"/>
    <m/>
    <m/>
    <n v="0"/>
    <m/>
    <m/>
    <n v="0"/>
    <n v="29.999999999999993"/>
    <n v="4049.9999999999991"/>
    <n v="5060"/>
    <n v="1"/>
    <n v="1"/>
    <n v="13122"/>
    <n v="11"/>
    <n v="0.25"/>
    <m/>
    <n v="0.75"/>
    <m/>
    <m/>
    <m/>
    <m/>
    <m/>
    <n v="12"/>
    <m/>
    <n v="385"/>
    <m/>
    <n v="6410"/>
    <n v="452094.85999999975"/>
    <n v="263139.33999999997"/>
    <n v="213.66666666666671"/>
    <s v="LINK"/>
    <s v="Drill HQ3 / Survey @72m"/>
  </r>
  <r>
    <x v="12"/>
    <d v="2025-07-22T17:02:24"/>
    <s v="NS 5pm"/>
    <s v="SF25_DDGT004"/>
    <m/>
    <s v="Carl Jonas"/>
    <n v="3"/>
    <n v="390"/>
    <m/>
    <m/>
    <n v="0"/>
    <n v="90.6"/>
    <n v="110"/>
    <n v="19.400000000000006"/>
    <m/>
    <m/>
    <n v="0"/>
    <m/>
    <m/>
    <n v="0"/>
    <n v="19.400000000000006"/>
    <n v="2619.0000000000009"/>
    <n v="3220"/>
    <m/>
    <m/>
    <m/>
    <n v="7"/>
    <n v="4.5"/>
    <m/>
    <n v="0.5"/>
    <m/>
    <m/>
    <m/>
    <m/>
    <m/>
    <n v="12"/>
    <m/>
    <n v="2250"/>
    <n v="117.93"/>
    <n v="5977.93"/>
    <n v="458072.78999999975"/>
    <n v="269117.26999999996"/>
    <n v="308.14072164948448"/>
    <s v="LINK"/>
    <s v="continue Drilling HQ3 / survey @90m / continue drilling HQ3/ survey @108m EOH, pull out rods and casing/ rig down/ pack up drill site/ move to next pad and start setting up."/>
  </r>
  <r>
    <x v="12"/>
    <d v="2025-07-23T05:02:24"/>
    <s v="DS 5am"/>
    <s v="SF25_DDGT007"/>
    <m/>
    <s v="Nicholas Nakovics"/>
    <n v="3"/>
    <n v="390"/>
    <m/>
    <m/>
    <n v="0"/>
    <n v="0"/>
    <n v="11.9"/>
    <n v="11.9"/>
    <m/>
    <m/>
    <n v="0"/>
    <m/>
    <m/>
    <n v="0"/>
    <n v="11.9"/>
    <n v="1606.5"/>
    <n v="2990"/>
    <n v="1"/>
    <n v="1"/>
    <n v="13122"/>
    <n v="6.5"/>
    <n v="4.75"/>
    <m/>
    <n v="0.75"/>
    <m/>
    <m/>
    <m/>
    <m/>
    <m/>
    <n v="12"/>
    <m/>
    <n v="2455"/>
    <m/>
    <n v="6410"/>
    <n v="464482.78999999975"/>
    <n v="275527.26999999996"/>
    <n v="538.65546218487395"/>
    <s v="LINK"/>
    <s v="Line up rig / Surface Shot / Site set-up / Site inspection / Drill Hq3 / PQ reaming to 6.1m / pullout for core in barrel/"/>
  </r>
  <r>
    <x v="12"/>
    <d v="2025-07-23T17:02:24"/>
    <s v="NS 5pm"/>
    <s v="SF25_DDGT007"/>
    <m/>
    <s v="Carl Jonas"/>
    <n v="3"/>
    <n v="390"/>
    <m/>
    <m/>
    <n v="0"/>
    <n v="11.9"/>
    <n v="42.4"/>
    <n v="30.5"/>
    <m/>
    <m/>
    <n v="0"/>
    <m/>
    <m/>
    <n v="0"/>
    <n v="30.5"/>
    <n v="4117.5"/>
    <n v="4370"/>
    <m/>
    <m/>
    <m/>
    <n v="9.5"/>
    <n v="2"/>
    <m/>
    <n v="0.5"/>
    <m/>
    <m/>
    <m/>
    <m/>
    <m/>
    <n v="12"/>
    <m/>
    <n v="1100"/>
    <n v="138.69999999999999"/>
    <n v="5998.7"/>
    <n v="470481.48999999976"/>
    <n v="281525.96999999997"/>
    <n v="196.67868852459017"/>
    <s v="LINK"/>
    <s v="run in barrel ream to bottom/ continue Drilling HQ3 / pull out rods for bit change/ run rods in Ream to bottom/ survey @18m/ continue drilling HQ3/ survey @36m/ continue drilling HQ3"/>
  </r>
  <r>
    <x v="12"/>
    <d v="2025-07-24T05:02:24"/>
    <s v="DS 5am"/>
    <s v="SF25_DDGT007"/>
    <m/>
    <s v="Nicholas Nakovics"/>
    <n v="3"/>
    <n v="390"/>
    <m/>
    <m/>
    <n v="0"/>
    <n v="42.4"/>
    <n v="72.400000000000006"/>
    <n v="30.000000000000007"/>
    <m/>
    <m/>
    <n v="0"/>
    <m/>
    <m/>
    <n v="0"/>
    <n v="30"/>
    <n v="4050.0000000000009"/>
    <n v="5060"/>
    <n v="1"/>
    <n v="1"/>
    <n v="13122"/>
    <n v="11"/>
    <n v="0.25"/>
    <m/>
    <n v="0.75"/>
    <m/>
    <m/>
    <m/>
    <m/>
    <m/>
    <n v="12"/>
    <m/>
    <n v="385"/>
    <m/>
    <n v="6410"/>
    <n v="476891.48999999976"/>
    <n v="287935.96999999997"/>
    <n v="213.66666666666666"/>
    <s v="LINK"/>
    <s v="Drill Hq3 / Survey"/>
  </r>
  <r>
    <x v="12"/>
    <d v="2025-07-24T17:02:24"/>
    <s v="NS 5pm"/>
    <s v="SF25_DDGT007"/>
    <m/>
    <s v="Carl Jonas"/>
    <n v="3"/>
    <n v="390"/>
    <m/>
    <m/>
    <n v="0"/>
    <n v="72.400000000000006"/>
    <n v="102.4"/>
    <n v="30"/>
    <m/>
    <m/>
    <n v="0"/>
    <m/>
    <m/>
    <n v="0"/>
    <n v="30"/>
    <n v="4050"/>
    <n v="4600"/>
    <m/>
    <m/>
    <m/>
    <n v="10"/>
    <n v="1.5"/>
    <m/>
    <n v="0.5"/>
    <m/>
    <m/>
    <m/>
    <m/>
    <m/>
    <n v="12"/>
    <m/>
    <n v="870"/>
    <n v="138.69999999999999"/>
    <n v="5998.7"/>
    <n v="482890.18999999977"/>
    <n v="293934.67"/>
    <n v="199.95666666666665"/>
    <s v="LINK"/>
    <s v="condition hole due to sumps being full of cuttings /continue Drilling HQ3 / survey@72m/ continue drilling HQ3/ survey@90m/ continue drilling HQ3/ condition hole"/>
  </r>
  <r>
    <x v="12"/>
    <d v="2025-07-25T05:02:24"/>
    <s v="DS 5am"/>
    <s v="SF25_DDGT007"/>
    <m/>
    <s v="Nicholas Nakovics"/>
    <n v="3"/>
    <n v="390"/>
    <m/>
    <m/>
    <n v="0"/>
    <n v="102.4"/>
    <n v="120"/>
    <n v="17.599999999999994"/>
    <m/>
    <m/>
    <n v="0"/>
    <m/>
    <m/>
    <n v="0"/>
    <n v="17.599999999999994"/>
    <n v="2375.9999999999991"/>
    <n v="2375.9999999999991"/>
    <n v="1"/>
    <n v="1"/>
    <n v="13122"/>
    <n v="4"/>
    <n v="7.25"/>
    <m/>
    <n v="0.75"/>
    <m/>
    <m/>
    <m/>
    <m/>
    <m/>
    <n v="12"/>
    <m/>
    <n v="3605"/>
    <m/>
    <n v="6945.9999999999991"/>
    <n v="489836.18999999977"/>
    <n v="300880.67"/>
    <n v="394.65909090909099"/>
    <s v="LINK"/>
    <s v="Drill Hq3 / Survey@114 / E.O.H / pull out rods and casing/ rig down/ pack up drill site/ Move between holes / rig aligned / Site set-up / surface shot 0m /"/>
  </r>
  <r>
    <x v="12"/>
    <d v="2025-07-25T17:02:24"/>
    <s v="NS 5pm"/>
    <s v="SF25_DDGT008"/>
    <m/>
    <s v="Carl Jonas"/>
    <n v="3"/>
    <n v="390"/>
    <m/>
    <m/>
    <n v="0"/>
    <n v="0"/>
    <n v="18.5"/>
    <n v="18.5"/>
    <m/>
    <m/>
    <n v="0"/>
    <m/>
    <m/>
    <n v="0"/>
    <n v="18.5"/>
    <n v="2497.5"/>
    <n v="4370"/>
    <m/>
    <m/>
    <m/>
    <n v="9.5"/>
    <n v="2"/>
    <m/>
    <n v="0.5"/>
    <m/>
    <m/>
    <m/>
    <m/>
    <m/>
    <n v="12"/>
    <m/>
    <n v="1100"/>
    <n v="138.69999999999999"/>
    <n v="5998.7"/>
    <n v="495834.88999999978"/>
    <n v="306879.37"/>
    <n v="324.25405405405405"/>
    <s v="LINK"/>
    <s v="Drill HQ3, ream 3m PQ casing, continue drilling HQ3, pull out for bit change, run rods in, continue drilling HQ3"/>
  </r>
  <r>
    <x v="12"/>
    <d v="2025-07-26T05:02:24"/>
    <s v="DS 5am"/>
    <s v="SF25_DDGT008"/>
    <m/>
    <s v="Nicholas Nakovics"/>
    <n v="3"/>
    <n v="390"/>
    <m/>
    <m/>
    <n v="0"/>
    <n v="18.5"/>
    <n v="48.5"/>
    <n v="30"/>
    <m/>
    <m/>
    <n v="0"/>
    <m/>
    <m/>
    <n v="0"/>
    <n v="30"/>
    <n v="4050"/>
    <n v="4945"/>
    <n v="1"/>
    <n v="1"/>
    <n v="13122"/>
    <n v="10.75"/>
    <n v="0.5"/>
    <m/>
    <n v="0.75"/>
    <m/>
    <m/>
    <m/>
    <m/>
    <m/>
    <n v="12"/>
    <m/>
    <n v="500"/>
    <m/>
    <n v="6410"/>
    <n v="502244.88999999978"/>
    <n v="313289.37"/>
    <n v="213.66666666666666"/>
    <s v="LINK"/>
    <s v="Drill Hq3 / Survey @18, 36"/>
  </r>
  <r>
    <x v="12"/>
    <d v="2025-07-26T17:02:24"/>
    <s v="NS 5pm"/>
    <s v="SF25_DDGT008"/>
    <m/>
    <s v="Carl Jonas"/>
    <n v="3"/>
    <n v="390"/>
    <m/>
    <m/>
    <n v="0"/>
    <n v="48.5"/>
    <n v="78.5"/>
    <n v="30"/>
    <m/>
    <m/>
    <n v="0"/>
    <m/>
    <m/>
    <n v="0"/>
    <n v="30"/>
    <n v="4050"/>
    <n v="4830"/>
    <m/>
    <m/>
    <m/>
    <n v="10.5"/>
    <n v="1"/>
    <m/>
    <n v="0.5"/>
    <m/>
    <m/>
    <m/>
    <m/>
    <m/>
    <n v="12"/>
    <m/>
    <n v="640"/>
    <m/>
    <n v="5860"/>
    <n v="508104.88999999978"/>
    <n v="319149.37"/>
    <n v="195.33333333333334"/>
    <s v="LINK"/>
    <s v="condition hole/ continue drilling HQ3/ survey @54m/ continue drilling HQ3/ survey @72m/ continue drilling HQ3/ condition hole"/>
  </r>
  <r>
    <x v="12"/>
    <d v="2025-07-27T05:02:24"/>
    <s v="DS 5am"/>
    <s v="SF25_DDGT008"/>
    <m/>
    <s v="Nicholas Nakovics"/>
    <n v="3"/>
    <n v="390"/>
    <m/>
    <m/>
    <n v="0"/>
    <n v="78.5"/>
    <n v="108.5"/>
    <n v="30"/>
    <m/>
    <m/>
    <n v="0"/>
    <m/>
    <m/>
    <n v="0"/>
    <n v="30"/>
    <n v="4050"/>
    <n v="4830"/>
    <n v="1"/>
    <n v="1"/>
    <n v="13122"/>
    <n v="10.5"/>
    <n v="0.25"/>
    <m/>
    <n v="0.75"/>
    <m/>
    <m/>
    <n v="0.5"/>
    <m/>
    <m/>
    <n v="12"/>
    <m/>
    <n v="385"/>
    <m/>
    <n v="6180"/>
    <n v="514284.88999999978"/>
    <n v="325329.37"/>
    <n v="206"/>
    <s v="LINK"/>
    <s v="Drill Hq3 / Survey @90m / Toolbox at EOS"/>
  </r>
  <r>
    <x v="12"/>
    <d v="2025-07-27T17:02:24"/>
    <s v="NS 5pm"/>
    <s v="SF25_DDGT008"/>
    <m/>
    <s v="Carl Jonas"/>
    <n v="3"/>
    <n v="390"/>
    <m/>
    <m/>
    <n v="0"/>
    <n v="108.5"/>
    <n v="130"/>
    <n v="21.5"/>
    <m/>
    <m/>
    <n v="0"/>
    <m/>
    <m/>
    <n v="0"/>
    <n v="21.5"/>
    <n v="2902.5"/>
    <n v="2902.5"/>
    <m/>
    <m/>
    <m/>
    <n v="6"/>
    <n v="5"/>
    <m/>
    <n v="0.5"/>
    <m/>
    <m/>
    <n v="0.5"/>
    <m/>
    <m/>
    <n v="12"/>
    <m/>
    <n v="2480"/>
    <m/>
    <n v="5772.5"/>
    <n v="520057.38999999978"/>
    <n v="331101.87"/>
    <n v="268.48837209302326"/>
    <s v="LINK"/>
    <s v="Toolbox at SOS, continue drilling HQ3 / survey @108m continue drilling HQ3/ survey @126m/ pull rods out EOH/ pull casing/ rig down pack up site/ move all equipment and rig to next pad. "/>
  </r>
  <r>
    <x v="11"/>
    <d v="2025-07-28T05:02:24"/>
    <s v="DS 5am"/>
    <s v="SF25_DMET014"/>
    <m/>
    <s v="Nicholas Nakovics"/>
    <n v="3"/>
    <n v="390"/>
    <n v="0"/>
    <n v="18.2"/>
    <n v="18.2"/>
    <m/>
    <m/>
    <n v="0"/>
    <m/>
    <m/>
    <n v="0"/>
    <m/>
    <m/>
    <n v="0"/>
    <n v="18.2"/>
    <n v="3185"/>
    <n v="3185"/>
    <n v="1"/>
    <n v="1"/>
    <n v="13122"/>
    <n v="6.25"/>
    <n v="4.75"/>
    <m/>
    <n v="1"/>
    <m/>
    <m/>
    <m/>
    <m/>
    <m/>
    <n v="12"/>
    <m/>
    <n v="2545"/>
    <n v="396.12"/>
    <n v="7091.12"/>
    <n v="527148.50999999978"/>
    <n v="338192.99"/>
    <n v="389.62197802197801"/>
    <s v="LINK"/>
    <s v="Pré-shift meeting, Pre-start equipment / Rigging up / Surface shot / Site set-up / Drill PQ3 / Pullout / Open hole with rock roller / PVC collar hole / Run in 3m PQ barrel / Drill PQ"/>
  </r>
  <r>
    <x v="11"/>
    <d v="2025-07-28T17:02:24"/>
    <s v="NS 5pm"/>
    <s v="SF25_DMET014"/>
    <m/>
    <s v="Carl Jonas"/>
    <n v="3"/>
    <n v="390"/>
    <n v="18.2"/>
    <n v="39.200000000000003"/>
    <n v="21.000000000000004"/>
    <m/>
    <m/>
    <n v="0"/>
    <m/>
    <m/>
    <n v="0"/>
    <m/>
    <m/>
    <n v="0"/>
    <n v="21.000000000000004"/>
    <n v="3675.0000000000005"/>
    <n v="4370"/>
    <m/>
    <m/>
    <m/>
    <n v="9.5"/>
    <n v="2"/>
    <m/>
    <n v="0.5"/>
    <m/>
    <m/>
    <m/>
    <m/>
    <m/>
    <n v="12"/>
    <m/>
    <n v="1100"/>
    <n v="357.5"/>
    <n v="6217.5"/>
    <n v="533366.00999999978"/>
    <n v="344410.49"/>
    <n v="296.0714285714285"/>
    <s v="LINK"/>
    <s v="Pre-shift meeting, Pre-start all equipment / continue drilling PQ3 / survey @18m continue drilling PQ3/pulled rods for bit change ran rods in with rod grease/lost water @31m Bomed hole, successful water return lost water again shortly after/ continue drilling PQ3/ survey @36m/ bombed hole again successful water return/ water delay"/>
  </r>
  <r>
    <x v="11"/>
    <d v="2025-07-29T05:02:24"/>
    <s v="DS 5am"/>
    <s v="SF25_DMET014"/>
    <m/>
    <s v="Nicholas Nakovics"/>
    <n v="3"/>
    <n v="390"/>
    <n v="39.200000000000003"/>
    <n v="50.3"/>
    <n v="11.099999999999994"/>
    <m/>
    <m/>
    <n v="0"/>
    <m/>
    <m/>
    <n v="0"/>
    <m/>
    <m/>
    <n v="0"/>
    <n v="11.099999999999994"/>
    <n v="1942.4999999999991"/>
    <n v="4255"/>
    <n v="1"/>
    <n v="1"/>
    <n v="13122"/>
    <n v="9.25"/>
    <n v="2"/>
    <m/>
    <n v="0.75"/>
    <m/>
    <m/>
    <m/>
    <m/>
    <m/>
    <n v="12"/>
    <m/>
    <n v="1190"/>
    <n v="771.2"/>
    <n v="7181.2"/>
    <n v="540547.20999999973"/>
    <n v="351591.69"/>
    <n v="646.95495495495527"/>
    <s v="LINK"/>
    <m/>
  </r>
  <r>
    <x v="11"/>
    <d v="2025-07-29T17:02:24"/>
    <s v="NS 5pm"/>
    <s v="SF25_DMET014"/>
    <m/>
    <s v="Carl Jonas"/>
    <n v="3"/>
    <n v="390"/>
    <n v="50.3"/>
    <n v="55.8"/>
    <n v="5.5"/>
    <m/>
    <m/>
    <n v="0"/>
    <m/>
    <m/>
    <n v="0"/>
    <m/>
    <m/>
    <n v="0"/>
    <n v="5.5"/>
    <n v="962.5"/>
    <n v="2300"/>
    <m/>
    <m/>
    <m/>
    <n v="5"/>
    <n v="2.5"/>
    <s v="crew change"/>
    <n v="0.5"/>
    <m/>
    <m/>
    <n v="4"/>
    <m/>
    <m/>
    <n v="12"/>
    <m/>
    <n v="1330"/>
    <n v="117.93"/>
    <n v="4137.93"/>
    <n v="544685.13999999978"/>
    <n v="355729.62"/>
    <n v="752.35090909090911"/>
    <s v="LINK"/>
    <m/>
  </r>
  <r>
    <x v="11"/>
    <d v="2025-07-30T05:02:24"/>
    <s v="DS 5am"/>
    <s v="SF25_DMET014"/>
    <m/>
    <s v="Dean Melville"/>
    <n v="3"/>
    <n v="390"/>
    <n v="55.8"/>
    <n v="55.8"/>
    <n v="0"/>
    <m/>
    <m/>
    <n v="0"/>
    <m/>
    <m/>
    <n v="0"/>
    <m/>
    <m/>
    <n v="0"/>
    <n v="0"/>
    <n v="0"/>
    <n v="0"/>
    <n v="1"/>
    <n v="1"/>
    <n v="13122"/>
    <m/>
    <n v="0.25"/>
    <m/>
    <n v="0.75"/>
    <m/>
    <m/>
    <n v="11"/>
    <m/>
    <m/>
    <n v="12"/>
    <m/>
    <n v="385"/>
    <m/>
    <n v="1350"/>
    <n v="546035.13999999978"/>
    <n v="357079.62"/>
    <s v="no drilling completed"/>
    <s v="LINK"/>
    <m/>
  </r>
  <r>
    <x v="11"/>
    <d v="2025-07-30T17:02:24"/>
    <s v="NS 5pm"/>
    <s v="SF25_DMET014"/>
    <m/>
    <s v="Nicholas Nakovics"/>
    <n v="3"/>
    <n v="390"/>
    <n v="55.8"/>
    <n v="78.2"/>
    <n v="22.400000000000006"/>
    <m/>
    <m/>
    <n v="0"/>
    <m/>
    <m/>
    <n v="0"/>
    <m/>
    <m/>
    <n v="0"/>
    <n v="22.400000000000006"/>
    <n v="3920.0000000000009"/>
    <n v="4945"/>
    <m/>
    <m/>
    <m/>
    <n v="10.75"/>
    <n v="0.5"/>
    <m/>
    <n v="0.75"/>
    <m/>
    <m/>
    <m/>
    <m/>
    <m/>
    <n v="12"/>
    <m/>
    <n v="500"/>
    <m/>
    <n v="5835"/>
    <n v="551870.13999999978"/>
    <n v="362914.62"/>
    <n v="260.49107142857139"/>
    <s v="LINK"/>
    <m/>
  </r>
  <r>
    <x v="11"/>
    <d v="2025-07-31T05:02:24"/>
    <s v="DS 5am"/>
    <s v="SF25_DMET014"/>
    <s v="SF25_DMET015"/>
    <s v="Dean Melville"/>
    <n v="3"/>
    <n v="390"/>
    <n v="78.2"/>
    <n v="85.5"/>
    <n v="7.2999999999999972"/>
    <m/>
    <m/>
    <n v="0"/>
    <n v="0"/>
    <n v="6.3"/>
    <n v="6.3"/>
    <m/>
    <m/>
    <n v="0"/>
    <n v="13.599999999999998"/>
    <n v="2379.9999999999995"/>
    <n v="2530"/>
    <n v="1"/>
    <n v="1"/>
    <n v="13122"/>
    <n v="5.5"/>
    <n v="4.75"/>
    <m/>
    <n v="1.75"/>
    <m/>
    <m/>
    <m/>
    <m/>
    <m/>
    <n v="12"/>
    <m/>
    <n v="2815"/>
    <n v="364.57000000000005"/>
    <n v="6674.57"/>
    <n v="558544.70999999973"/>
    <n v="369589.19"/>
    <n v="490.77720588235297"/>
    <s v="LINK"/>
    <m/>
  </r>
  <r>
    <x v="11"/>
    <d v="2025-07-31T17:02:24"/>
    <s v="NS 5pm"/>
    <s v="SF25_DMET015"/>
    <m/>
    <s v="Nicholas Nakovics"/>
    <n v="3"/>
    <n v="390"/>
    <n v="6.3"/>
    <n v="36.6"/>
    <n v="30.3"/>
    <m/>
    <m/>
    <n v="0"/>
    <m/>
    <m/>
    <n v="0"/>
    <m/>
    <m/>
    <n v="0"/>
    <n v="30.3"/>
    <n v="5302.5"/>
    <n v="5302.5"/>
    <m/>
    <m/>
    <m/>
    <n v="10.25"/>
    <n v="1"/>
    <m/>
    <n v="0.75"/>
    <m/>
    <m/>
    <m/>
    <m/>
    <m/>
    <n v="12"/>
    <m/>
    <n v="730"/>
    <n v="275"/>
    <n v="6697.5"/>
    <n v="565242.20999999973"/>
    <n v="376286.69"/>
    <n v="221.03960396039602"/>
    <s v="LINK"/>
    <m/>
  </r>
  <r>
    <x v="11"/>
    <d v="2025-08-01T05:02:24"/>
    <s v="DS 5am"/>
    <s v="SF25_DMET015"/>
    <m/>
    <s v="Dean Melville"/>
    <n v="3"/>
    <n v="390"/>
    <n v="36.6"/>
    <n v="66.599999999999994"/>
    <n v="29.999999999999993"/>
    <m/>
    <m/>
    <n v="0"/>
    <m/>
    <m/>
    <n v="0"/>
    <m/>
    <m/>
    <n v="0"/>
    <n v="29.999999999999993"/>
    <n v="5249.9999999999991"/>
    <n v="5249.9999999999991"/>
    <n v="1"/>
    <n v="1"/>
    <n v="13122"/>
    <n v="9.25"/>
    <n v="2"/>
    <m/>
    <n v="0.75"/>
    <m/>
    <m/>
    <m/>
    <m/>
    <m/>
    <n v="12"/>
    <m/>
    <n v="1190"/>
    <n v="275"/>
    <n v="7679.9999999999991"/>
    <n v="572922.20999999973"/>
    <n v="7679.9999999999991"/>
    <n v="256.00000000000006"/>
    <s v="LINK"/>
    <s v="Pre-shift meeting, Pre-start equipment: try to regain water return, continue drilling PQ3 core, gyro surveys, pull out for bit change. "/>
  </r>
  <r>
    <x v="11"/>
    <d v="2025-08-01T17:02:24"/>
    <s v="NS 5pm"/>
    <s v="SF25_DMET015"/>
    <m/>
    <s v="Nicholas Nakovics"/>
    <n v="3"/>
    <n v="390"/>
    <n v="66.599999999999994"/>
    <n v="85"/>
    <n v="18.400000000000006"/>
    <m/>
    <m/>
    <n v="0"/>
    <m/>
    <m/>
    <n v="0"/>
    <m/>
    <m/>
    <n v="0"/>
    <n v="18.400000000000006"/>
    <n v="3220.0000000000009"/>
    <n v="4140"/>
    <m/>
    <m/>
    <m/>
    <n v="9"/>
    <n v="2.25"/>
    <m/>
    <n v="0.75"/>
    <m/>
    <m/>
    <m/>
    <m/>
    <m/>
    <n v="12"/>
    <m/>
    <n v="1305"/>
    <n v="220"/>
    <n v="6055"/>
    <n v="578977.20999999973"/>
    <n v="13735"/>
    <n v="329.07608695652164"/>
    <s v="LINK"/>
    <s v="Pré-shift meeting, Pre-start equipment / Drill PQ3 / Bit change / Survey @72,81 / E.O.H / pullout / Rigging down "/>
  </r>
  <r>
    <x v="13"/>
    <d v="2025-08-02T05:02:24"/>
    <s v="DS 5am"/>
    <m/>
    <m/>
    <m/>
    <m/>
    <s v=""/>
    <m/>
    <m/>
    <s v=""/>
    <m/>
    <m/>
    <n v="0"/>
    <m/>
    <m/>
    <n v="0"/>
    <m/>
    <m/>
    <n v="0"/>
    <s v=""/>
    <s v=""/>
    <s v=""/>
    <m/>
    <m/>
    <m/>
    <m/>
    <m/>
    <m/>
    <m/>
    <m/>
    <m/>
    <m/>
    <m/>
    <m/>
    <s v=""/>
    <m/>
    <n v="0"/>
    <m/>
    <n v="0"/>
    <n v="578977.20999999973"/>
    <n v="13735"/>
    <s v=""/>
    <s v=""/>
    <m/>
  </r>
  <r>
    <x v="13"/>
    <d v="2025-08-02T17:02:24"/>
    <s v="NS 5pm"/>
    <m/>
    <m/>
    <m/>
    <m/>
    <s v=""/>
    <m/>
    <m/>
    <s v=""/>
    <m/>
    <m/>
    <n v="0"/>
    <m/>
    <m/>
    <n v="0"/>
    <m/>
    <m/>
    <n v="0"/>
    <s v=""/>
    <s v=""/>
    <s v=""/>
    <m/>
    <m/>
    <m/>
    <m/>
    <m/>
    <m/>
    <m/>
    <m/>
    <m/>
    <m/>
    <m/>
    <m/>
    <s v=""/>
    <m/>
    <n v="0"/>
    <m/>
    <n v="0"/>
    <n v="578977.20999999973"/>
    <n v="13735"/>
    <s v=""/>
    <s v=""/>
    <m/>
  </r>
  <r>
    <x v="13"/>
    <d v="2025-08-03T05:02:24"/>
    <s v="DS 5am"/>
    <m/>
    <m/>
    <m/>
    <m/>
    <s v=""/>
    <m/>
    <m/>
    <s v=""/>
    <m/>
    <m/>
    <n v="0"/>
    <m/>
    <m/>
    <n v="0"/>
    <m/>
    <m/>
    <n v="0"/>
    <s v=""/>
    <s v=""/>
    <s v=""/>
    <m/>
    <m/>
    <m/>
    <m/>
    <m/>
    <m/>
    <m/>
    <m/>
    <m/>
    <m/>
    <m/>
    <m/>
    <s v=""/>
    <m/>
    <n v="0"/>
    <m/>
    <n v="0"/>
    <n v="578977.20999999973"/>
    <n v="13735"/>
    <s v=""/>
    <s v=""/>
    <m/>
  </r>
  <r>
    <x v="13"/>
    <d v="2025-08-03T17:02:24"/>
    <s v="NS 5pm"/>
    <m/>
    <m/>
    <m/>
    <m/>
    <s v=""/>
    <m/>
    <m/>
    <s v=""/>
    <m/>
    <m/>
    <n v="0"/>
    <m/>
    <m/>
    <n v="0"/>
    <m/>
    <m/>
    <n v="0"/>
    <s v=""/>
    <s v=""/>
    <s v=""/>
    <m/>
    <m/>
    <m/>
    <m/>
    <m/>
    <m/>
    <m/>
    <m/>
    <m/>
    <m/>
    <m/>
    <m/>
    <s v=""/>
    <m/>
    <n v="0"/>
    <m/>
    <n v="0"/>
    <n v="578977.20999999973"/>
    <n v="13735"/>
    <s v=""/>
    <s v=""/>
    <m/>
  </r>
  <r>
    <x v="13"/>
    <d v="2025-08-04T05:02:24"/>
    <s v="DS 5am"/>
    <m/>
    <m/>
    <m/>
    <m/>
    <s v=""/>
    <m/>
    <m/>
    <s v=""/>
    <m/>
    <m/>
    <n v="0"/>
    <m/>
    <m/>
    <n v="0"/>
    <m/>
    <m/>
    <n v="0"/>
    <s v=""/>
    <s v=""/>
    <s v=""/>
    <m/>
    <m/>
    <m/>
    <m/>
    <m/>
    <m/>
    <m/>
    <m/>
    <m/>
    <m/>
    <m/>
    <m/>
    <s v=""/>
    <m/>
    <n v="0"/>
    <m/>
    <n v="0"/>
    <n v="578977.20999999973"/>
    <n v="13735"/>
    <s v=""/>
    <s v=""/>
    <m/>
  </r>
  <r>
    <x v="13"/>
    <d v="2025-08-04T17:02:24"/>
    <s v="NS 5pm"/>
    <m/>
    <m/>
    <m/>
    <m/>
    <s v=""/>
    <m/>
    <m/>
    <s v=""/>
    <m/>
    <m/>
    <n v="0"/>
    <m/>
    <m/>
    <n v="0"/>
    <m/>
    <m/>
    <n v="0"/>
    <s v=""/>
    <s v=""/>
    <s v=""/>
    <m/>
    <m/>
    <m/>
    <m/>
    <m/>
    <m/>
    <m/>
    <m/>
    <m/>
    <m/>
    <m/>
    <m/>
    <s v=""/>
    <m/>
    <n v="0"/>
    <m/>
    <n v="0"/>
    <n v="578977.20999999973"/>
    <n v="13735"/>
    <s v=""/>
    <s v=""/>
    <m/>
  </r>
  <r>
    <x v="13"/>
    <d v="2025-08-05T05:02:24"/>
    <s v="DS 5am"/>
    <m/>
    <m/>
    <m/>
    <m/>
    <s v=""/>
    <m/>
    <m/>
    <s v=""/>
    <m/>
    <m/>
    <n v="0"/>
    <m/>
    <m/>
    <n v="0"/>
    <m/>
    <m/>
    <n v="0"/>
    <s v=""/>
    <s v=""/>
    <s v=""/>
    <m/>
    <m/>
    <m/>
    <m/>
    <m/>
    <m/>
    <m/>
    <m/>
    <m/>
    <m/>
    <m/>
    <m/>
    <s v=""/>
    <m/>
    <n v="0"/>
    <m/>
    <n v="0"/>
    <n v="578977.20999999973"/>
    <n v="13735"/>
    <s v=""/>
    <s v=""/>
    <m/>
  </r>
  <r>
    <x v="13"/>
    <d v="2025-08-05T17:02:24"/>
    <s v="NS 5pm"/>
    <m/>
    <m/>
    <m/>
    <m/>
    <s v=""/>
    <m/>
    <m/>
    <s v=""/>
    <m/>
    <m/>
    <n v="0"/>
    <m/>
    <m/>
    <n v="0"/>
    <m/>
    <m/>
    <n v="0"/>
    <s v=""/>
    <s v=""/>
    <s v=""/>
    <m/>
    <m/>
    <m/>
    <m/>
    <m/>
    <m/>
    <m/>
    <m/>
    <m/>
    <m/>
    <m/>
    <m/>
    <s v=""/>
    <m/>
    <n v="0"/>
    <m/>
    <n v="0"/>
    <n v="578977.20999999973"/>
    <n v="13735"/>
    <s v=""/>
    <s v=""/>
    <m/>
  </r>
  <r>
    <x v="13"/>
    <d v="2025-08-06T05:02:24"/>
    <s v="DS 5am"/>
    <m/>
    <m/>
    <m/>
    <m/>
    <s v=""/>
    <m/>
    <m/>
    <s v=""/>
    <m/>
    <m/>
    <n v="0"/>
    <m/>
    <m/>
    <n v="0"/>
    <m/>
    <m/>
    <n v="0"/>
    <s v=""/>
    <s v=""/>
    <s v=""/>
    <m/>
    <m/>
    <m/>
    <m/>
    <m/>
    <m/>
    <m/>
    <m/>
    <m/>
    <m/>
    <m/>
    <m/>
    <s v=""/>
    <m/>
    <n v="0"/>
    <m/>
    <n v="0"/>
    <n v="578977.20999999973"/>
    <n v="13735"/>
    <s v=""/>
    <s v=""/>
    <m/>
  </r>
  <r>
    <x v="13"/>
    <d v="2025-08-06T17:02:24"/>
    <s v="NS 5pm"/>
    <m/>
    <m/>
    <m/>
    <m/>
    <s v=""/>
    <m/>
    <m/>
    <s v=""/>
    <m/>
    <m/>
    <n v="0"/>
    <m/>
    <m/>
    <n v="0"/>
    <m/>
    <m/>
    <n v="0"/>
    <s v=""/>
    <s v=""/>
    <s v=""/>
    <m/>
    <m/>
    <m/>
    <m/>
    <m/>
    <m/>
    <m/>
    <m/>
    <m/>
    <m/>
    <m/>
    <m/>
    <s v=""/>
    <m/>
    <n v="0"/>
    <m/>
    <n v="0"/>
    <n v="578977.20999999973"/>
    <n v="13735"/>
    <s v=""/>
    <s v=""/>
    <m/>
  </r>
  <r>
    <x v="13"/>
    <d v="2025-08-07T05:02:24"/>
    <s v="DS 5am"/>
    <m/>
    <m/>
    <m/>
    <m/>
    <s v=""/>
    <m/>
    <m/>
    <s v=""/>
    <m/>
    <m/>
    <n v="0"/>
    <m/>
    <m/>
    <n v="0"/>
    <m/>
    <m/>
    <n v="0"/>
    <s v=""/>
    <s v=""/>
    <s v=""/>
    <m/>
    <m/>
    <m/>
    <m/>
    <m/>
    <m/>
    <m/>
    <m/>
    <m/>
    <m/>
    <m/>
    <m/>
    <s v=""/>
    <m/>
    <n v="0"/>
    <m/>
    <n v="0"/>
    <n v="578977.20999999973"/>
    <n v="13735"/>
    <s v=""/>
    <s v=""/>
    <m/>
  </r>
  <r>
    <x v="13"/>
    <d v="2025-08-07T17:02:24"/>
    <s v="NS 5pm"/>
    <m/>
    <m/>
    <m/>
    <m/>
    <s v=""/>
    <m/>
    <m/>
    <s v=""/>
    <m/>
    <m/>
    <n v="0"/>
    <m/>
    <m/>
    <n v="0"/>
    <m/>
    <m/>
    <n v="0"/>
    <s v=""/>
    <s v=""/>
    <s v=""/>
    <m/>
    <m/>
    <m/>
    <m/>
    <m/>
    <m/>
    <m/>
    <m/>
    <m/>
    <m/>
    <m/>
    <m/>
    <s v=""/>
    <m/>
    <n v="0"/>
    <m/>
    <n v="0"/>
    <n v="578977.20999999973"/>
    <n v="13735"/>
    <s v=""/>
    <s v=""/>
    <m/>
  </r>
  <r>
    <x v="13"/>
    <d v="2025-08-08T05:02:24"/>
    <s v="DS 5am"/>
    <m/>
    <m/>
    <m/>
    <m/>
    <s v=""/>
    <m/>
    <m/>
    <s v=""/>
    <m/>
    <m/>
    <n v="0"/>
    <m/>
    <m/>
    <n v="0"/>
    <m/>
    <m/>
    <n v="0"/>
    <s v=""/>
    <s v=""/>
    <s v=""/>
    <m/>
    <m/>
    <m/>
    <m/>
    <m/>
    <m/>
    <m/>
    <m/>
    <m/>
    <m/>
    <m/>
    <m/>
    <s v=""/>
    <m/>
    <n v="0"/>
    <m/>
    <n v="0"/>
    <n v="578977.20999999973"/>
    <n v="13735"/>
    <s v=""/>
    <s v=""/>
    <m/>
  </r>
  <r>
    <x v="13"/>
    <d v="2025-08-08T17:02:24"/>
    <s v="NS 5pm"/>
    <m/>
    <m/>
    <m/>
    <m/>
    <s v=""/>
    <m/>
    <m/>
    <s v=""/>
    <m/>
    <m/>
    <n v="0"/>
    <m/>
    <m/>
    <n v="0"/>
    <m/>
    <m/>
    <n v="0"/>
    <s v=""/>
    <s v=""/>
    <s v=""/>
    <m/>
    <m/>
    <m/>
    <m/>
    <m/>
    <m/>
    <m/>
    <m/>
    <m/>
    <m/>
    <m/>
    <m/>
    <s v=""/>
    <m/>
    <n v="0"/>
    <m/>
    <n v="0"/>
    <n v="578977.20999999973"/>
    <n v="13735"/>
    <s v=""/>
    <s v=""/>
    <m/>
  </r>
  <r>
    <x v="13"/>
    <d v="2025-08-09T05:02:24"/>
    <s v="DS 5am"/>
    <m/>
    <m/>
    <m/>
    <m/>
    <s v=""/>
    <m/>
    <m/>
    <s v=""/>
    <m/>
    <m/>
    <n v="0"/>
    <m/>
    <m/>
    <n v="0"/>
    <m/>
    <m/>
    <n v="0"/>
    <s v=""/>
    <s v=""/>
    <s v=""/>
    <m/>
    <m/>
    <m/>
    <m/>
    <m/>
    <m/>
    <m/>
    <m/>
    <m/>
    <m/>
    <m/>
    <m/>
    <s v=""/>
    <m/>
    <n v="0"/>
    <m/>
    <n v="0"/>
    <n v="578977.20999999973"/>
    <n v="13735"/>
    <s v=""/>
    <s v=""/>
    <m/>
  </r>
  <r>
    <x v="13"/>
    <d v="2025-08-09T17:02:24"/>
    <s v="NS 5pm"/>
    <m/>
    <m/>
    <m/>
    <m/>
    <s v=""/>
    <m/>
    <m/>
    <s v=""/>
    <m/>
    <m/>
    <n v="0"/>
    <m/>
    <m/>
    <n v="0"/>
    <m/>
    <m/>
    <n v="0"/>
    <s v=""/>
    <s v=""/>
    <s v=""/>
    <m/>
    <m/>
    <m/>
    <m/>
    <m/>
    <m/>
    <m/>
    <m/>
    <m/>
    <m/>
    <m/>
    <m/>
    <s v=""/>
    <m/>
    <n v="0"/>
    <m/>
    <n v="0"/>
    <n v="578977.20999999973"/>
    <n v="13735"/>
    <s v=""/>
    <s v=""/>
    <m/>
  </r>
  <r>
    <x v="13"/>
    <d v="2025-08-10T05:02:24"/>
    <s v="DS 5am"/>
    <m/>
    <m/>
    <m/>
    <m/>
    <s v=""/>
    <m/>
    <m/>
    <s v=""/>
    <m/>
    <m/>
    <n v="0"/>
    <m/>
    <m/>
    <n v="0"/>
    <m/>
    <m/>
    <n v="0"/>
    <s v=""/>
    <s v=""/>
    <s v=""/>
    <m/>
    <m/>
    <m/>
    <m/>
    <m/>
    <m/>
    <m/>
    <m/>
    <m/>
    <m/>
    <m/>
    <m/>
    <s v=""/>
    <m/>
    <n v="0"/>
    <m/>
    <n v="0"/>
    <n v="578977.20999999973"/>
    <n v="13735"/>
    <s v=""/>
    <s v=""/>
    <m/>
  </r>
  <r>
    <x v="13"/>
    <d v="2025-08-10T17:02:24"/>
    <s v="NS 5pm"/>
    <m/>
    <m/>
    <m/>
    <m/>
    <s v=""/>
    <m/>
    <m/>
    <s v=""/>
    <m/>
    <m/>
    <n v="0"/>
    <m/>
    <m/>
    <n v="0"/>
    <m/>
    <m/>
    <n v="0"/>
    <s v=""/>
    <s v=""/>
    <s v=""/>
    <m/>
    <m/>
    <m/>
    <m/>
    <m/>
    <m/>
    <m/>
    <m/>
    <m/>
    <m/>
    <m/>
    <m/>
    <s v=""/>
    <m/>
    <n v="0"/>
    <m/>
    <n v="0"/>
    <n v="578977.20999999973"/>
    <n v="13735"/>
    <s v=""/>
    <s v=""/>
    <m/>
  </r>
  <r>
    <x v="13"/>
    <d v="2025-08-11T05:02:24"/>
    <s v="DS 5am"/>
    <m/>
    <m/>
    <m/>
    <m/>
    <s v=""/>
    <m/>
    <m/>
    <s v=""/>
    <m/>
    <m/>
    <n v="0"/>
    <m/>
    <m/>
    <n v="0"/>
    <m/>
    <m/>
    <n v="0"/>
    <s v=""/>
    <s v=""/>
    <s v=""/>
    <m/>
    <m/>
    <m/>
    <m/>
    <m/>
    <m/>
    <m/>
    <m/>
    <m/>
    <m/>
    <m/>
    <m/>
    <s v=""/>
    <m/>
    <n v="0"/>
    <m/>
    <n v="0"/>
    <n v="578977.20999999973"/>
    <n v="13735"/>
    <s v=""/>
    <s v=""/>
    <m/>
  </r>
  <r>
    <x v="13"/>
    <d v="2025-08-11T17:02:24"/>
    <s v="NS 5pm"/>
    <m/>
    <m/>
    <m/>
    <m/>
    <s v=""/>
    <m/>
    <m/>
    <s v=""/>
    <m/>
    <m/>
    <n v="0"/>
    <m/>
    <m/>
    <n v="0"/>
    <m/>
    <m/>
    <n v="0"/>
    <s v=""/>
    <s v=""/>
    <s v=""/>
    <m/>
    <m/>
    <m/>
    <m/>
    <m/>
    <m/>
    <m/>
    <m/>
    <m/>
    <m/>
    <m/>
    <m/>
    <s v=""/>
    <m/>
    <n v="0"/>
    <m/>
    <n v="0"/>
    <n v="578977.20999999973"/>
    <n v="13735"/>
    <s v=""/>
    <s v=""/>
    <m/>
  </r>
  <r>
    <x v="13"/>
    <d v="2025-08-12T05:02:24"/>
    <s v="DS 5am"/>
    <m/>
    <m/>
    <m/>
    <m/>
    <s v=""/>
    <m/>
    <m/>
    <s v=""/>
    <m/>
    <m/>
    <n v="0"/>
    <m/>
    <m/>
    <n v="0"/>
    <m/>
    <m/>
    <n v="0"/>
    <s v=""/>
    <s v=""/>
    <s v=""/>
    <m/>
    <m/>
    <m/>
    <m/>
    <m/>
    <m/>
    <m/>
    <m/>
    <m/>
    <m/>
    <m/>
    <m/>
    <s v=""/>
    <m/>
    <n v="0"/>
    <m/>
    <n v="0"/>
    <n v="578977.20999999973"/>
    <n v="13735"/>
    <s v=""/>
    <s v=""/>
    <m/>
  </r>
  <r>
    <x v="13"/>
    <d v="2025-08-12T17:02:24"/>
    <s v="NS 5pm"/>
    <m/>
    <m/>
    <m/>
    <m/>
    <s v=""/>
    <m/>
    <m/>
    <s v=""/>
    <m/>
    <m/>
    <n v="0"/>
    <m/>
    <m/>
    <n v="0"/>
    <m/>
    <m/>
    <n v="0"/>
    <s v=""/>
    <s v=""/>
    <s v=""/>
    <m/>
    <m/>
    <m/>
    <m/>
    <m/>
    <m/>
    <m/>
    <m/>
    <m/>
    <m/>
    <m/>
    <m/>
    <s v=""/>
    <m/>
    <n v="0"/>
    <m/>
    <n v="0"/>
    <n v="578977.20999999973"/>
    <n v="13735"/>
    <s v=""/>
    <s v=""/>
    <m/>
  </r>
  <r>
    <x v="13"/>
    <d v="2025-08-13T05:02:24"/>
    <s v="DS 5am"/>
    <m/>
    <m/>
    <m/>
    <m/>
    <s v=""/>
    <m/>
    <m/>
    <s v=""/>
    <m/>
    <m/>
    <n v="0"/>
    <m/>
    <m/>
    <n v="0"/>
    <m/>
    <m/>
    <n v="0"/>
    <s v=""/>
    <s v=""/>
    <s v=""/>
    <m/>
    <m/>
    <m/>
    <m/>
    <m/>
    <m/>
    <m/>
    <m/>
    <m/>
    <m/>
    <m/>
    <m/>
    <s v=""/>
    <m/>
    <n v="0"/>
    <m/>
    <n v="0"/>
    <n v="578977.20999999973"/>
    <n v="13735"/>
    <s v=""/>
    <s v=""/>
    <m/>
  </r>
  <r>
    <x v="13"/>
    <d v="2025-08-13T17:02:24"/>
    <s v="NS 5pm"/>
    <m/>
    <m/>
    <m/>
    <m/>
    <s v=""/>
    <m/>
    <m/>
    <s v=""/>
    <m/>
    <m/>
    <n v="0"/>
    <m/>
    <m/>
    <n v="0"/>
    <m/>
    <m/>
    <n v="0"/>
    <s v=""/>
    <s v=""/>
    <s v=""/>
    <m/>
    <m/>
    <m/>
    <m/>
    <m/>
    <m/>
    <m/>
    <m/>
    <m/>
    <m/>
    <m/>
    <m/>
    <s v=""/>
    <m/>
    <n v="0"/>
    <m/>
    <n v="0"/>
    <n v="578977.20999999973"/>
    <n v="13735"/>
    <s v=""/>
    <s v=""/>
    <m/>
  </r>
  <r>
    <x v="13"/>
    <d v="2025-08-14T05:02:24"/>
    <s v="DS 5am"/>
    <m/>
    <m/>
    <m/>
    <m/>
    <s v=""/>
    <m/>
    <m/>
    <s v=""/>
    <m/>
    <m/>
    <n v="0"/>
    <m/>
    <m/>
    <n v="0"/>
    <m/>
    <m/>
    <n v="0"/>
    <s v=""/>
    <s v=""/>
    <s v=""/>
    <m/>
    <m/>
    <m/>
    <m/>
    <m/>
    <m/>
    <m/>
    <m/>
    <m/>
    <m/>
    <m/>
    <m/>
    <s v=""/>
    <m/>
    <n v="0"/>
    <m/>
    <n v="0"/>
    <n v="578977.20999999973"/>
    <n v="13735"/>
    <s v=""/>
    <s v=""/>
    <m/>
  </r>
  <r>
    <x v="13"/>
    <d v="2025-08-14T17:02:24"/>
    <s v="NS 5pm"/>
    <m/>
    <m/>
    <m/>
    <m/>
    <s v=""/>
    <m/>
    <m/>
    <s v=""/>
    <m/>
    <m/>
    <n v="0"/>
    <m/>
    <m/>
    <n v="0"/>
    <m/>
    <m/>
    <n v="0"/>
    <s v=""/>
    <s v=""/>
    <s v=""/>
    <m/>
    <m/>
    <m/>
    <m/>
    <m/>
    <m/>
    <m/>
    <m/>
    <m/>
    <m/>
    <m/>
    <m/>
    <s v=""/>
    <m/>
    <n v="0"/>
    <m/>
    <n v="0"/>
    <n v="578977.20999999973"/>
    <n v="13735"/>
    <s v=""/>
    <s v=""/>
    <m/>
  </r>
  <r>
    <x v="13"/>
    <d v="2025-08-15T05:02:24"/>
    <s v="DS 5am"/>
    <m/>
    <m/>
    <m/>
    <m/>
    <s v=""/>
    <m/>
    <m/>
    <s v=""/>
    <m/>
    <m/>
    <n v="0"/>
    <m/>
    <m/>
    <n v="0"/>
    <m/>
    <m/>
    <n v="0"/>
    <s v=""/>
    <s v=""/>
    <s v=""/>
    <m/>
    <m/>
    <m/>
    <m/>
    <m/>
    <m/>
    <m/>
    <m/>
    <m/>
    <m/>
    <m/>
    <m/>
    <s v=""/>
    <m/>
    <n v="0"/>
    <m/>
    <n v="0"/>
    <n v="578977.20999999973"/>
    <n v="13735"/>
    <s v=""/>
    <s v=""/>
    <m/>
  </r>
  <r>
    <x v="13"/>
    <d v="2025-08-15T17:02:24"/>
    <s v="NS 5pm"/>
    <m/>
    <m/>
    <m/>
    <m/>
    <s v=""/>
    <m/>
    <m/>
    <s v=""/>
    <m/>
    <m/>
    <n v="0"/>
    <m/>
    <m/>
    <n v="0"/>
    <m/>
    <m/>
    <n v="0"/>
    <s v=""/>
    <s v=""/>
    <s v=""/>
    <m/>
    <m/>
    <m/>
    <m/>
    <m/>
    <m/>
    <m/>
    <m/>
    <m/>
    <m/>
    <m/>
    <m/>
    <s v=""/>
    <m/>
    <n v="0"/>
    <m/>
    <n v="0"/>
    <n v="578977.20999999973"/>
    <n v="13735"/>
    <s v=""/>
    <s v=""/>
    <m/>
  </r>
  <r>
    <x v="13"/>
    <d v="2025-08-16T05:02:24"/>
    <s v="DS 5am"/>
    <m/>
    <m/>
    <m/>
    <m/>
    <s v=""/>
    <m/>
    <m/>
    <s v=""/>
    <m/>
    <m/>
    <n v="0"/>
    <m/>
    <m/>
    <n v="0"/>
    <m/>
    <m/>
    <n v="0"/>
    <s v=""/>
    <s v=""/>
    <s v=""/>
    <m/>
    <m/>
    <m/>
    <m/>
    <m/>
    <m/>
    <m/>
    <m/>
    <m/>
    <m/>
    <m/>
    <m/>
    <s v=""/>
    <m/>
    <n v="0"/>
    <m/>
    <n v="0"/>
    <n v="578977.20999999973"/>
    <n v="13735"/>
    <s v=""/>
    <s v=""/>
    <m/>
  </r>
  <r>
    <x v="13"/>
    <d v="2025-08-16T17:02:24"/>
    <s v="NS 5pm"/>
    <m/>
    <m/>
    <m/>
    <m/>
    <s v=""/>
    <m/>
    <m/>
    <s v=""/>
    <m/>
    <m/>
    <n v="0"/>
    <m/>
    <m/>
    <n v="0"/>
    <m/>
    <m/>
    <n v="0"/>
    <s v=""/>
    <s v=""/>
    <s v=""/>
    <m/>
    <m/>
    <m/>
    <m/>
    <m/>
    <m/>
    <m/>
    <m/>
    <m/>
    <m/>
    <m/>
    <m/>
    <s v=""/>
    <m/>
    <n v="0"/>
    <m/>
    <n v="0"/>
    <n v="578977.20999999973"/>
    <n v="13735"/>
    <s v=""/>
    <s v=""/>
    <m/>
  </r>
  <r>
    <x v="13"/>
    <d v="2025-08-17T05:02:24"/>
    <s v="DS 5am"/>
    <m/>
    <m/>
    <m/>
    <m/>
    <s v=""/>
    <m/>
    <m/>
    <s v=""/>
    <m/>
    <m/>
    <n v="0"/>
    <m/>
    <m/>
    <n v="0"/>
    <m/>
    <m/>
    <n v="0"/>
    <s v=""/>
    <s v=""/>
    <s v=""/>
    <m/>
    <m/>
    <m/>
    <m/>
    <m/>
    <m/>
    <m/>
    <m/>
    <m/>
    <m/>
    <m/>
    <m/>
    <s v=""/>
    <m/>
    <n v="0"/>
    <m/>
    <n v="0"/>
    <n v="578977.20999999973"/>
    <n v="13735"/>
    <s v=""/>
    <s v=""/>
    <m/>
  </r>
  <r>
    <x v="13"/>
    <d v="2025-08-17T17:02:24"/>
    <s v="NS 5pm"/>
    <m/>
    <m/>
    <m/>
    <m/>
    <s v=""/>
    <m/>
    <m/>
    <s v=""/>
    <m/>
    <m/>
    <n v="0"/>
    <m/>
    <m/>
    <n v="0"/>
    <m/>
    <m/>
    <n v="0"/>
    <s v=""/>
    <s v=""/>
    <s v=""/>
    <m/>
    <m/>
    <m/>
    <m/>
    <m/>
    <m/>
    <m/>
    <m/>
    <m/>
    <m/>
    <m/>
    <m/>
    <s v=""/>
    <m/>
    <n v="0"/>
    <m/>
    <n v="0"/>
    <n v="578977.20999999973"/>
    <n v="13735"/>
    <s v=""/>
    <s v=""/>
    <m/>
  </r>
  <r>
    <x v="13"/>
    <d v="2025-08-18T05:02:24"/>
    <s v="DS 5am"/>
    <m/>
    <m/>
    <m/>
    <m/>
    <s v=""/>
    <m/>
    <m/>
    <s v=""/>
    <m/>
    <m/>
    <n v="0"/>
    <m/>
    <m/>
    <n v="0"/>
    <m/>
    <m/>
    <n v="0"/>
    <s v=""/>
    <s v=""/>
    <s v=""/>
    <m/>
    <m/>
    <m/>
    <m/>
    <m/>
    <m/>
    <m/>
    <m/>
    <m/>
    <m/>
    <m/>
    <m/>
    <s v=""/>
    <m/>
    <n v="0"/>
    <m/>
    <n v="0"/>
    <n v="578977.20999999973"/>
    <n v="13735"/>
    <s v=""/>
    <s v=""/>
    <m/>
  </r>
  <r>
    <x v="13"/>
    <d v="2025-08-18T17:02:24"/>
    <s v="NS 5pm"/>
    <m/>
    <m/>
    <m/>
    <m/>
    <s v=""/>
    <m/>
    <m/>
    <s v=""/>
    <m/>
    <m/>
    <n v="0"/>
    <m/>
    <m/>
    <n v="0"/>
    <m/>
    <m/>
    <n v="0"/>
    <s v=""/>
    <s v=""/>
    <s v=""/>
    <m/>
    <m/>
    <m/>
    <m/>
    <m/>
    <m/>
    <m/>
    <m/>
    <m/>
    <m/>
    <m/>
    <m/>
    <s v=""/>
    <m/>
    <n v="0"/>
    <m/>
    <n v="0"/>
    <n v="578977.20999999973"/>
    <n v="13735"/>
    <s v=""/>
    <s v=""/>
    <m/>
  </r>
  <r>
    <x v="13"/>
    <d v="2025-08-19T05:02:24"/>
    <s v="DS 5am"/>
    <m/>
    <m/>
    <m/>
    <m/>
    <s v=""/>
    <m/>
    <m/>
    <s v=""/>
    <m/>
    <m/>
    <n v="0"/>
    <m/>
    <m/>
    <n v="0"/>
    <m/>
    <m/>
    <n v="0"/>
    <s v=""/>
    <s v=""/>
    <s v=""/>
    <m/>
    <m/>
    <m/>
    <m/>
    <m/>
    <m/>
    <m/>
    <m/>
    <m/>
    <m/>
    <m/>
    <m/>
    <s v=""/>
    <m/>
    <n v="0"/>
    <m/>
    <n v="0"/>
    <n v="578977.20999999973"/>
    <n v="13735"/>
    <s v=""/>
    <s v=""/>
    <m/>
  </r>
  <r>
    <x v="13"/>
    <d v="2025-08-19T17:02:24"/>
    <s v="NS 5pm"/>
    <m/>
    <m/>
    <m/>
    <m/>
    <s v=""/>
    <m/>
    <m/>
    <s v=""/>
    <m/>
    <m/>
    <n v="0"/>
    <m/>
    <m/>
    <n v="0"/>
    <m/>
    <m/>
    <n v="0"/>
    <s v=""/>
    <s v=""/>
    <s v=""/>
    <m/>
    <m/>
    <m/>
    <m/>
    <m/>
    <m/>
    <m/>
    <m/>
    <m/>
    <m/>
    <m/>
    <m/>
    <s v=""/>
    <m/>
    <n v="0"/>
    <m/>
    <n v="0"/>
    <n v="578977.20999999973"/>
    <n v="13735"/>
    <s v=""/>
    <s v=""/>
    <m/>
  </r>
  <r>
    <x v="13"/>
    <d v="2025-08-20T05:02:24"/>
    <s v="DS 5am"/>
    <m/>
    <m/>
    <m/>
    <m/>
    <s v=""/>
    <m/>
    <m/>
    <s v=""/>
    <m/>
    <m/>
    <n v="0"/>
    <m/>
    <m/>
    <n v="0"/>
    <m/>
    <m/>
    <n v="0"/>
    <s v=""/>
    <s v=""/>
    <s v=""/>
    <m/>
    <m/>
    <m/>
    <m/>
    <m/>
    <m/>
    <m/>
    <m/>
    <m/>
    <m/>
    <m/>
    <m/>
    <s v=""/>
    <m/>
    <n v="0"/>
    <m/>
    <n v="0"/>
    <n v="578977.20999999973"/>
    <n v="13735"/>
    <s v=""/>
    <s v=""/>
    <m/>
  </r>
  <r>
    <x v="13"/>
    <d v="2025-08-20T17:02:24"/>
    <s v="NS 5pm"/>
    <m/>
    <m/>
    <m/>
    <m/>
    <s v=""/>
    <m/>
    <m/>
    <s v=""/>
    <m/>
    <m/>
    <n v="0"/>
    <m/>
    <m/>
    <n v="0"/>
    <m/>
    <m/>
    <n v="0"/>
    <s v=""/>
    <s v=""/>
    <s v=""/>
    <m/>
    <m/>
    <m/>
    <m/>
    <m/>
    <m/>
    <m/>
    <m/>
    <m/>
    <m/>
    <m/>
    <m/>
    <s v=""/>
    <m/>
    <n v="0"/>
    <m/>
    <n v="0"/>
    <n v="578977.20999999973"/>
    <n v="13735"/>
    <s v=""/>
    <s v=""/>
    <m/>
  </r>
  <r>
    <x v="13"/>
    <d v="2025-08-21T05:02:24"/>
    <s v="DS 5am"/>
    <m/>
    <m/>
    <m/>
    <m/>
    <s v=""/>
    <m/>
    <m/>
    <s v=""/>
    <m/>
    <m/>
    <n v="0"/>
    <m/>
    <m/>
    <n v="0"/>
    <m/>
    <m/>
    <n v="0"/>
    <s v=""/>
    <s v=""/>
    <s v=""/>
    <m/>
    <m/>
    <m/>
    <m/>
    <m/>
    <m/>
    <m/>
    <m/>
    <m/>
    <m/>
    <m/>
    <m/>
    <s v=""/>
    <m/>
    <n v="0"/>
    <m/>
    <n v="0"/>
    <n v="578977.20999999973"/>
    <n v="13735"/>
    <s v=""/>
    <s v=""/>
    <m/>
  </r>
  <r>
    <x v="13"/>
    <d v="2025-08-21T17:02:24"/>
    <s v="NS 5pm"/>
    <m/>
    <m/>
    <m/>
    <m/>
    <s v=""/>
    <m/>
    <m/>
    <s v=""/>
    <m/>
    <m/>
    <n v="0"/>
    <m/>
    <m/>
    <n v="0"/>
    <m/>
    <m/>
    <n v="0"/>
    <s v=""/>
    <s v=""/>
    <s v=""/>
    <m/>
    <m/>
    <m/>
    <m/>
    <m/>
    <m/>
    <m/>
    <m/>
    <m/>
    <m/>
    <m/>
    <m/>
    <s v=""/>
    <m/>
    <n v="0"/>
    <m/>
    <n v="0"/>
    <n v="578977.20999999973"/>
    <n v="13735"/>
    <s v=""/>
    <s v=""/>
    <m/>
  </r>
  <r>
    <x v="13"/>
    <d v="2025-08-22T05:02:24"/>
    <s v="DS 5am"/>
    <m/>
    <m/>
    <m/>
    <m/>
    <s v=""/>
    <m/>
    <m/>
    <s v=""/>
    <m/>
    <m/>
    <n v="0"/>
    <m/>
    <m/>
    <n v="0"/>
    <m/>
    <m/>
    <n v="0"/>
    <s v=""/>
    <s v=""/>
    <s v=""/>
    <m/>
    <m/>
    <m/>
    <m/>
    <m/>
    <m/>
    <m/>
    <m/>
    <m/>
    <m/>
    <m/>
    <m/>
    <s v=""/>
    <m/>
    <n v="0"/>
    <m/>
    <n v="0"/>
    <n v="578977.20999999973"/>
    <n v="13735"/>
    <s v=""/>
    <s v=""/>
    <m/>
  </r>
  <r>
    <x v="13"/>
    <d v="2025-08-22T17:02:24"/>
    <s v="NS 5pm"/>
    <m/>
    <m/>
    <m/>
    <m/>
    <s v=""/>
    <m/>
    <m/>
    <s v=""/>
    <m/>
    <m/>
    <n v="0"/>
    <m/>
    <m/>
    <n v="0"/>
    <m/>
    <m/>
    <n v="0"/>
    <s v=""/>
    <s v=""/>
    <s v=""/>
    <m/>
    <m/>
    <m/>
    <m/>
    <m/>
    <m/>
    <m/>
    <m/>
    <m/>
    <m/>
    <m/>
    <m/>
    <s v=""/>
    <m/>
    <n v="0"/>
    <m/>
    <n v="0"/>
    <n v="578977.20999999973"/>
    <n v="13735"/>
    <s v=""/>
    <s v=""/>
    <m/>
  </r>
  <r>
    <x v="13"/>
    <d v="2025-08-23T05:02:24"/>
    <s v="DS 5am"/>
    <m/>
    <m/>
    <m/>
    <m/>
    <s v=""/>
    <m/>
    <m/>
    <s v=""/>
    <m/>
    <m/>
    <n v="0"/>
    <m/>
    <m/>
    <n v="0"/>
    <m/>
    <m/>
    <n v="0"/>
    <s v=""/>
    <s v=""/>
    <s v=""/>
    <m/>
    <m/>
    <m/>
    <m/>
    <m/>
    <m/>
    <m/>
    <m/>
    <m/>
    <m/>
    <m/>
    <m/>
    <s v=""/>
    <m/>
    <n v="0"/>
    <m/>
    <n v="0"/>
    <n v="578977.20999999973"/>
    <n v="13735"/>
    <s v=""/>
    <s v=""/>
    <m/>
  </r>
  <r>
    <x v="13"/>
    <d v="2025-08-23T17:02:24"/>
    <s v="NS 5pm"/>
    <m/>
    <m/>
    <m/>
    <m/>
    <s v=""/>
    <m/>
    <m/>
    <s v=""/>
    <m/>
    <m/>
    <n v="0"/>
    <m/>
    <m/>
    <n v="0"/>
    <m/>
    <m/>
    <n v="0"/>
    <s v=""/>
    <s v=""/>
    <s v=""/>
    <m/>
    <m/>
    <m/>
    <m/>
    <m/>
    <m/>
    <m/>
    <m/>
    <m/>
    <m/>
    <m/>
    <m/>
    <s v=""/>
    <m/>
    <n v="0"/>
    <m/>
    <n v="0"/>
    <n v="578977.20999999973"/>
    <n v="13735"/>
    <s v=""/>
    <s v=""/>
    <m/>
  </r>
  <r>
    <x v="13"/>
    <d v="2025-08-24T05:02:24"/>
    <s v="DS 5am"/>
    <m/>
    <m/>
    <m/>
    <m/>
    <s v=""/>
    <m/>
    <m/>
    <s v=""/>
    <m/>
    <m/>
    <n v="0"/>
    <m/>
    <m/>
    <n v="0"/>
    <m/>
    <m/>
    <n v="0"/>
    <s v=""/>
    <s v=""/>
    <s v=""/>
    <m/>
    <m/>
    <m/>
    <m/>
    <m/>
    <m/>
    <m/>
    <m/>
    <m/>
    <m/>
    <m/>
    <m/>
    <s v=""/>
    <m/>
    <n v="0"/>
    <m/>
    <n v="0"/>
    <n v="578977.20999999973"/>
    <n v="13735"/>
    <s v=""/>
    <s v=""/>
    <m/>
  </r>
  <r>
    <x v="13"/>
    <d v="2025-08-24T17:02:24"/>
    <s v="NS 5pm"/>
    <m/>
    <m/>
    <m/>
    <m/>
    <s v=""/>
    <m/>
    <m/>
    <s v=""/>
    <m/>
    <m/>
    <n v="0"/>
    <m/>
    <m/>
    <n v="0"/>
    <m/>
    <m/>
    <n v="0"/>
    <s v=""/>
    <s v=""/>
    <s v=""/>
    <m/>
    <m/>
    <m/>
    <m/>
    <m/>
    <m/>
    <m/>
    <m/>
    <m/>
    <m/>
    <m/>
    <m/>
    <s v=""/>
    <m/>
    <n v="0"/>
    <m/>
    <n v="0"/>
    <n v="578977.20999999973"/>
    <n v="13735"/>
    <s v=""/>
    <s v=""/>
    <m/>
  </r>
  <r>
    <x v="13"/>
    <d v="2025-08-25T05:02:24"/>
    <s v="DS 5am"/>
    <m/>
    <m/>
    <m/>
    <m/>
    <s v=""/>
    <m/>
    <m/>
    <s v=""/>
    <m/>
    <m/>
    <n v="0"/>
    <m/>
    <m/>
    <n v="0"/>
    <m/>
    <m/>
    <n v="0"/>
    <s v=""/>
    <s v=""/>
    <s v=""/>
    <m/>
    <m/>
    <m/>
    <m/>
    <m/>
    <m/>
    <m/>
    <m/>
    <m/>
    <m/>
    <m/>
    <m/>
    <s v=""/>
    <m/>
    <n v="0"/>
    <m/>
    <n v="0"/>
    <n v="578977.20999999973"/>
    <n v="13735"/>
    <s v=""/>
    <s v=""/>
    <m/>
  </r>
  <r>
    <x v="13"/>
    <d v="2025-08-25T17:02:24"/>
    <s v="NS 5pm"/>
    <m/>
    <m/>
    <m/>
    <m/>
    <s v=""/>
    <m/>
    <m/>
    <s v=""/>
    <m/>
    <m/>
    <n v="0"/>
    <m/>
    <m/>
    <n v="0"/>
    <m/>
    <m/>
    <n v="0"/>
    <s v=""/>
    <s v=""/>
    <s v=""/>
    <m/>
    <m/>
    <m/>
    <m/>
    <m/>
    <m/>
    <m/>
    <m/>
    <m/>
    <m/>
    <m/>
    <m/>
    <s v=""/>
    <m/>
    <n v="0"/>
    <m/>
    <n v="0"/>
    <n v="578977.20999999973"/>
    <n v="13735"/>
    <s v=""/>
    <s v=""/>
    <m/>
  </r>
  <r>
    <x v="13"/>
    <d v="2025-08-26T05:02:24"/>
    <s v="DS 5am"/>
    <m/>
    <m/>
    <m/>
    <m/>
    <s v=""/>
    <m/>
    <m/>
    <s v=""/>
    <m/>
    <m/>
    <n v="0"/>
    <m/>
    <m/>
    <n v="0"/>
    <m/>
    <m/>
    <n v="0"/>
    <s v=""/>
    <s v=""/>
    <s v=""/>
    <m/>
    <m/>
    <m/>
    <m/>
    <m/>
    <m/>
    <m/>
    <m/>
    <m/>
    <m/>
    <m/>
    <m/>
    <s v=""/>
    <m/>
    <n v="0"/>
    <m/>
    <n v="0"/>
    <n v="578977.20999999973"/>
    <n v="13735"/>
    <s v=""/>
    <s v=""/>
    <m/>
  </r>
  <r>
    <x v="13"/>
    <d v="2025-08-26T17:02:24"/>
    <s v="NS 5pm"/>
    <m/>
    <m/>
    <m/>
    <m/>
    <s v=""/>
    <m/>
    <m/>
    <s v=""/>
    <m/>
    <m/>
    <n v="0"/>
    <m/>
    <m/>
    <n v="0"/>
    <m/>
    <m/>
    <n v="0"/>
    <s v=""/>
    <s v=""/>
    <s v=""/>
    <m/>
    <m/>
    <m/>
    <m/>
    <m/>
    <m/>
    <m/>
    <m/>
    <m/>
    <m/>
    <m/>
    <m/>
    <s v=""/>
    <m/>
    <n v="0"/>
    <m/>
    <n v="0"/>
    <n v="578977.20999999973"/>
    <n v="13735"/>
    <s v=""/>
    <s v=""/>
    <m/>
  </r>
  <r>
    <x v="13"/>
    <d v="2025-08-27T05:02:24"/>
    <s v="DS 5am"/>
    <m/>
    <m/>
    <m/>
    <m/>
    <s v=""/>
    <m/>
    <m/>
    <s v=""/>
    <m/>
    <m/>
    <n v="0"/>
    <m/>
    <m/>
    <n v="0"/>
    <m/>
    <m/>
    <n v="0"/>
    <s v=""/>
    <s v=""/>
    <s v=""/>
    <m/>
    <m/>
    <m/>
    <m/>
    <m/>
    <m/>
    <m/>
    <m/>
    <m/>
    <m/>
    <m/>
    <m/>
    <s v=""/>
    <m/>
    <n v="0"/>
    <m/>
    <n v="0"/>
    <n v="578977.20999999973"/>
    <n v="13735"/>
    <s v=""/>
    <s v=""/>
    <m/>
  </r>
  <r>
    <x v="13"/>
    <d v="2025-08-27T17:02:24"/>
    <s v="NS 5pm"/>
    <m/>
    <m/>
    <m/>
    <m/>
    <s v=""/>
    <m/>
    <m/>
    <s v=""/>
    <m/>
    <m/>
    <n v="0"/>
    <m/>
    <m/>
    <n v="0"/>
    <m/>
    <m/>
    <n v="0"/>
    <s v=""/>
    <s v=""/>
    <s v=""/>
    <m/>
    <m/>
    <m/>
    <m/>
    <m/>
    <m/>
    <m/>
    <m/>
    <m/>
    <m/>
    <m/>
    <m/>
    <s v=""/>
    <m/>
    <n v="0"/>
    <m/>
    <n v="0"/>
    <n v="578977.20999999973"/>
    <n v="13735"/>
    <s v=""/>
    <s v=""/>
    <m/>
  </r>
  <r>
    <x v="13"/>
    <d v="2025-08-28T05:02:24"/>
    <s v="DS 5am"/>
    <m/>
    <m/>
    <m/>
    <m/>
    <s v=""/>
    <m/>
    <m/>
    <s v=""/>
    <m/>
    <m/>
    <n v="0"/>
    <m/>
    <m/>
    <n v="0"/>
    <m/>
    <m/>
    <n v="0"/>
    <s v=""/>
    <s v=""/>
    <s v=""/>
    <m/>
    <m/>
    <m/>
    <m/>
    <m/>
    <m/>
    <m/>
    <m/>
    <m/>
    <m/>
    <m/>
    <m/>
    <s v=""/>
    <m/>
    <n v="0"/>
    <m/>
    <n v="0"/>
    <n v="578977.20999999973"/>
    <n v="13735"/>
    <s v=""/>
    <s v=""/>
    <m/>
  </r>
  <r>
    <x v="13"/>
    <d v="2025-08-28T17:02:24"/>
    <s v="NS 5pm"/>
    <m/>
    <m/>
    <m/>
    <m/>
    <s v=""/>
    <m/>
    <m/>
    <s v=""/>
    <m/>
    <m/>
    <n v="0"/>
    <m/>
    <m/>
    <n v="0"/>
    <m/>
    <m/>
    <n v="0"/>
    <s v=""/>
    <s v=""/>
    <s v=""/>
    <m/>
    <m/>
    <m/>
    <m/>
    <m/>
    <m/>
    <m/>
    <m/>
    <m/>
    <m/>
    <m/>
    <m/>
    <s v=""/>
    <m/>
    <n v="0"/>
    <m/>
    <n v="0"/>
    <n v="578977.20999999973"/>
    <n v="13735"/>
    <s v=""/>
    <s v=""/>
    <m/>
  </r>
  <r>
    <x v="13"/>
    <d v="2025-08-29T05:02:24"/>
    <s v="DS 5am"/>
    <m/>
    <m/>
    <m/>
    <m/>
    <s v=""/>
    <m/>
    <m/>
    <s v=""/>
    <m/>
    <m/>
    <n v="0"/>
    <m/>
    <m/>
    <n v="0"/>
    <m/>
    <m/>
    <n v="0"/>
    <s v=""/>
    <s v=""/>
    <s v=""/>
    <m/>
    <m/>
    <m/>
    <m/>
    <m/>
    <m/>
    <m/>
    <m/>
    <m/>
    <m/>
    <m/>
    <m/>
    <s v=""/>
    <m/>
    <n v="0"/>
    <m/>
    <n v="0"/>
    <n v="578977.20999999973"/>
    <n v="13735"/>
    <s v=""/>
    <s v=""/>
    <m/>
  </r>
  <r>
    <x v="13"/>
    <d v="2025-08-29T17:02:24"/>
    <s v="NS 5pm"/>
    <m/>
    <m/>
    <m/>
    <m/>
    <s v=""/>
    <m/>
    <m/>
    <s v=""/>
    <m/>
    <m/>
    <n v="0"/>
    <m/>
    <m/>
    <n v="0"/>
    <m/>
    <m/>
    <n v="0"/>
    <s v=""/>
    <s v=""/>
    <s v=""/>
    <m/>
    <m/>
    <m/>
    <m/>
    <m/>
    <m/>
    <m/>
    <m/>
    <m/>
    <m/>
    <m/>
    <m/>
    <s v=""/>
    <m/>
    <n v="0"/>
    <m/>
    <n v="0"/>
    <n v="578977.20999999973"/>
    <n v="13735"/>
    <s v=""/>
    <s v=""/>
    <m/>
  </r>
  <r>
    <x v="13"/>
    <d v="2025-08-30T05:02:24"/>
    <s v="DS 5am"/>
    <m/>
    <m/>
    <m/>
    <m/>
    <s v=""/>
    <m/>
    <m/>
    <s v=""/>
    <m/>
    <m/>
    <n v="0"/>
    <m/>
    <m/>
    <n v="0"/>
    <m/>
    <m/>
    <n v="0"/>
    <s v=""/>
    <s v=""/>
    <s v=""/>
    <m/>
    <m/>
    <m/>
    <m/>
    <m/>
    <m/>
    <m/>
    <m/>
    <m/>
    <m/>
    <m/>
    <m/>
    <s v=""/>
    <m/>
    <n v="0"/>
    <m/>
    <n v="0"/>
    <n v="578977.20999999973"/>
    <n v="13735"/>
    <s v=""/>
    <s v=""/>
    <m/>
  </r>
  <r>
    <x v="13"/>
    <d v="2025-08-30T17:02:24"/>
    <s v="NS 5pm"/>
    <m/>
    <m/>
    <m/>
    <m/>
    <s v=""/>
    <m/>
    <m/>
    <s v=""/>
    <m/>
    <m/>
    <n v="0"/>
    <m/>
    <m/>
    <n v="0"/>
    <m/>
    <m/>
    <n v="0"/>
    <s v=""/>
    <s v=""/>
    <s v=""/>
    <m/>
    <m/>
    <m/>
    <m/>
    <m/>
    <m/>
    <m/>
    <m/>
    <m/>
    <m/>
    <m/>
    <m/>
    <s v=""/>
    <m/>
    <n v="0"/>
    <m/>
    <n v="0"/>
    <n v="578977.20999999973"/>
    <n v="13735"/>
    <s v=""/>
    <s v=""/>
    <m/>
  </r>
  <r>
    <x v="13"/>
    <d v="2025-08-31T05:02:24"/>
    <s v="DS 5am"/>
    <m/>
    <m/>
    <m/>
    <m/>
    <s v=""/>
    <m/>
    <m/>
    <s v=""/>
    <m/>
    <m/>
    <n v="0"/>
    <m/>
    <m/>
    <n v="0"/>
    <m/>
    <m/>
    <n v="0"/>
    <s v=""/>
    <s v=""/>
    <s v=""/>
    <m/>
    <m/>
    <m/>
    <m/>
    <m/>
    <m/>
    <m/>
    <m/>
    <m/>
    <m/>
    <m/>
    <m/>
    <s v=""/>
    <m/>
    <n v="0"/>
    <m/>
    <n v="0"/>
    <n v="578977.20999999973"/>
    <n v="13735"/>
    <s v=""/>
    <s v=""/>
    <m/>
  </r>
  <r>
    <x v="13"/>
    <d v="2025-08-31T17:02:24"/>
    <s v="NS 5pm"/>
    <m/>
    <m/>
    <m/>
    <m/>
    <s v=""/>
    <m/>
    <m/>
    <s v=""/>
    <m/>
    <m/>
    <n v="0"/>
    <m/>
    <m/>
    <n v="0"/>
    <m/>
    <m/>
    <n v="0"/>
    <s v=""/>
    <s v=""/>
    <s v=""/>
    <m/>
    <m/>
    <m/>
    <m/>
    <m/>
    <m/>
    <m/>
    <m/>
    <m/>
    <m/>
    <m/>
    <m/>
    <s v=""/>
    <m/>
    <n v="0"/>
    <m/>
    <n v="0"/>
    <n v="578977.20999999973"/>
    <n v="13735"/>
    <s v=""/>
    <s v=""/>
    <m/>
  </r>
  <r>
    <x v="13"/>
    <d v="2025-09-01T05:02:24"/>
    <s v="DS 5am"/>
    <m/>
    <m/>
    <m/>
    <m/>
    <s v=""/>
    <m/>
    <m/>
    <s v=""/>
    <m/>
    <m/>
    <n v="0"/>
    <m/>
    <m/>
    <n v="0"/>
    <m/>
    <m/>
    <n v="0"/>
    <s v=""/>
    <s v=""/>
    <s v=""/>
    <m/>
    <m/>
    <m/>
    <m/>
    <m/>
    <m/>
    <m/>
    <m/>
    <m/>
    <m/>
    <m/>
    <m/>
    <s v=""/>
    <m/>
    <n v="0"/>
    <m/>
    <n v="0"/>
    <n v="578977.20999999973"/>
    <n v="0"/>
    <s v=""/>
    <s v=""/>
    <m/>
  </r>
  <r>
    <x v="13"/>
    <d v="2025-09-01T17:02:24"/>
    <s v="NS 5pm"/>
    <m/>
    <m/>
    <m/>
    <m/>
    <s v=""/>
    <m/>
    <m/>
    <s v=""/>
    <m/>
    <m/>
    <n v="0"/>
    <m/>
    <m/>
    <n v="0"/>
    <m/>
    <m/>
    <n v="0"/>
    <s v=""/>
    <s v=""/>
    <s v=""/>
    <m/>
    <m/>
    <m/>
    <m/>
    <m/>
    <m/>
    <m/>
    <m/>
    <m/>
    <m/>
    <m/>
    <m/>
    <s v=""/>
    <m/>
    <n v="0"/>
    <m/>
    <n v="0"/>
    <n v="578977.20999999973"/>
    <n v="0"/>
    <s v=""/>
    <s v=""/>
    <m/>
  </r>
  <r>
    <x v="13"/>
    <d v="2025-09-02T05:02:24"/>
    <s v="DS 5am"/>
    <m/>
    <m/>
    <m/>
    <m/>
    <s v=""/>
    <m/>
    <m/>
    <s v=""/>
    <m/>
    <m/>
    <n v="0"/>
    <m/>
    <m/>
    <n v="0"/>
    <m/>
    <m/>
    <n v="0"/>
    <s v=""/>
    <s v=""/>
    <s v=""/>
    <m/>
    <m/>
    <m/>
    <m/>
    <m/>
    <m/>
    <m/>
    <m/>
    <m/>
    <m/>
    <m/>
    <m/>
    <s v=""/>
    <m/>
    <n v="0"/>
    <m/>
    <n v="0"/>
    <n v="578977.20999999973"/>
    <n v="0"/>
    <s v=""/>
    <s v=""/>
    <m/>
  </r>
  <r>
    <x v="13"/>
    <d v="2025-09-02T17:02:24"/>
    <s v="NS 5pm"/>
    <m/>
    <m/>
    <m/>
    <m/>
    <s v=""/>
    <m/>
    <m/>
    <s v=""/>
    <m/>
    <m/>
    <n v="0"/>
    <m/>
    <m/>
    <n v="0"/>
    <m/>
    <m/>
    <n v="0"/>
    <s v=""/>
    <s v=""/>
    <s v=""/>
    <m/>
    <m/>
    <m/>
    <m/>
    <m/>
    <m/>
    <m/>
    <m/>
    <m/>
    <m/>
    <m/>
    <m/>
    <s v=""/>
    <m/>
    <n v="0"/>
    <m/>
    <n v="0"/>
    <n v="578977.20999999973"/>
    <n v="0"/>
    <s v=""/>
    <s v=""/>
    <m/>
  </r>
  <r>
    <x v="13"/>
    <d v="2025-09-03T05:02:24"/>
    <s v="DS 5am"/>
    <m/>
    <m/>
    <m/>
    <m/>
    <s v=""/>
    <m/>
    <m/>
    <s v=""/>
    <m/>
    <m/>
    <n v="0"/>
    <m/>
    <m/>
    <n v="0"/>
    <m/>
    <m/>
    <n v="0"/>
    <s v=""/>
    <s v=""/>
    <s v=""/>
    <m/>
    <m/>
    <m/>
    <m/>
    <m/>
    <m/>
    <m/>
    <m/>
    <m/>
    <m/>
    <m/>
    <m/>
    <s v=""/>
    <m/>
    <n v="0"/>
    <m/>
    <n v="0"/>
    <n v="578977.20999999973"/>
    <n v="0"/>
    <s v=""/>
    <s v=""/>
    <m/>
  </r>
  <r>
    <x v="13"/>
    <d v="2025-09-03T17:02:24"/>
    <s v="NS 5pm"/>
    <m/>
    <m/>
    <m/>
    <m/>
    <s v=""/>
    <m/>
    <m/>
    <s v=""/>
    <m/>
    <m/>
    <n v="0"/>
    <m/>
    <m/>
    <n v="0"/>
    <m/>
    <m/>
    <n v="0"/>
    <s v=""/>
    <s v=""/>
    <s v=""/>
    <m/>
    <m/>
    <m/>
    <m/>
    <m/>
    <m/>
    <m/>
    <m/>
    <m/>
    <m/>
    <m/>
    <m/>
    <s v=""/>
    <m/>
    <n v="0"/>
    <m/>
    <n v="0"/>
    <n v="578977.20999999973"/>
    <n v="0"/>
    <s v=""/>
    <s v=""/>
    <m/>
  </r>
  <r>
    <x v="13"/>
    <d v="2025-09-04T05:02:24"/>
    <s v="DS 5am"/>
    <m/>
    <m/>
    <m/>
    <m/>
    <s v=""/>
    <m/>
    <m/>
    <s v=""/>
    <m/>
    <m/>
    <n v="0"/>
    <m/>
    <m/>
    <n v="0"/>
    <m/>
    <m/>
    <n v="0"/>
    <s v=""/>
    <s v=""/>
    <s v=""/>
    <m/>
    <m/>
    <m/>
    <m/>
    <m/>
    <m/>
    <m/>
    <m/>
    <m/>
    <m/>
    <m/>
    <m/>
    <s v=""/>
    <m/>
    <n v="0"/>
    <m/>
    <n v="0"/>
    <n v="578977.20999999973"/>
    <n v="0"/>
    <s v=""/>
    <s v=""/>
    <m/>
  </r>
  <r>
    <x v="13"/>
    <d v="2025-09-04T17:02:24"/>
    <s v="NS 5pm"/>
    <m/>
    <m/>
    <m/>
    <m/>
    <s v=""/>
    <m/>
    <m/>
    <s v=""/>
    <m/>
    <m/>
    <n v="0"/>
    <m/>
    <m/>
    <n v="0"/>
    <m/>
    <m/>
    <n v="0"/>
    <s v=""/>
    <s v=""/>
    <s v=""/>
    <m/>
    <m/>
    <m/>
    <m/>
    <m/>
    <m/>
    <m/>
    <m/>
    <m/>
    <m/>
    <m/>
    <m/>
    <s v=""/>
    <m/>
    <n v="0"/>
    <m/>
    <n v="0"/>
    <n v="578977.20999999973"/>
    <n v="0"/>
    <s v=""/>
    <s v=""/>
    <m/>
  </r>
  <r>
    <x v="13"/>
    <d v="2025-09-05T05:02:24"/>
    <s v="DS 5am"/>
    <m/>
    <m/>
    <m/>
    <m/>
    <s v=""/>
    <m/>
    <m/>
    <s v=""/>
    <m/>
    <m/>
    <n v="0"/>
    <m/>
    <m/>
    <n v="0"/>
    <m/>
    <m/>
    <n v="0"/>
    <s v=""/>
    <s v=""/>
    <s v=""/>
    <m/>
    <m/>
    <m/>
    <m/>
    <m/>
    <m/>
    <m/>
    <m/>
    <m/>
    <m/>
    <m/>
    <m/>
    <s v=""/>
    <m/>
    <n v="0"/>
    <m/>
    <n v="0"/>
    <n v="578977.20999999973"/>
    <n v="0"/>
    <s v=""/>
    <s v=""/>
    <m/>
  </r>
  <r>
    <x v="13"/>
    <d v="2025-09-05T17:02:24"/>
    <s v="NS 5pm"/>
    <m/>
    <m/>
    <m/>
    <m/>
    <s v=""/>
    <m/>
    <m/>
    <s v=""/>
    <m/>
    <m/>
    <n v="0"/>
    <m/>
    <m/>
    <n v="0"/>
    <m/>
    <m/>
    <n v="0"/>
    <s v=""/>
    <s v=""/>
    <s v=""/>
    <m/>
    <m/>
    <m/>
    <m/>
    <m/>
    <m/>
    <m/>
    <m/>
    <m/>
    <m/>
    <m/>
    <m/>
    <s v=""/>
    <m/>
    <n v="0"/>
    <m/>
    <n v="0"/>
    <n v="578977.20999999973"/>
    <n v="0"/>
    <s v=""/>
    <s v=""/>
    <m/>
  </r>
  <r>
    <x v="13"/>
    <d v="2025-09-06T05:02:24"/>
    <s v="DS 5am"/>
    <m/>
    <m/>
    <m/>
    <m/>
    <s v=""/>
    <m/>
    <m/>
    <s v=""/>
    <m/>
    <m/>
    <n v="0"/>
    <m/>
    <m/>
    <n v="0"/>
    <m/>
    <m/>
    <n v="0"/>
    <s v=""/>
    <s v=""/>
    <s v=""/>
    <m/>
    <m/>
    <m/>
    <m/>
    <m/>
    <m/>
    <m/>
    <m/>
    <m/>
    <m/>
    <m/>
    <m/>
    <s v=""/>
    <m/>
    <n v="0"/>
    <m/>
    <n v="0"/>
    <n v="578977.20999999973"/>
    <n v="0"/>
    <s v=""/>
    <s v=""/>
    <m/>
  </r>
  <r>
    <x v="13"/>
    <d v="2025-09-06T17:02:24"/>
    <s v="NS 5pm"/>
    <m/>
    <m/>
    <m/>
    <m/>
    <s v=""/>
    <m/>
    <m/>
    <s v=""/>
    <m/>
    <m/>
    <n v="0"/>
    <m/>
    <m/>
    <n v="0"/>
    <m/>
    <m/>
    <n v="0"/>
    <s v=""/>
    <s v=""/>
    <s v=""/>
    <m/>
    <m/>
    <m/>
    <m/>
    <m/>
    <m/>
    <m/>
    <m/>
    <m/>
    <m/>
    <m/>
    <m/>
    <s v=""/>
    <m/>
    <n v="0"/>
    <m/>
    <n v="0"/>
    <n v="578977.20999999973"/>
    <n v="0"/>
    <s v=""/>
    <s v=""/>
    <m/>
  </r>
  <r>
    <x v="13"/>
    <d v="2025-09-07T05:02:24"/>
    <s v="DS 5am"/>
    <m/>
    <m/>
    <m/>
    <m/>
    <s v=""/>
    <m/>
    <m/>
    <s v=""/>
    <m/>
    <m/>
    <n v="0"/>
    <m/>
    <m/>
    <n v="0"/>
    <m/>
    <m/>
    <n v="0"/>
    <s v=""/>
    <s v=""/>
    <s v=""/>
    <m/>
    <m/>
    <m/>
    <m/>
    <m/>
    <m/>
    <m/>
    <m/>
    <m/>
    <m/>
    <m/>
    <m/>
    <s v=""/>
    <m/>
    <n v="0"/>
    <m/>
    <n v="0"/>
    <n v="578977.20999999973"/>
    <n v="0"/>
    <s v=""/>
    <s v=""/>
    <m/>
  </r>
  <r>
    <x v="13"/>
    <d v="2025-09-07T17:02:24"/>
    <s v="NS 5pm"/>
    <m/>
    <m/>
    <m/>
    <m/>
    <s v=""/>
    <m/>
    <m/>
    <s v=""/>
    <m/>
    <m/>
    <n v="0"/>
    <m/>
    <m/>
    <n v="0"/>
    <m/>
    <m/>
    <n v="0"/>
    <s v=""/>
    <s v=""/>
    <s v=""/>
    <m/>
    <m/>
    <m/>
    <m/>
    <m/>
    <m/>
    <m/>
    <m/>
    <m/>
    <m/>
    <m/>
    <m/>
    <s v=""/>
    <m/>
    <n v="0"/>
    <m/>
    <n v="0"/>
    <n v="578977.20999999973"/>
    <n v="0"/>
    <s v=""/>
    <s v=""/>
    <m/>
  </r>
  <r>
    <x v="13"/>
    <d v="2025-09-08T05:02:24"/>
    <s v="DS 5am"/>
    <m/>
    <m/>
    <m/>
    <m/>
    <s v=""/>
    <m/>
    <m/>
    <s v=""/>
    <m/>
    <m/>
    <n v="0"/>
    <m/>
    <m/>
    <n v="0"/>
    <m/>
    <m/>
    <n v="0"/>
    <s v=""/>
    <s v=""/>
    <s v=""/>
    <m/>
    <m/>
    <m/>
    <m/>
    <m/>
    <m/>
    <m/>
    <m/>
    <m/>
    <m/>
    <m/>
    <m/>
    <s v=""/>
    <m/>
    <n v="0"/>
    <m/>
    <n v="0"/>
    <n v="578977.20999999973"/>
    <n v="0"/>
    <s v=""/>
    <s v=""/>
    <m/>
  </r>
  <r>
    <x v="13"/>
    <d v="2025-09-08T17:02:24"/>
    <s v="NS 5pm"/>
    <m/>
    <m/>
    <m/>
    <m/>
    <s v=""/>
    <m/>
    <m/>
    <s v=""/>
    <m/>
    <m/>
    <n v="0"/>
    <m/>
    <m/>
    <n v="0"/>
    <m/>
    <m/>
    <n v="0"/>
    <s v=""/>
    <s v=""/>
    <s v=""/>
    <m/>
    <m/>
    <m/>
    <m/>
    <m/>
    <m/>
    <m/>
    <m/>
    <m/>
    <m/>
    <m/>
    <m/>
    <s v=""/>
    <m/>
    <n v="0"/>
    <m/>
    <n v="0"/>
    <n v="578977.20999999973"/>
    <n v="0"/>
    <s v=""/>
    <s v=""/>
    <m/>
  </r>
  <r>
    <x v="13"/>
    <d v="2025-09-09T05:02:24"/>
    <s v="DS 5am"/>
    <m/>
    <m/>
    <m/>
    <m/>
    <s v=""/>
    <m/>
    <m/>
    <s v=""/>
    <m/>
    <m/>
    <n v="0"/>
    <m/>
    <m/>
    <n v="0"/>
    <m/>
    <m/>
    <n v="0"/>
    <s v=""/>
    <s v=""/>
    <s v=""/>
    <m/>
    <m/>
    <m/>
    <m/>
    <m/>
    <m/>
    <m/>
    <m/>
    <m/>
    <m/>
    <m/>
    <m/>
    <s v=""/>
    <m/>
    <n v="0"/>
    <m/>
    <n v="0"/>
    <n v="578977.20999999973"/>
    <n v="0"/>
    <s v=""/>
    <s v=""/>
    <m/>
  </r>
  <r>
    <x v="13"/>
    <d v="2025-09-09T17:02:24"/>
    <s v="NS 5pm"/>
    <m/>
    <m/>
    <m/>
    <m/>
    <s v=""/>
    <m/>
    <m/>
    <s v=""/>
    <m/>
    <m/>
    <n v="0"/>
    <m/>
    <m/>
    <n v="0"/>
    <m/>
    <m/>
    <n v="0"/>
    <s v=""/>
    <s v=""/>
    <s v=""/>
    <m/>
    <m/>
    <m/>
    <m/>
    <m/>
    <m/>
    <m/>
    <m/>
    <m/>
    <m/>
    <m/>
    <m/>
    <s v=""/>
    <m/>
    <n v="0"/>
    <m/>
    <n v="0"/>
    <n v="578977.20999999973"/>
    <n v="0"/>
    <s v=""/>
    <s v=""/>
    <m/>
  </r>
  <r>
    <x v="13"/>
    <d v="2025-09-10T05:02:24"/>
    <s v="DS 5am"/>
    <m/>
    <m/>
    <m/>
    <m/>
    <s v=""/>
    <m/>
    <m/>
    <s v=""/>
    <m/>
    <m/>
    <n v="0"/>
    <m/>
    <m/>
    <n v="0"/>
    <m/>
    <m/>
    <n v="0"/>
    <s v=""/>
    <s v=""/>
    <s v=""/>
    <m/>
    <m/>
    <m/>
    <m/>
    <m/>
    <m/>
    <m/>
    <m/>
    <m/>
    <m/>
    <m/>
    <m/>
    <s v=""/>
    <m/>
    <n v="0"/>
    <m/>
    <n v="0"/>
    <n v="578977.20999999973"/>
    <n v="0"/>
    <s v=""/>
    <s v=""/>
    <m/>
  </r>
  <r>
    <x v="13"/>
    <d v="2025-09-10T17:02:24"/>
    <s v="NS 5pm"/>
    <m/>
    <m/>
    <m/>
    <m/>
    <s v=""/>
    <m/>
    <m/>
    <s v=""/>
    <m/>
    <m/>
    <n v="0"/>
    <m/>
    <m/>
    <n v="0"/>
    <m/>
    <m/>
    <n v="0"/>
    <s v=""/>
    <s v=""/>
    <s v=""/>
    <m/>
    <m/>
    <m/>
    <m/>
    <m/>
    <m/>
    <m/>
    <m/>
    <m/>
    <m/>
    <m/>
    <m/>
    <s v=""/>
    <m/>
    <n v="0"/>
    <m/>
    <n v="0"/>
    <n v="578977.20999999973"/>
    <n v="0"/>
    <s v=""/>
    <s v=""/>
    <m/>
  </r>
  <r>
    <x v="13"/>
    <d v="2025-09-11T05:02:24"/>
    <s v="DS 5am"/>
    <m/>
    <m/>
    <m/>
    <m/>
    <s v=""/>
    <m/>
    <m/>
    <s v=""/>
    <m/>
    <m/>
    <n v="0"/>
    <m/>
    <m/>
    <n v="0"/>
    <m/>
    <m/>
    <n v="0"/>
    <s v=""/>
    <s v=""/>
    <s v=""/>
    <m/>
    <m/>
    <m/>
    <m/>
    <m/>
    <m/>
    <m/>
    <m/>
    <m/>
    <m/>
    <m/>
    <m/>
    <s v=""/>
    <m/>
    <n v="0"/>
    <m/>
    <n v="0"/>
    <n v="578977.20999999973"/>
    <n v="0"/>
    <s v=""/>
    <s v=""/>
    <m/>
  </r>
  <r>
    <x v="13"/>
    <d v="2025-09-11T17:02:24"/>
    <s v="NS 5pm"/>
    <m/>
    <m/>
    <m/>
    <m/>
    <s v=""/>
    <m/>
    <m/>
    <s v=""/>
    <m/>
    <m/>
    <n v="0"/>
    <m/>
    <m/>
    <n v="0"/>
    <m/>
    <m/>
    <n v="0"/>
    <s v=""/>
    <s v=""/>
    <s v=""/>
    <m/>
    <m/>
    <m/>
    <m/>
    <m/>
    <m/>
    <m/>
    <m/>
    <m/>
    <m/>
    <m/>
    <m/>
    <s v=""/>
    <m/>
    <n v="0"/>
    <m/>
    <n v="0"/>
    <n v="578977.20999999973"/>
    <n v="0"/>
    <s v=""/>
    <s v=""/>
    <m/>
  </r>
  <r>
    <x v="13"/>
    <d v="2025-09-12T05:02:24"/>
    <s v="DS 5am"/>
    <m/>
    <m/>
    <m/>
    <m/>
    <s v=""/>
    <m/>
    <m/>
    <s v=""/>
    <m/>
    <m/>
    <n v="0"/>
    <m/>
    <m/>
    <n v="0"/>
    <m/>
    <m/>
    <n v="0"/>
    <s v=""/>
    <s v=""/>
    <s v=""/>
    <m/>
    <m/>
    <m/>
    <m/>
    <m/>
    <m/>
    <m/>
    <m/>
    <m/>
    <m/>
    <m/>
    <m/>
    <s v=""/>
    <m/>
    <n v="0"/>
    <m/>
    <n v="0"/>
    <n v="578977.20999999973"/>
    <n v="0"/>
    <s v=""/>
    <s v=""/>
    <m/>
  </r>
  <r>
    <x v="13"/>
    <d v="2025-09-12T17:02:24"/>
    <s v="NS 5pm"/>
    <m/>
    <m/>
    <m/>
    <m/>
    <s v=""/>
    <m/>
    <m/>
    <s v=""/>
    <m/>
    <m/>
    <n v="0"/>
    <m/>
    <m/>
    <n v="0"/>
    <m/>
    <m/>
    <n v="0"/>
    <s v=""/>
    <s v=""/>
    <s v=""/>
    <m/>
    <m/>
    <m/>
    <m/>
    <m/>
    <m/>
    <m/>
    <m/>
    <m/>
    <m/>
    <m/>
    <m/>
    <s v=""/>
    <m/>
    <n v="0"/>
    <m/>
    <n v="0"/>
    <n v="578977.20999999973"/>
    <n v="0"/>
    <s v=""/>
    <s v=""/>
    <m/>
  </r>
  <r>
    <x v="13"/>
    <d v="2025-09-13T05:02:24"/>
    <s v="DS 5am"/>
    <m/>
    <m/>
    <m/>
    <m/>
    <s v=""/>
    <m/>
    <m/>
    <s v=""/>
    <m/>
    <m/>
    <n v="0"/>
    <m/>
    <m/>
    <n v="0"/>
    <m/>
    <m/>
    <n v="0"/>
    <s v=""/>
    <s v=""/>
    <s v=""/>
    <m/>
    <m/>
    <m/>
    <m/>
    <m/>
    <m/>
    <m/>
    <m/>
    <m/>
    <m/>
    <m/>
    <m/>
    <s v=""/>
    <m/>
    <n v="0"/>
    <m/>
    <n v="0"/>
    <n v="578977.20999999973"/>
    <n v="0"/>
    <s v=""/>
    <s v=""/>
    <m/>
  </r>
  <r>
    <x v="13"/>
    <d v="2025-09-13T17:02:24"/>
    <s v="NS 5pm"/>
    <m/>
    <m/>
    <m/>
    <m/>
    <s v=""/>
    <m/>
    <m/>
    <s v=""/>
    <m/>
    <m/>
    <n v="0"/>
    <m/>
    <m/>
    <n v="0"/>
    <m/>
    <m/>
    <n v="0"/>
    <s v=""/>
    <s v=""/>
    <s v=""/>
    <m/>
    <m/>
    <m/>
    <m/>
    <m/>
    <m/>
    <m/>
    <m/>
    <m/>
    <m/>
    <m/>
    <m/>
    <s v=""/>
    <m/>
    <n v="0"/>
    <m/>
    <n v="0"/>
    <n v="578977.20999999973"/>
    <n v="0"/>
    <s v=""/>
    <s v=""/>
    <m/>
  </r>
  <r>
    <x v="13"/>
    <d v="2025-09-14T05:02:24"/>
    <s v="DS 5am"/>
    <m/>
    <m/>
    <m/>
    <m/>
    <s v=""/>
    <m/>
    <m/>
    <s v=""/>
    <m/>
    <m/>
    <n v="0"/>
    <m/>
    <m/>
    <n v="0"/>
    <m/>
    <m/>
    <n v="0"/>
    <s v=""/>
    <s v=""/>
    <s v=""/>
    <m/>
    <m/>
    <m/>
    <m/>
    <m/>
    <m/>
    <m/>
    <m/>
    <m/>
    <m/>
    <m/>
    <m/>
    <s v=""/>
    <m/>
    <n v="0"/>
    <m/>
    <n v="0"/>
    <n v="578977.20999999973"/>
    <n v="0"/>
    <s v=""/>
    <s v=""/>
    <m/>
  </r>
  <r>
    <x v="13"/>
    <d v="2025-09-14T17:02:24"/>
    <s v="NS 5pm"/>
    <m/>
    <m/>
    <m/>
    <m/>
    <s v=""/>
    <m/>
    <m/>
    <s v=""/>
    <m/>
    <m/>
    <n v="0"/>
    <m/>
    <m/>
    <n v="0"/>
    <m/>
    <m/>
    <n v="0"/>
    <s v=""/>
    <s v=""/>
    <s v=""/>
    <m/>
    <m/>
    <m/>
    <m/>
    <m/>
    <m/>
    <m/>
    <m/>
    <m/>
    <m/>
    <m/>
    <m/>
    <s v=""/>
    <m/>
    <n v="0"/>
    <m/>
    <n v="0"/>
    <n v="578977.20999999973"/>
    <n v="0"/>
    <s v=""/>
    <s v=""/>
    <m/>
  </r>
  <r>
    <x v="13"/>
    <d v="2025-09-15T05:02:24"/>
    <s v="DS 5am"/>
    <m/>
    <m/>
    <m/>
    <m/>
    <s v=""/>
    <m/>
    <m/>
    <s v=""/>
    <m/>
    <m/>
    <n v="0"/>
    <m/>
    <m/>
    <n v="0"/>
    <m/>
    <m/>
    <n v="0"/>
    <s v=""/>
    <s v=""/>
    <s v=""/>
    <m/>
    <m/>
    <m/>
    <m/>
    <m/>
    <m/>
    <m/>
    <m/>
    <m/>
    <m/>
    <m/>
    <m/>
    <s v=""/>
    <m/>
    <n v="0"/>
    <m/>
    <n v="0"/>
    <n v="578977.20999999973"/>
    <n v="0"/>
    <s v=""/>
    <s v=""/>
    <m/>
  </r>
  <r>
    <x v="13"/>
    <d v="2025-09-15T17:02:24"/>
    <s v="NS 5pm"/>
    <m/>
    <m/>
    <m/>
    <m/>
    <s v=""/>
    <m/>
    <m/>
    <s v=""/>
    <m/>
    <m/>
    <n v="0"/>
    <m/>
    <m/>
    <n v="0"/>
    <m/>
    <m/>
    <n v="0"/>
    <s v=""/>
    <s v=""/>
    <s v=""/>
    <m/>
    <m/>
    <m/>
    <m/>
    <m/>
    <m/>
    <m/>
    <m/>
    <m/>
    <m/>
    <m/>
    <m/>
    <s v=""/>
    <m/>
    <n v="0"/>
    <m/>
    <n v="0"/>
    <n v="578977.20999999973"/>
    <n v="0"/>
    <s v=""/>
    <s v=""/>
    <m/>
  </r>
  <r>
    <x v="13"/>
    <d v="2025-09-16T05:02:24"/>
    <s v="DS 5am"/>
    <m/>
    <m/>
    <m/>
    <m/>
    <s v=""/>
    <m/>
    <m/>
    <s v=""/>
    <m/>
    <m/>
    <n v="0"/>
    <m/>
    <m/>
    <n v="0"/>
    <m/>
    <m/>
    <n v="0"/>
    <s v=""/>
    <s v=""/>
    <s v=""/>
    <m/>
    <m/>
    <m/>
    <m/>
    <m/>
    <m/>
    <m/>
    <m/>
    <m/>
    <m/>
    <m/>
    <m/>
    <s v=""/>
    <m/>
    <n v="0"/>
    <m/>
    <n v="0"/>
    <n v="578977.20999999973"/>
    <n v="0"/>
    <s v=""/>
    <s v=""/>
    <m/>
  </r>
  <r>
    <x v="13"/>
    <d v="2025-09-16T17:02:24"/>
    <s v="NS 5pm"/>
    <m/>
    <m/>
    <m/>
    <m/>
    <s v=""/>
    <m/>
    <m/>
    <s v=""/>
    <m/>
    <m/>
    <n v="0"/>
    <m/>
    <m/>
    <n v="0"/>
    <m/>
    <m/>
    <n v="0"/>
    <s v=""/>
    <s v=""/>
    <s v=""/>
    <m/>
    <m/>
    <m/>
    <m/>
    <m/>
    <m/>
    <m/>
    <m/>
    <m/>
    <m/>
    <m/>
    <m/>
    <s v=""/>
    <m/>
    <n v="0"/>
    <m/>
    <n v="0"/>
    <n v="578977.20999999973"/>
    <n v="0"/>
    <s v=""/>
    <s v=""/>
    <m/>
  </r>
  <r>
    <x v="13"/>
    <d v="2025-09-17T05:02:24"/>
    <s v="DS 5am"/>
    <m/>
    <m/>
    <m/>
    <m/>
    <s v=""/>
    <m/>
    <m/>
    <s v=""/>
    <m/>
    <m/>
    <n v="0"/>
    <m/>
    <m/>
    <n v="0"/>
    <m/>
    <m/>
    <n v="0"/>
    <s v=""/>
    <s v=""/>
    <s v=""/>
    <m/>
    <m/>
    <m/>
    <m/>
    <m/>
    <m/>
    <m/>
    <m/>
    <m/>
    <m/>
    <m/>
    <m/>
    <s v=""/>
    <m/>
    <n v="0"/>
    <m/>
    <n v="0"/>
    <n v="578977.20999999973"/>
    <n v="0"/>
    <s v=""/>
    <s v=""/>
    <m/>
  </r>
  <r>
    <x v="13"/>
    <d v="2025-09-17T17:02:24"/>
    <s v="NS 5pm"/>
    <m/>
    <m/>
    <m/>
    <m/>
    <s v=""/>
    <m/>
    <m/>
    <s v=""/>
    <m/>
    <m/>
    <n v="0"/>
    <m/>
    <m/>
    <n v="0"/>
    <m/>
    <m/>
    <n v="0"/>
    <s v=""/>
    <s v=""/>
    <s v=""/>
    <m/>
    <m/>
    <m/>
    <m/>
    <m/>
    <m/>
    <m/>
    <m/>
    <m/>
    <m/>
    <m/>
    <m/>
    <s v=""/>
    <m/>
    <n v="0"/>
    <m/>
    <n v="0"/>
    <n v="578977.20999999973"/>
    <n v="0"/>
    <s v=""/>
    <s v=""/>
    <m/>
  </r>
  <r>
    <x v="13"/>
    <d v="2025-09-18T05:02:24"/>
    <s v="DS 5am"/>
    <m/>
    <m/>
    <m/>
    <m/>
    <s v=""/>
    <m/>
    <m/>
    <s v=""/>
    <m/>
    <m/>
    <n v="0"/>
    <m/>
    <m/>
    <n v="0"/>
    <m/>
    <m/>
    <n v="0"/>
    <s v=""/>
    <s v=""/>
    <s v=""/>
    <m/>
    <m/>
    <m/>
    <m/>
    <m/>
    <m/>
    <m/>
    <m/>
    <m/>
    <m/>
    <m/>
    <m/>
    <s v=""/>
    <m/>
    <n v="0"/>
    <m/>
    <n v="0"/>
    <n v="578977.20999999973"/>
    <n v="0"/>
    <s v=""/>
    <s v=""/>
    <m/>
  </r>
  <r>
    <x v="13"/>
    <d v="2025-09-18T17:02:24"/>
    <s v="NS 5pm"/>
    <m/>
    <m/>
    <m/>
    <m/>
    <s v=""/>
    <m/>
    <m/>
    <s v=""/>
    <m/>
    <m/>
    <n v="0"/>
    <m/>
    <m/>
    <n v="0"/>
    <m/>
    <m/>
    <n v="0"/>
    <s v=""/>
    <s v=""/>
    <s v=""/>
    <m/>
    <m/>
    <m/>
    <m/>
    <m/>
    <m/>
    <m/>
    <m/>
    <m/>
    <m/>
    <m/>
    <m/>
    <s v=""/>
    <m/>
    <n v="0"/>
    <m/>
    <n v="0"/>
    <n v="578977.20999999973"/>
    <n v="0"/>
    <s v=""/>
    <s v=""/>
    <m/>
  </r>
  <r>
    <x v="13"/>
    <d v="2025-09-19T05:02:24"/>
    <s v="DS 5am"/>
    <m/>
    <m/>
    <m/>
    <m/>
    <s v=""/>
    <m/>
    <m/>
    <s v=""/>
    <m/>
    <m/>
    <n v="0"/>
    <m/>
    <m/>
    <n v="0"/>
    <m/>
    <m/>
    <n v="0"/>
    <s v=""/>
    <s v=""/>
    <s v=""/>
    <m/>
    <m/>
    <m/>
    <m/>
    <m/>
    <m/>
    <m/>
    <m/>
    <m/>
    <m/>
    <m/>
    <m/>
    <s v=""/>
    <m/>
    <n v="0"/>
    <m/>
    <n v="0"/>
    <n v="578977.20999999973"/>
    <n v="0"/>
    <s v=""/>
    <s v=""/>
    <m/>
  </r>
  <r>
    <x v="13"/>
    <d v="2025-09-19T17:02:24"/>
    <s v="NS 5pm"/>
    <m/>
    <m/>
    <m/>
    <m/>
    <s v=""/>
    <m/>
    <m/>
    <s v=""/>
    <m/>
    <m/>
    <n v="0"/>
    <m/>
    <m/>
    <n v="0"/>
    <m/>
    <m/>
    <n v="0"/>
    <s v=""/>
    <s v=""/>
    <s v=""/>
    <m/>
    <m/>
    <m/>
    <m/>
    <m/>
    <m/>
    <m/>
    <m/>
    <m/>
    <m/>
    <m/>
    <m/>
    <s v=""/>
    <m/>
    <n v="0"/>
    <m/>
    <n v="0"/>
    <n v="578977.20999999973"/>
    <n v="0"/>
    <s v=""/>
    <s v=""/>
    <m/>
  </r>
  <r>
    <x v="13"/>
    <d v="2025-09-20T05:02:24"/>
    <s v="DS 5am"/>
    <m/>
    <m/>
    <m/>
    <m/>
    <s v=""/>
    <m/>
    <m/>
    <s v=""/>
    <m/>
    <m/>
    <n v="0"/>
    <m/>
    <m/>
    <n v="0"/>
    <m/>
    <m/>
    <n v="0"/>
    <s v=""/>
    <s v=""/>
    <s v=""/>
    <m/>
    <m/>
    <m/>
    <m/>
    <m/>
    <m/>
    <m/>
    <m/>
    <m/>
    <m/>
    <m/>
    <m/>
    <s v=""/>
    <m/>
    <n v="0"/>
    <m/>
    <n v="0"/>
    <n v="578977.20999999973"/>
    <n v="0"/>
    <s v=""/>
    <s v=""/>
    <m/>
  </r>
  <r>
    <x v="13"/>
    <d v="2025-09-20T17:02:24"/>
    <s v="NS 5pm"/>
    <m/>
    <m/>
    <m/>
    <m/>
    <s v=""/>
    <m/>
    <m/>
    <s v=""/>
    <m/>
    <m/>
    <n v="0"/>
    <m/>
    <m/>
    <n v="0"/>
    <m/>
    <m/>
    <n v="0"/>
    <s v=""/>
    <s v=""/>
    <s v=""/>
    <m/>
    <m/>
    <m/>
    <m/>
    <m/>
    <m/>
    <m/>
    <m/>
    <m/>
    <m/>
    <m/>
    <m/>
    <s v=""/>
    <m/>
    <n v="0"/>
    <m/>
    <n v="0"/>
    <n v="578977.20999999973"/>
    <n v="0"/>
    <s v=""/>
    <s v=""/>
    <m/>
  </r>
  <r>
    <x v="13"/>
    <d v="2025-09-21T05:02:24"/>
    <s v="DS 5am"/>
    <m/>
    <m/>
    <m/>
    <m/>
    <s v=""/>
    <m/>
    <m/>
    <s v=""/>
    <m/>
    <m/>
    <n v="0"/>
    <m/>
    <m/>
    <n v="0"/>
    <m/>
    <m/>
    <n v="0"/>
    <s v=""/>
    <s v=""/>
    <s v=""/>
    <m/>
    <m/>
    <m/>
    <m/>
    <m/>
    <m/>
    <m/>
    <m/>
    <m/>
    <m/>
    <m/>
    <m/>
    <s v=""/>
    <m/>
    <n v="0"/>
    <m/>
    <n v="0"/>
    <n v="578977.20999999973"/>
    <n v="0"/>
    <s v=""/>
    <s v=""/>
    <m/>
  </r>
  <r>
    <x v="13"/>
    <d v="2025-09-21T17:02:24"/>
    <s v="NS 5pm"/>
    <m/>
    <m/>
    <m/>
    <m/>
    <s v=""/>
    <m/>
    <m/>
    <s v=""/>
    <m/>
    <m/>
    <n v="0"/>
    <m/>
    <m/>
    <n v="0"/>
    <m/>
    <m/>
    <n v="0"/>
    <s v=""/>
    <s v=""/>
    <s v=""/>
    <m/>
    <m/>
    <m/>
    <m/>
    <m/>
    <m/>
    <m/>
    <m/>
    <m/>
    <m/>
    <m/>
    <m/>
    <s v=""/>
    <m/>
    <n v="0"/>
    <m/>
    <n v="0"/>
    <n v="578977.20999999973"/>
    <n v="0"/>
    <s v=""/>
    <s v=""/>
    <m/>
  </r>
  <r>
    <x v="13"/>
    <d v="2025-09-22T05:02:24"/>
    <s v="DS 5am"/>
    <m/>
    <m/>
    <m/>
    <m/>
    <s v=""/>
    <m/>
    <m/>
    <s v=""/>
    <m/>
    <m/>
    <n v="0"/>
    <m/>
    <m/>
    <n v="0"/>
    <m/>
    <m/>
    <n v="0"/>
    <s v=""/>
    <s v=""/>
    <s v=""/>
    <m/>
    <m/>
    <m/>
    <m/>
    <m/>
    <m/>
    <m/>
    <m/>
    <m/>
    <m/>
    <m/>
    <m/>
    <s v=""/>
    <m/>
    <n v="0"/>
    <m/>
    <n v="0"/>
    <n v="578977.20999999973"/>
    <n v="0"/>
    <s v=""/>
    <s v=""/>
    <m/>
  </r>
  <r>
    <x v="13"/>
    <d v="2025-09-22T17:02:24"/>
    <s v="NS 5pm"/>
    <m/>
    <m/>
    <m/>
    <m/>
    <s v=""/>
    <m/>
    <m/>
    <s v=""/>
    <m/>
    <m/>
    <n v="0"/>
    <m/>
    <m/>
    <n v="0"/>
    <m/>
    <m/>
    <n v="0"/>
    <s v=""/>
    <s v=""/>
    <s v=""/>
    <m/>
    <m/>
    <m/>
    <m/>
    <m/>
    <m/>
    <m/>
    <m/>
    <m/>
    <m/>
    <m/>
    <m/>
    <s v=""/>
    <m/>
    <n v="0"/>
    <m/>
    <n v="0"/>
    <n v="578977.20999999973"/>
    <n v="0"/>
    <s v=""/>
    <s v=""/>
    <m/>
  </r>
  <r>
    <x v="13"/>
    <d v="2025-09-23T05:02:24"/>
    <s v="DS 5am"/>
    <m/>
    <m/>
    <m/>
    <m/>
    <s v=""/>
    <m/>
    <m/>
    <s v=""/>
    <m/>
    <m/>
    <n v="0"/>
    <m/>
    <m/>
    <n v="0"/>
    <m/>
    <m/>
    <n v="0"/>
    <s v=""/>
    <s v=""/>
    <s v=""/>
    <m/>
    <m/>
    <m/>
    <m/>
    <m/>
    <m/>
    <m/>
    <m/>
    <m/>
    <m/>
    <m/>
    <m/>
    <s v=""/>
    <m/>
    <n v="0"/>
    <m/>
    <n v="0"/>
    <n v="578977.20999999973"/>
    <n v="0"/>
    <s v=""/>
    <s v=""/>
    <m/>
  </r>
  <r>
    <x v="13"/>
    <d v="2025-09-23T17:02:24"/>
    <s v="NS 5pm"/>
    <m/>
    <m/>
    <m/>
    <m/>
    <s v=""/>
    <m/>
    <m/>
    <s v=""/>
    <m/>
    <m/>
    <n v="0"/>
    <m/>
    <m/>
    <n v="0"/>
    <m/>
    <m/>
    <n v="0"/>
    <s v=""/>
    <s v=""/>
    <s v=""/>
    <m/>
    <m/>
    <m/>
    <m/>
    <m/>
    <m/>
    <m/>
    <m/>
    <m/>
    <m/>
    <m/>
    <m/>
    <s v=""/>
    <m/>
    <n v="0"/>
    <m/>
    <n v="0"/>
    <n v="578977.20999999973"/>
    <n v="0"/>
    <s v=""/>
    <s v=""/>
    <m/>
  </r>
  <r>
    <x v="13"/>
    <d v="2025-09-24T05:02:24"/>
    <s v="DS 5am"/>
    <m/>
    <m/>
    <m/>
    <m/>
    <s v=""/>
    <m/>
    <m/>
    <s v=""/>
    <m/>
    <m/>
    <n v="0"/>
    <m/>
    <m/>
    <n v="0"/>
    <m/>
    <m/>
    <n v="0"/>
    <s v=""/>
    <s v=""/>
    <s v=""/>
    <m/>
    <m/>
    <m/>
    <m/>
    <m/>
    <m/>
    <m/>
    <m/>
    <m/>
    <m/>
    <m/>
    <m/>
    <s v=""/>
    <m/>
    <n v="0"/>
    <m/>
    <n v="0"/>
    <n v="578977.20999999973"/>
    <n v="0"/>
    <s v=""/>
    <s v=""/>
    <m/>
  </r>
  <r>
    <x v="13"/>
    <d v="2025-09-24T17:02:24"/>
    <s v="NS 5pm"/>
    <m/>
    <m/>
    <m/>
    <m/>
    <s v=""/>
    <m/>
    <m/>
    <s v=""/>
    <m/>
    <m/>
    <n v="0"/>
    <m/>
    <m/>
    <n v="0"/>
    <m/>
    <m/>
    <n v="0"/>
    <s v=""/>
    <s v=""/>
    <s v=""/>
    <m/>
    <m/>
    <m/>
    <m/>
    <m/>
    <m/>
    <m/>
    <m/>
    <m/>
    <m/>
    <m/>
    <m/>
    <s v=""/>
    <m/>
    <n v="0"/>
    <m/>
    <n v="0"/>
    <n v="578977.20999999973"/>
    <n v="0"/>
    <s v=""/>
    <s v=""/>
    <m/>
  </r>
  <r>
    <x v="13"/>
    <d v="2025-09-25T05:02:24"/>
    <s v="DS 5am"/>
    <m/>
    <m/>
    <m/>
    <m/>
    <s v=""/>
    <m/>
    <m/>
    <s v=""/>
    <m/>
    <m/>
    <n v="0"/>
    <m/>
    <m/>
    <n v="0"/>
    <m/>
    <m/>
    <n v="0"/>
    <s v=""/>
    <s v=""/>
    <s v=""/>
    <m/>
    <m/>
    <m/>
    <m/>
    <m/>
    <m/>
    <m/>
    <m/>
    <m/>
    <m/>
    <m/>
    <m/>
    <s v=""/>
    <m/>
    <n v="0"/>
    <m/>
    <n v="0"/>
    <n v="578977.20999999973"/>
    <n v="0"/>
    <s v=""/>
    <s v=""/>
    <m/>
  </r>
  <r>
    <x v="13"/>
    <d v="2025-09-25T17:02:24"/>
    <s v="NS 5pm"/>
    <m/>
    <m/>
    <m/>
    <m/>
    <s v=""/>
    <m/>
    <m/>
    <s v=""/>
    <m/>
    <m/>
    <n v="0"/>
    <m/>
    <m/>
    <n v="0"/>
    <m/>
    <m/>
    <n v="0"/>
    <s v=""/>
    <s v=""/>
    <s v=""/>
    <m/>
    <m/>
    <m/>
    <m/>
    <m/>
    <m/>
    <m/>
    <m/>
    <m/>
    <m/>
    <m/>
    <m/>
    <s v=""/>
    <m/>
    <n v="0"/>
    <m/>
    <n v="0"/>
    <n v="578977.20999999973"/>
    <n v="0"/>
    <s v=""/>
    <s v=""/>
    <m/>
  </r>
  <r>
    <x v="13"/>
    <d v="2025-09-26T05:02:24"/>
    <s v="DS 5am"/>
    <m/>
    <m/>
    <m/>
    <m/>
    <s v=""/>
    <m/>
    <m/>
    <s v=""/>
    <m/>
    <m/>
    <n v="0"/>
    <m/>
    <m/>
    <n v="0"/>
    <m/>
    <m/>
    <n v="0"/>
    <s v=""/>
    <s v=""/>
    <s v=""/>
    <m/>
    <m/>
    <m/>
    <m/>
    <m/>
    <m/>
    <m/>
    <m/>
    <m/>
    <m/>
    <m/>
    <m/>
    <s v=""/>
    <m/>
    <n v="0"/>
    <m/>
    <n v="0"/>
    <n v="578977.20999999973"/>
    <n v="0"/>
    <s v=""/>
    <s v=""/>
    <m/>
  </r>
  <r>
    <x v="13"/>
    <d v="2025-09-26T17:02:24"/>
    <s v="NS 5pm"/>
    <m/>
    <m/>
    <m/>
    <m/>
    <s v=""/>
    <m/>
    <m/>
    <s v=""/>
    <m/>
    <m/>
    <n v="0"/>
    <m/>
    <m/>
    <n v="0"/>
    <m/>
    <m/>
    <n v="0"/>
    <s v=""/>
    <s v=""/>
    <s v=""/>
    <m/>
    <m/>
    <m/>
    <m/>
    <m/>
    <m/>
    <m/>
    <m/>
    <m/>
    <m/>
    <m/>
    <m/>
    <s v=""/>
    <m/>
    <n v="0"/>
    <m/>
    <n v="0"/>
    <n v="578977.20999999973"/>
    <n v="0"/>
    <s v=""/>
    <s v=""/>
    <m/>
  </r>
  <r>
    <x v="13"/>
    <d v="2025-09-27T05:02:24"/>
    <s v="DS 5am"/>
    <m/>
    <m/>
    <m/>
    <m/>
    <s v=""/>
    <m/>
    <m/>
    <s v=""/>
    <m/>
    <m/>
    <n v="0"/>
    <m/>
    <m/>
    <n v="0"/>
    <m/>
    <m/>
    <n v="0"/>
    <s v=""/>
    <s v=""/>
    <s v=""/>
    <m/>
    <m/>
    <m/>
    <m/>
    <m/>
    <m/>
    <m/>
    <m/>
    <m/>
    <m/>
    <m/>
    <m/>
    <s v=""/>
    <m/>
    <n v="0"/>
    <m/>
    <n v="0"/>
    <n v="578977.20999999973"/>
    <n v="0"/>
    <s v=""/>
    <s v=""/>
    <m/>
  </r>
  <r>
    <x v="13"/>
    <d v="2025-09-27T17:02:24"/>
    <s v="NS 5pm"/>
    <m/>
    <m/>
    <m/>
    <m/>
    <s v=""/>
    <m/>
    <m/>
    <s v=""/>
    <m/>
    <m/>
    <n v="0"/>
    <m/>
    <m/>
    <n v="0"/>
    <m/>
    <m/>
    <n v="0"/>
    <s v=""/>
    <s v=""/>
    <s v=""/>
    <m/>
    <m/>
    <m/>
    <m/>
    <m/>
    <m/>
    <m/>
    <m/>
    <m/>
    <m/>
    <m/>
    <m/>
    <s v=""/>
    <m/>
    <n v="0"/>
    <m/>
    <n v="0"/>
    <n v="578977.20999999973"/>
    <n v="0"/>
    <s v=""/>
    <s v=""/>
    <m/>
  </r>
  <r>
    <x v="13"/>
    <d v="2025-09-28T05:02:24"/>
    <s v="DS 5am"/>
    <m/>
    <m/>
    <m/>
    <m/>
    <s v=""/>
    <m/>
    <m/>
    <s v=""/>
    <m/>
    <m/>
    <n v="0"/>
    <m/>
    <m/>
    <n v="0"/>
    <m/>
    <m/>
    <n v="0"/>
    <s v=""/>
    <s v=""/>
    <s v=""/>
    <m/>
    <m/>
    <m/>
    <m/>
    <m/>
    <m/>
    <m/>
    <m/>
    <m/>
    <m/>
    <m/>
    <m/>
    <s v=""/>
    <m/>
    <n v="0"/>
    <m/>
    <n v="0"/>
    <n v="578977.20999999973"/>
    <n v="0"/>
    <s v=""/>
    <s v=""/>
    <m/>
  </r>
  <r>
    <x v="13"/>
    <d v="2025-09-28T17:02:24"/>
    <s v="NS 5pm"/>
    <m/>
    <m/>
    <m/>
    <m/>
    <s v=""/>
    <m/>
    <m/>
    <s v=""/>
    <m/>
    <m/>
    <n v="0"/>
    <m/>
    <m/>
    <n v="0"/>
    <m/>
    <m/>
    <n v="0"/>
    <s v=""/>
    <s v=""/>
    <s v=""/>
    <m/>
    <m/>
    <m/>
    <m/>
    <m/>
    <m/>
    <m/>
    <m/>
    <m/>
    <m/>
    <m/>
    <m/>
    <s v=""/>
    <m/>
    <n v="0"/>
    <m/>
    <n v="0"/>
    <n v="578977.20999999973"/>
    <n v="0"/>
    <s v=""/>
    <s v=""/>
    <m/>
  </r>
  <r>
    <x v="13"/>
    <d v="2025-09-29T05:02:24"/>
    <s v="DS 5am"/>
    <m/>
    <m/>
    <m/>
    <m/>
    <s v=""/>
    <m/>
    <m/>
    <s v=""/>
    <m/>
    <m/>
    <n v="0"/>
    <m/>
    <m/>
    <n v="0"/>
    <m/>
    <m/>
    <n v="0"/>
    <s v=""/>
    <s v=""/>
    <s v=""/>
    <m/>
    <m/>
    <m/>
    <m/>
    <m/>
    <m/>
    <m/>
    <m/>
    <m/>
    <m/>
    <m/>
    <m/>
    <s v=""/>
    <m/>
    <n v="0"/>
    <m/>
    <n v="0"/>
    <n v="578977.20999999973"/>
    <n v="0"/>
    <s v=""/>
    <s v=""/>
    <m/>
  </r>
  <r>
    <x v="13"/>
    <d v="2025-09-29T17:02:24"/>
    <s v="NS 5pm"/>
    <m/>
    <m/>
    <m/>
    <m/>
    <s v=""/>
    <m/>
    <m/>
    <s v=""/>
    <m/>
    <m/>
    <n v="0"/>
    <m/>
    <m/>
    <n v="0"/>
    <m/>
    <m/>
    <n v="0"/>
    <s v=""/>
    <s v=""/>
    <s v=""/>
    <m/>
    <m/>
    <m/>
    <m/>
    <m/>
    <m/>
    <m/>
    <m/>
    <m/>
    <m/>
    <m/>
    <m/>
    <s v=""/>
    <m/>
    <n v="0"/>
    <m/>
    <n v="0"/>
    <n v="578977.20999999973"/>
    <n v="0"/>
    <s v=""/>
    <s v=""/>
    <m/>
  </r>
  <r>
    <x v="13"/>
    <d v="2025-09-30T05:02:24"/>
    <s v="DS 5am"/>
    <m/>
    <m/>
    <m/>
    <m/>
    <s v=""/>
    <m/>
    <m/>
    <s v=""/>
    <m/>
    <m/>
    <n v="0"/>
    <m/>
    <m/>
    <n v="0"/>
    <m/>
    <m/>
    <n v="0"/>
    <s v=""/>
    <s v=""/>
    <s v=""/>
    <m/>
    <m/>
    <m/>
    <m/>
    <m/>
    <m/>
    <m/>
    <m/>
    <m/>
    <m/>
    <m/>
    <m/>
    <s v=""/>
    <m/>
    <n v="0"/>
    <m/>
    <n v="0"/>
    <n v="578977.20999999973"/>
    <n v="0"/>
    <s v=""/>
    <s v=""/>
    <m/>
  </r>
  <r>
    <x v="13"/>
    <d v="2025-09-30T17:02:24"/>
    <s v="NS 5pm"/>
    <m/>
    <m/>
    <m/>
    <m/>
    <s v=""/>
    <m/>
    <m/>
    <s v=""/>
    <m/>
    <m/>
    <n v="0"/>
    <m/>
    <m/>
    <n v="0"/>
    <m/>
    <m/>
    <n v="0"/>
    <s v=""/>
    <s v=""/>
    <s v=""/>
    <m/>
    <m/>
    <m/>
    <m/>
    <m/>
    <m/>
    <m/>
    <m/>
    <m/>
    <m/>
    <m/>
    <m/>
    <s v=""/>
    <m/>
    <n v="0"/>
    <m/>
    <n v="0"/>
    <n v="578977.20999999973"/>
    <n v="0"/>
    <s v=""/>
    <s v=""/>
    <m/>
  </r>
  <r>
    <x v="13"/>
    <d v="2025-10-01T05:02:24"/>
    <s v="DS 5am"/>
    <m/>
    <m/>
    <m/>
    <m/>
    <s v=""/>
    <m/>
    <m/>
    <s v=""/>
    <m/>
    <m/>
    <n v="0"/>
    <m/>
    <m/>
    <n v="0"/>
    <m/>
    <m/>
    <n v="0"/>
    <s v=""/>
    <s v=""/>
    <s v=""/>
    <m/>
    <m/>
    <m/>
    <m/>
    <m/>
    <m/>
    <m/>
    <m/>
    <m/>
    <m/>
    <m/>
    <m/>
    <s v=""/>
    <m/>
    <n v="0"/>
    <m/>
    <n v="0"/>
    <n v="578977.20999999973"/>
    <n v="0"/>
    <s v=""/>
    <s v=""/>
    <m/>
  </r>
  <r>
    <x v="13"/>
    <d v="2025-10-01T17:02:24"/>
    <s v="NS 5pm"/>
    <m/>
    <m/>
    <m/>
    <m/>
    <s v=""/>
    <m/>
    <m/>
    <s v=""/>
    <m/>
    <m/>
    <n v="0"/>
    <m/>
    <m/>
    <n v="0"/>
    <m/>
    <m/>
    <n v="0"/>
    <s v=""/>
    <s v=""/>
    <s v=""/>
    <m/>
    <m/>
    <m/>
    <m/>
    <m/>
    <m/>
    <m/>
    <m/>
    <m/>
    <m/>
    <m/>
    <m/>
    <s v=""/>
    <m/>
    <n v="0"/>
    <m/>
    <n v="0"/>
    <n v="578977.20999999973"/>
    <n v="0"/>
    <s v=""/>
    <s v=""/>
    <m/>
  </r>
  <r>
    <x v="13"/>
    <d v="2025-10-02T05:02:24"/>
    <s v="DS 5am"/>
    <m/>
    <m/>
    <m/>
    <m/>
    <s v=""/>
    <m/>
    <m/>
    <s v=""/>
    <m/>
    <m/>
    <n v="0"/>
    <m/>
    <m/>
    <n v="0"/>
    <m/>
    <m/>
    <n v="0"/>
    <s v=""/>
    <s v=""/>
    <s v=""/>
    <m/>
    <m/>
    <m/>
    <m/>
    <m/>
    <m/>
    <m/>
    <m/>
    <m/>
    <m/>
    <m/>
    <m/>
    <s v=""/>
    <m/>
    <n v="0"/>
    <m/>
    <n v="0"/>
    <n v="578977.20999999973"/>
    <n v="0"/>
    <s v=""/>
    <s v=""/>
    <m/>
  </r>
  <r>
    <x v="13"/>
    <d v="2025-10-02T17:02:24"/>
    <s v="NS 5pm"/>
    <m/>
    <m/>
    <m/>
    <m/>
    <s v=""/>
    <m/>
    <m/>
    <s v=""/>
    <m/>
    <m/>
    <n v="0"/>
    <m/>
    <m/>
    <n v="0"/>
    <m/>
    <m/>
    <n v="0"/>
    <s v=""/>
    <s v=""/>
    <s v=""/>
    <m/>
    <m/>
    <m/>
    <m/>
    <m/>
    <m/>
    <m/>
    <m/>
    <m/>
    <m/>
    <m/>
    <m/>
    <s v=""/>
    <m/>
    <n v="0"/>
    <m/>
    <n v="0"/>
    <n v="578977.20999999973"/>
    <n v="0"/>
    <s v=""/>
    <s v=""/>
    <m/>
  </r>
  <r>
    <x v="13"/>
    <d v="2025-10-03T05:02:24"/>
    <s v="DS 5am"/>
    <m/>
    <m/>
    <m/>
    <m/>
    <s v=""/>
    <m/>
    <m/>
    <s v=""/>
    <m/>
    <m/>
    <n v="0"/>
    <m/>
    <m/>
    <n v="0"/>
    <m/>
    <m/>
    <n v="0"/>
    <s v=""/>
    <s v=""/>
    <s v=""/>
    <m/>
    <m/>
    <m/>
    <m/>
    <m/>
    <m/>
    <m/>
    <m/>
    <m/>
    <m/>
    <m/>
    <m/>
    <s v=""/>
    <m/>
    <n v="0"/>
    <m/>
    <n v="0"/>
    <n v="578977.20999999973"/>
    <n v="0"/>
    <s v=""/>
    <s v=""/>
    <m/>
  </r>
  <r>
    <x v="13"/>
    <d v="2025-10-03T17:02:24"/>
    <s v="NS 5pm"/>
    <m/>
    <m/>
    <m/>
    <m/>
    <s v=""/>
    <m/>
    <m/>
    <s v=""/>
    <m/>
    <m/>
    <n v="0"/>
    <m/>
    <m/>
    <n v="0"/>
    <m/>
    <m/>
    <n v="0"/>
    <s v=""/>
    <s v=""/>
    <s v=""/>
    <m/>
    <m/>
    <m/>
    <m/>
    <m/>
    <m/>
    <m/>
    <m/>
    <m/>
    <m/>
    <m/>
    <m/>
    <s v=""/>
    <m/>
    <n v="0"/>
    <m/>
    <n v="0"/>
    <n v="578977.20999999973"/>
    <n v="0"/>
    <s v=""/>
    <s v=""/>
    <m/>
  </r>
  <r>
    <x v="13"/>
    <d v="2025-10-04T05:02:24"/>
    <s v="DS 5am"/>
    <m/>
    <m/>
    <m/>
    <m/>
    <s v=""/>
    <m/>
    <m/>
    <s v=""/>
    <m/>
    <m/>
    <n v="0"/>
    <m/>
    <m/>
    <n v="0"/>
    <m/>
    <m/>
    <n v="0"/>
    <s v=""/>
    <s v=""/>
    <s v=""/>
    <m/>
    <m/>
    <m/>
    <m/>
    <m/>
    <m/>
    <m/>
    <m/>
    <m/>
    <m/>
    <m/>
    <m/>
    <s v=""/>
    <m/>
    <n v="0"/>
    <m/>
    <n v="0"/>
    <n v="578977.20999999973"/>
    <n v="0"/>
    <s v=""/>
    <s v=""/>
    <m/>
  </r>
  <r>
    <x v="13"/>
    <d v="2025-10-04T17:02:24"/>
    <s v="NS 5pm"/>
    <m/>
    <m/>
    <m/>
    <m/>
    <s v=""/>
    <m/>
    <m/>
    <s v=""/>
    <m/>
    <m/>
    <n v="0"/>
    <m/>
    <m/>
    <n v="0"/>
    <m/>
    <m/>
    <n v="0"/>
    <s v=""/>
    <s v=""/>
    <s v=""/>
    <m/>
    <m/>
    <m/>
    <m/>
    <m/>
    <m/>
    <m/>
    <m/>
    <m/>
    <m/>
    <m/>
    <m/>
    <s v=""/>
    <m/>
    <n v="0"/>
    <m/>
    <n v="0"/>
    <n v="578977.20999999973"/>
    <n v="0"/>
    <s v=""/>
    <s v=""/>
    <m/>
  </r>
  <r>
    <x v="13"/>
    <d v="2025-10-05T05:02:24"/>
    <s v="DS 5am"/>
    <m/>
    <m/>
    <m/>
    <m/>
    <s v=""/>
    <m/>
    <m/>
    <s v=""/>
    <m/>
    <m/>
    <n v="0"/>
    <m/>
    <m/>
    <n v="0"/>
    <m/>
    <m/>
    <n v="0"/>
    <s v=""/>
    <s v=""/>
    <s v=""/>
    <m/>
    <m/>
    <m/>
    <m/>
    <m/>
    <m/>
    <m/>
    <m/>
    <m/>
    <m/>
    <m/>
    <m/>
    <s v=""/>
    <m/>
    <n v="0"/>
    <m/>
    <n v="0"/>
    <n v="578977.20999999973"/>
    <n v="0"/>
    <s v=""/>
    <s v=""/>
    <m/>
  </r>
  <r>
    <x v="13"/>
    <d v="2025-10-05T17:02:24"/>
    <s v="NS 5pm"/>
    <m/>
    <m/>
    <m/>
    <m/>
    <m/>
    <m/>
    <m/>
    <m/>
    <m/>
    <m/>
    <m/>
    <m/>
    <m/>
    <m/>
    <m/>
    <m/>
    <m/>
    <n v="0"/>
    <n v="0"/>
    <s v=""/>
    <m/>
    <m/>
    <m/>
    <m/>
    <m/>
    <m/>
    <m/>
    <m/>
    <m/>
    <m/>
    <m/>
    <m/>
    <m/>
    <m/>
    <m/>
    <m/>
    <m/>
    <m/>
    <m/>
    <m/>
    <m/>
    <m/>
  </r>
  <r>
    <x v="13"/>
    <d v="2025-10-06T05:02:24"/>
    <s v="DS 5am"/>
    <m/>
    <m/>
    <m/>
    <m/>
    <m/>
    <m/>
    <m/>
    <m/>
    <m/>
    <m/>
    <m/>
    <m/>
    <m/>
    <m/>
    <m/>
    <m/>
    <m/>
    <n v="0"/>
    <n v="0"/>
    <s v=""/>
    <m/>
    <m/>
    <m/>
    <m/>
    <m/>
    <m/>
    <m/>
    <m/>
    <m/>
    <m/>
    <m/>
    <m/>
    <m/>
    <m/>
    <m/>
    <m/>
    <m/>
    <m/>
    <m/>
    <m/>
    <m/>
    <m/>
  </r>
  <r>
    <x v="13"/>
    <d v="2025-10-06T17:02:24"/>
    <s v="NS 5pm"/>
    <m/>
    <m/>
    <m/>
    <m/>
    <m/>
    <m/>
    <m/>
    <m/>
    <m/>
    <m/>
    <m/>
    <m/>
    <m/>
    <m/>
    <m/>
    <m/>
    <m/>
    <n v="0"/>
    <n v="0"/>
    <s v=""/>
    <m/>
    <m/>
    <m/>
    <m/>
    <m/>
    <m/>
    <m/>
    <m/>
    <m/>
    <m/>
    <m/>
    <m/>
    <m/>
    <m/>
    <m/>
    <m/>
    <m/>
    <m/>
    <m/>
    <m/>
    <m/>
    <m/>
  </r>
  <r>
    <x v="13"/>
    <d v="2025-10-07T05:02:24"/>
    <s v="DS 5am"/>
    <m/>
    <m/>
    <m/>
    <m/>
    <m/>
    <m/>
    <m/>
    <m/>
    <m/>
    <m/>
    <m/>
    <m/>
    <m/>
    <m/>
    <m/>
    <m/>
    <m/>
    <n v="0"/>
    <n v="0"/>
    <s v=""/>
    <m/>
    <m/>
    <m/>
    <m/>
    <m/>
    <m/>
    <m/>
    <m/>
    <m/>
    <m/>
    <m/>
    <m/>
    <m/>
    <m/>
    <m/>
    <m/>
    <m/>
    <m/>
    <m/>
    <m/>
    <m/>
    <m/>
  </r>
  <r>
    <x v="13"/>
    <d v="2025-10-07T17:02:24"/>
    <s v="NS 5pm"/>
    <m/>
    <m/>
    <m/>
    <m/>
    <m/>
    <m/>
    <m/>
    <m/>
    <m/>
    <m/>
    <m/>
    <m/>
    <m/>
    <m/>
    <m/>
    <m/>
    <m/>
    <n v="0"/>
    <n v="0"/>
    <s v=""/>
    <m/>
    <m/>
    <m/>
    <m/>
    <m/>
    <m/>
    <m/>
    <m/>
    <m/>
    <m/>
    <m/>
    <m/>
    <m/>
    <m/>
    <m/>
    <m/>
    <m/>
    <m/>
    <m/>
    <m/>
    <m/>
    <m/>
  </r>
  <r>
    <x v="13"/>
    <d v="2025-10-08T05:02:24"/>
    <s v="DS 5am"/>
    <m/>
    <m/>
    <m/>
    <m/>
    <m/>
    <m/>
    <m/>
    <m/>
    <m/>
    <m/>
    <m/>
    <m/>
    <m/>
    <m/>
    <m/>
    <m/>
    <m/>
    <n v="0"/>
    <n v="0"/>
    <s v=""/>
    <m/>
    <m/>
    <m/>
    <m/>
    <m/>
    <m/>
    <m/>
    <m/>
    <m/>
    <m/>
    <m/>
    <m/>
    <m/>
    <m/>
    <m/>
    <m/>
    <m/>
    <m/>
    <m/>
    <m/>
    <m/>
    <m/>
  </r>
  <r>
    <x v="13"/>
    <d v="2025-10-08T17:02:24"/>
    <s v="NS 5pm"/>
    <m/>
    <m/>
    <m/>
    <m/>
    <m/>
    <m/>
    <m/>
    <m/>
    <m/>
    <m/>
    <m/>
    <m/>
    <m/>
    <m/>
    <m/>
    <m/>
    <m/>
    <n v="0"/>
    <n v="0"/>
    <s v=""/>
    <m/>
    <m/>
    <m/>
    <m/>
    <m/>
    <m/>
    <m/>
    <m/>
    <m/>
    <m/>
    <m/>
    <m/>
    <m/>
    <m/>
    <m/>
    <m/>
    <m/>
    <m/>
    <m/>
    <m/>
    <m/>
    <m/>
  </r>
  <r>
    <x v="13"/>
    <d v="2025-10-09T05:02:24"/>
    <s v="DS 5am"/>
    <m/>
    <m/>
    <m/>
    <m/>
    <m/>
    <m/>
    <m/>
    <m/>
    <m/>
    <m/>
    <m/>
    <m/>
    <m/>
    <m/>
    <m/>
    <m/>
    <m/>
    <n v="0"/>
    <n v="0"/>
    <s v=""/>
    <m/>
    <m/>
    <m/>
    <m/>
    <m/>
    <m/>
    <m/>
    <m/>
    <m/>
    <m/>
    <m/>
    <m/>
    <m/>
    <m/>
    <m/>
    <m/>
    <m/>
    <m/>
    <m/>
    <m/>
    <m/>
    <m/>
  </r>
  <r>
    <x v="13"/>
    <d v="2025-10-09T17:02:24"/>
    <s v="NS 5pm"/>
    <m/>
    <m/>
    <m/>
    <m/>
    <m/>
    <m/>
    <m/>
    <m/>
    <m/>
    <m/>
    <m/>
    <m/>
    <m/>
    <m/>
    <m/>
    <m/>
    <m/>
    <n v="0"/>
    <n v="0"/>
    <s v=""/>
    <m/>
    <m/>
    <m/>
    <m/>
    <m/>
    <m/>
    <m/>
    <m/>
    <m/>
    <m/>
    <m/>
    <m/>
    <m/>
    <m/>
    <m/>
    <m/>
    <m/>
    <m/>
    <m/>
    <m/>
    <m/>
    <m/>
  </r>
  <r>
    <x v="13"/>
    <d v="2025-10-10T05:02:24"/>
    <s v="DS 5am"/>
    <m/>
    <m/>
    <m/>
    <m/>
    <m/>
    <m/>
    <m/>
    <m/>
    <m/>
    <m/>
    <m/>
    <m/>
    <m/>
    <m/>
    <m/>
    <m/>
    <m/>
    <n v="0"/>
    <n v="0"/>
    <s v=""/>
    <m/>
    <m/>
    <m/>
    <m/>
    <m/>
    <m/>
    <m/>
    <m/>
    <m/>
    <m/>
    <m/>
    <m/>
    <m/>
    <m/>
    <m/>
    <m/>
    <m/>
    <m/>
    <m/>
    <m/>
    <m/>
    <m/>
  </r>
  <r>
    <x v="13"/>
    <d v="2025-10-10T17:02:24"/>
    <s v="NS 5pm"/>
    <m/>
    <m/>
    <m/>
    <m/>
    <m/>
    <m/>
    <m/>
    <m/>
    <m/>
    <m/>
    <m/>
    <m/>
    <m/>
    <m/>
    <m/>
    <m/>
    <m/>
    <n v="0"/>
    <n v="0"/>
    <s v=""/>
    <m/>
    <m/>
    <m/>
    <m/>
    <m/>
    <m/>
    <m/>
    <m/>
    <m/>
    <m/>
    <m/>
    <m/>
    <m/>
    <m/>
    <m/>
    <m/>
    <m/>
    <m/>
    <m/>
    <m/>
    <m/>
    <m/>
  </r>
  <r>
    <x v="13"/>
    <d v="2025-10-11T05:02:24"/>
    <s v="DS 5am"/>
    <m/>
    <m/>
    <m/>
    <m/>
    <m/>
    <m/>
    <m/>
    <m/>
    <m/>
    <m/>
    <m/>
    <m/>
    <m/>
    <m/>
    <m/>
    <m/>
    <m/>
    <n v="0"/>
    <n v="0"/>
    <s v=""/>
    <m/>
    <m/>
    <m/>
    <m/>
    <m/>
    <m/>
    <m/>
    <m/>
    <m/>
    <m/>
    <m/>
    <m/>
    <m/>
    <m/>
    <m/>
    <m/>
    <m/>
    <m/>
    <m/>
    <m/>
    <m/>
    <m/>
  </r>
  <r>
    <x v="13"/>
    <d v="2025-10-11T17:02:24"/>
    <s v="NS 5pm"/>
    <m/>
    <m/>
    <m/>
    <m/>
    <m/>
    <m/>
    <m/>
    <m/>
    <m/>
    <m/>
    <m/>
    <m/>
    <m/>
    <m/>
    <m/>
    <m/>
    <m/>
    <n v="0"/>
    <n v="0"/>
    <s v=""/>
    <m/>
    <m/>
    <m/>
    <m/>
    <m/>
    <m/>
    <m/>
    <m/>
    <m/>
    <m/>
    <m/>
    <m/>
    <m/>
    <m/>
    <m/>
    <m/>
    <m/>
    <m/>
    <m/>
    <m/>
    <m/>
    <m/>
  </r>
  <r>
    <x v="13"/>
    <d v="2025-10-12T05:02:24"/>
    <s v="DS 5am"/>
    <m/>
    <m/>
    <m/>
    <m/>
    <m/>
    <m/>
    <m/>
    <m/>
    <m/>
    <m/>
    <m/>
    <m/>
    <m/>
    <m/>
    <m/>
    <m/>
    <m/>
    <n v="0"/>
    <n v="0"/>
    <s v=""/>
    <m/>
    <m/>
    <m/>
    <m/>
    <m/>
    <m/>
    <m/>
    <m/>
    <m/>
    <m/>
    <m/>
    <m/>
    <m/>
    <m/>
    <m/>
    <m/>
    <m/>
    <m/>
    <m/>
    <m/>
    <m/>
    <m/>
  </r>
  <r>
    <x v="13"/>
    <d v="2025-10-12T17:02:24"/>
    <s v="NS 5pm"/>
    <m/>
    <m/>
    <m/>
    <m/>
    <m/>
    <m/>
    <m/>
    <m/>
    <m/>
    <m/>
    <m/>
    <m/>
    <m/>
    <m/>
    <m/>
    <m/>
    <m/>
    <n v="0"/>
    <n v="0"/>
    <s v=""/>
    <m/>
    <m/>
    <m/>
    <m/>
    <m/>
    <m/>
    <m/>
    <m/>
    <m/>
    <m/>
    <m/>
    <m/>
    <m/>
    <m/>
    <m/>
    <m/>
    <m/>
    <m/>
    <m/>
    <m/>
    <m/>
    <m/>
  </r>
  <r>
    <x v="13"/>
    <d v="2025-10-13T05:02:24"/>
    <s v="DS 5am"/>
    <m/>
    <m/>
    <m/>
    <m/>
    <m/>
    <m/>
    <m/>
    <m/>
    <m/>
    <m/>
    <m/>
    <m/>
    <m/>
    <m/>
    <m/>
    <m/>
    <m/>
    <n v="0"/>
    <n v="0"/>
    <s v=""/>
    <m/>
    <m/>
    <m/>
    <m/>
    <m/>
    <m/>
    <m/>
    <m/>
    <m/>
    <m/>
    <m/>
    <m/>
    <m/>
    <m/>
    <m/>
    <m/>
    <m/>
    <m/>
    <m/>
    <m/>
    <m/>
    <m/>
  </r>
  <r>
    <x v="13"/>
    <d v="2025-10-13T17:02:24"/>
    <s v="NS 5pm"/>
    <m/>
    <m/>
    <m/>
    <m/>
    <m/>
    <m/>
    <m/>
    <m/>
    <m/>
    <m/>
    <m/>
    <m/>
    <m/>
    <m/>
    <m/>
    <m/>
    <m/>
    <n v="0"/>
    <n v="0"/>
    <s v=""/>
    <m/>
    <m/>
    <m/>
    <m/>
    <m/>
    <m/>
    <m/>
    <m/>
    <m/>
    <m/>
    <m/>
    <m/>
    <m/>
    <m/>
    <m/>
    <m/>
    <m/>
    <m/>
    <m/>
    <m/>
    <m/>
    <m/>
  </r>
  <r>
    <x v="13"/>
    <d v="2025-10-14T05:02:24"/>
    <s v="DS 5am"/>
    <m/>
    <m/>
    <m/>
    <m/>
    <m/>
    <m/>
    <m/>
    <m/>
    <m/>
    <m/>
    <m/>
    <m/>
    <m/>
    <m/>
    <m/>
    <m/>
    <m/>
    <n v="0"/>
    <n v="0"/>
    <s v=""/>
    <m/>
    <m/>
    <m/>
    <m/>
    <m/>
    <m/>
    <m/>
    <m/>
    <m/>
    <m/>
    <m/>
    <m/>
    <m/>
    <m/>
    <m/>
    <m/>
    <m/>
    <m/>
    <m/>
    <m/>
    <m/>
    <m/>
  </r>
  <r>
    <x v="13"/>
    <d v="2025-10-14T17:02:24"/>
    <s v="NS 5pm"/>
    <m/>
    <m/>
    <m/>
    <m/>
    <m/>
    <m/>
    <m/>
    <m/>
    <m/>
    <m/>
    <m/>
    <m/>
    <m/>
    <m/>
    <m/>
    <m/>
    <m/>
    <n v="0"/>
    <n v="0"/>
    <s v=""/>
    <m/>
    <m/>
    <m/>
    <m/>
    <m/>
    <m/>
    <m/>
    <m/>
    <m/>
    <m/>
    <m/>
    <m/>
    <m/>
    <m/>
    <m/>
    <m/>
    <m/>
    <m/>
    <m/>
    <m/>
    <m/>
    <m/>
  </r>
  <r>
    <x v="13"/>
    <d v="2025-10-15T05:02:24"/>
    <s v="DS 5am"/>
    <m/>
    <m/>
    <m/>
    <m/>
    <m/>
    <m/>
    <m/>
    <m/>
    <m/>
    <m/>
    <m/>
    <m/>
    <m/>
    <m/>
    <m/>
    <m/>
    <m/>
    <n v="0"/>
    <n v="0"/>
    <s v=""/>
    <m/>
    <m/>
    <m/>
    <m/>
    <m/>
    <m/>
    <m/>
    <m/>
    <m/>
    <m/>
    <m/>
    <m/>
    <m/>
    <m/>
    <m/>
    <m/>
    <m/>
    <m/>
    <m/>
    <m/>
    <m/>
    <m/>
  </r>
  <r>
    <x v="13"/>
    <d v="2025-10-15T17:02:24"/>
    <s v="NS 5pm"/>
    <m/>
    <m/>
    <m/>
    <m/>
    <m/>
    <m/>
    <m/>
    <m/>
    <m/>
    <m/>
    <m/>
    <m/>
    <m/>
    <m/>
    <m/>
    <m/>
    <m/>
    <n v="0"/>
    <n v="0"/>
    <s v=""/>
    <m/>
    <m/>
    <m/>
    <m/>
    <m/>
    <m/>
    <m/>
    <m/>
    <m/>
    <m/>
    <m/>
    <m/>
    <m/>
    <m/>
    <m/>
    <m/>
    <m/>
    <m/>
    <m/>
    <m/>
    <m/>
    <m/>
  </r>
  <r>
    <x v="13"/>
    <d v="2025-10-16T05:02:24"/>
    <s v="DS 5am"/>
    <m/>
    <m/>
    <m/>
    <m/>
    <m/>
    <m/>
    <m/>
    <m/>
    <m/>
    <m/>
    <m/>
    <m/>
    <m/>
    <m/>
    <m/>
    <m/>
    <m/>
    <n v="0"/>
    <n v="0"/>
    <s v=""/>
    <m/>
    <m/>
    <m/>
    <m/>
    <m/>
    <m/>
    <m/>
    <m/>
    <m/>
    <m/>
    <m/>
    <m/>
    <m/>
    <m/>
    <m/>
    <m/>
    <m/>
    <m/>
    <m/>
    <m/>
    <m/>
    <m/>
  </r>
  <r>
    <x v="13"/>
    <d v="2025-10-16T17:02:24"/>
    <s v="NS 5pm"/>
    <m/>
    <m/>
    <m/>
    <m/>
    <m/>
    <m/>
    <m/>
    <m/>
    <m/>
    <m/>
    <m/>
    <m/>
    <m/>
    <m/>
    <m/>
    <m/>
    <m/>
    <n v="0"/>
    <n v="0"/>
    <s v=""/>
    <m/>
    <m/>
    <m/>
    <m/>
    <m/>
    <m/>
    <m/>
    <m/>
    <m/>
    <m/>
    <m/>
    <m/>
    <m/>
    <m/>
    <m/>
    <m/>
    <m/>
    <m/>
    <m/>
    <m/>
    <m/>
    <m/>
  </r>
  <r>
    <x v="13"/>
    <d v="2025-10-17T05:02:24"/>
    <s v="DS 5am"/>
    <m/>
    <m/>
    <m/>
    <m/>
    <m/>
    <m/>
    <m/>
    <m/>
    <m/>
    <m/>
    <m/>
    <m/>
    <m/>
    <m/>
    <m/>
    <m/>
    <m/>
    <n v="0"/>
    <n v="0"/>
    <s v=""/>
    <m/>
    <m/>
    <m/>
    <m/>
    <m/>
    <m/>
    <m/>
    <m/>
    <m/>
    <m/>
    <m/>
    <m/>
    <m/>
    <m/>
    <m/>
    <m/>
    <m/>
    <m/>
    <m/>
    <m/>
    <m/>
    <m/>
  </r>
  <r>
    <x v="13"/>
    <d v="2025-10-17T17:02:24"/>
    <s v="NS 5pm"/>
    <m/>
    <m/>
    <m/>
    <m/>
    <m/>
    <m/>
    <m/>
    <m/>
    <m/>
    <m/>
    <m/>
    <m/>
    <m/>
    <m/>
    <m/>
    <m/>
    <m/>
    <n v="0"/>
    <n v="0"/>
    <s v=""/>
    <m/>
    <m/>
    <m/>
    <m/>
    <m/>
    <m/>
    <m/>
    <m/>
    <m/>
    <m/>
    <m/>
    <m/>
    <m/>
    <m/>
    <m/>
    <m/>
    <m/>
    <m/>
    <m/>
    <m/>
    <m/>
    <m/>
  </r>
  <r>
    <x v="13"/>
    <d v="2025-10-18T05:02:24"/>
    <s v="DS 5am"/>
    <m/>
    <m/>
    <m/>
    <m/>
    <m/>
    <m/>
    <m/>
    <m/>
    <m/>
    <m/>
    <m/>
    <m/>
    <m/>
    <m/>
    <m/>
    <m/>
    <m/>
    <n v="0"/>
    <n v="0"/>
    <s v=""/>
    <m/>
    <m/>
    <m/>
    <m/>
    <m/>
    <m/>
    <m/>
    <m/>
    <m/>
    <m/>
    <m/>
    <m/>
    <m/>
    <m/>
    <m/>
    <m/>
    <m/>
    <m/>
    <m/>
    <m/>
    <m/>
    <m/>
  </r>
  <r>
    <x v="13"/>
    <d v="2025-10-18T17:02:24"/>
    <s v="NS 5pm"/>
    <m/>
    <m/>
    <m/>
    <m/>
    <m/>
    <m/>
    <m/>
    <m/>
    <m/>
    <m/>
    <m/>
    <m/>
    <m/>
    <m/>
    <m/>
    <m/>
    <m/>
    <n v="0"/>
    <n v="0"/>
    <s v=""/>
    <m/>
    <m/>
    <m/>
    <m/>
    <m/>
    <m/>
    <m/>
    <m/>
    <m/>
    <m/>
    <m/>
    <m/>
    <m/>
    <m/>
    <m/>
    <m/>
    <m/>
    <m/>
    <m/>
    <m/>
    <m/>
    <m/>
  </r>
  <r>
    <x v="13"/>
    <d v="2025-10-19T05:02:24"/>
    <s v="DS 5am"/>
    <m/>
    <m/>
    <m/>
    <m/>
    <m/>
    <m/>
    <m/>
    <m/>
    <m/>
    <m/>
    <m/>
    <m/>
    <m/>
    <m/>
    <m/>
    <m/>
    <m/>
    <n v="0"/>
    <n v="0"/>
    <s v=""/>
    <m/>
    <m/>
    <m/>
    <m/>
    <m/>
    <m/>
    <m/>
    <m/>
    <m/>
    <m/>
    <m/>
    <m/>
    <m/>
    <m/>
    <m/>
    <m/>
    <m/>
    <m/>
    <m/>
    <m/>
    <m/>
    <m/>
  </r>
  <r>
    <x v="13"/>
    <d v="2025-10-19T17:02:24"/>
    <s v="NS 5pm"/>
    <m/>
    <m/>
    <m/>
    <m/>
    <m/>
    <m/>
    <m/>
    <m/>
    <m/>
    <m/>
    <m/>
    <m/>
    <m/>
    <m/>
    <m/>
    <m/>
    <m/>
    <n v="0"/>
    <n v="0"/>
    <s v=""/>
    <m/>
    <m/>
    <m/>
    <m/>
    <m/>
    <m/>
    <m/>
    <m/>
    <m/>
    <m/>
    <m/>
    <m/>
    <m/>
    <m/>
    <m/>
    <m/>
    <m/>
    <m/>
    <m/>
    <m/>
    <m/>
    <m/>
  </r>
  <r>
    <x v="13"/>
    <d v="2025-10-20T05:02:24"/>
    <s v="DS 5am"/>
    <m/>
    <m/>
    <m/>
    <m/>
    <m/>
    <m/>
    <m/>
    <m/>
    <m/>
    <m/>
    <m/>
    <m/>
    <m/>
    <m/>
    <m/>
    <m/>
    <m/>
    <n v="0"/>
    <n v="0"/>
    <s v=""/>
    <m/>
    <m/>
    <m/>
    <m/>
    <m/>
    <m/>
    <m/>
    <m/>
    <m/>
    <m/>
    <m/>
    <m/>
    <m/>
    <m/>
    <m/>
    <m/>
    <m/>
    <m/>
    <m/>
    <m/>
    <m/>
    <m/>
  </r>
  <r>
    <x v="13"/>
    <d v="2025-10-20T17:02:24"/>
    <s v="NS 5pm"/>
    <m/>
    <m/>
    <m/>
    <m/>
    <m/>
    <m/>
    <m/>
    <m/>
    <m/>
    <m/>
    <m/>
    <m/>
    <m/>
    <m/>
    <m/>
    <m/>
    <m/>
    <n v="0"/>
    <n v="0"/>
    <s v=""/>
    <m/>
    <m/>
    <m/>
    <m/>
    <m/>
    <m/>
    <m/>
    <m/>
    <m/>
    <m/>
    <m/>
    <m/>
    <m/>
    <m/>
    <m/>
    <m/>
    <m/>
    <m/>
    <m/>
    <m/>
    <m/>
    <m/>
  </r>
  <r>
    <x v="13"/>
    <d v="2025-10-21T05:02:24"/>
    <s v="DS 5am"/>
    <m/>
    <m/>
    <m/>
    <m/>
    <m/>
    <m/>
    <m/>
    <m/>
    <m/>
    <m/>
    <m/>
    <m/>
    <m/>
    <m/>
    <m/>
    <m/>
    <m/>
    <n v="0"/>
    <n v="0"/>
    <s v=""/>
    <m/>
    <m/>
    <m/>
    <m/>
    <m/>
    <m/>
    <m/>
    <m/>
    <m/>
    <m/>
    <m/>
    <m/>
    <m/>
    <m/>
    <m/>
    <m/>
    <m/>
    <m/>
    <m/>
    <m/>
    <m/>
    <m/>
  </r>
  <r>
    <x v="13"/>
    <d v="2025-10-21T17:02:24"/>
    <s v="NS 5pm"/>
    <m/>
    <m/>
    <m/>
    <m/>
    <m/>
    <m/>
    <m/>
    <m/>
    <m/>
    <m/>
    <m/>
    <m/>
    <m/>
    <m/>
    <m/>
    <m/>
    <m/>
    <n v="0"/>
    <n v="0"/>
    <s v=""/>
    <m/>
    <m/>
    <m/>
    <m/>
    <m/>
    <m/>
    <m/>
    <m/>
    <m/>
    <m/>
    <m/>
    <m/>
    <m/>
    <m/>
    <m/>
    <m/>
    <m/>
    <m/>
    <m/>
    <m/>
    <m/>
    <m/>
  </r>
  <r>
    <x v="13"/>
    <d v="2025-10-22T05:02:24"/>
    <s v="DS 5am"/>
    <m/>
    <m/>
    <m/>
    <m/>
    <m/>
    <m/>
    <m/>
    <m/>
    <m/>
    <m/>
    <m/>
    <m/>
    <m/>
    <m/>
    <m/>
    <m/>
    <m/>
    <n v="0"/>
    <n v="0"/>
    <s v=""/>
    <m/>
    <m/>
    <m/>
    <m/>
    <m/>
    <m/>
    <m/>
    <m/>
    <m/>
    <m/>
    <m/>
    <m/>
    <m/>
    <m/>
    <m/>
    <m/>
    <m/>
    <m/>
    <m/>
    <m/>
    <m/>
    <m/>
  </r>
  <r>
    <x v="13"/>
    <d v="2025-10-22T17:02:24"/>
    <s v="NS 5pm"/>
    <m/>
    <m/>
    <m/>
    <m/>
    <m/>
    <m/>
    <m/>
    <m/>
    <m/>
    <m/>
    <m/>
    <m/>
    <m/>
    <m/>
    <m/>
    <m/>
    <m/>
    <n v="0"/>
    <n v="0"/>
    <s v=""/>
    <m/>
    <m/>
    <m/>
    <m/>
    <m/>
    <m/>
    <m/>
    <m/>
    <m/>
    <m/>
    <m/>
    <m/>
    <m/>
    <m/>
    <m/>
    <m/>
    <m/>
    <m/>
    <m/>
    <m/>
    <m/>
    <m/>
  </r>
  <r>
    <x v="13"/>
    <d v="2025-10-23T05:02:24"/>
    <s v="DS 5am"/>
    <m/>
    <m/>
    <m/>
    <m/>
    <m/>
    <m/>
    <m/>
    <m/>
    <m/>
    <m/>
    <m/>
    <m/>
    <m/>
    <m/>
    <m/>
    <m/>
    <m/>
    <n v="0"/>
    <n v="0"/>
    <s v=""/>
    <m/>
    <m/>
    <m/>
    <m/>
    <m/>
    <m/>
    <m/>
    <m/>
    <m/>
    <m/>
    <m/>
    <m/>
    <m/>
    <m/>
    <m/>
    <m/>
    <m/>
    <m/>
    <m/>
    <m/>
    <m/>
    <m/>
  </r>
  <r>
    <x v="13"/>
    <d v="2025-10-23T17:02:24"/>
    <s v="NS 5pm"/>
    <m/>
    <m/>
    <m/>
    <m/>
    <m/>
    <m/>
    <m/>
    <m/>
    <m/>
    <m/>
    <m/>
    <m/>
    <m/>
    <m/>
    <m/>
    <m/>
    <m/>
    <n v="0"/>
    <n v="0"/>
    <s v=""/>
    <m/>
    <m/>
    <m/>
    <m/>
    <m/>
    <m/>
    <m/>
    <m/>
    <m/>
    <m/>
    <m/>
    <m/>
    <m/>
    <m/>
    <m/>
    <m/>
    <m/>
    <m/>
    <m/>
    <m/>
    <m/>
    <m/>
  </r>
  <r>
    <x v="13"/>
    <d v="2025-10-24T05:02:24"/>
    <s v="DS 5am"/>
    <m/>
    <m/>
    <m/>
    <m/>
    <m/>
    <m/>
    <m/>
    <m/>
    <m/>
    <m/>
    <m/>
    <m/>
    <m/>
    <m/>
    <m/>
    <m/>
    <m/>
    <n v="0"/>
    <n v="0"/>
    <s v=""/>
    <m/>
    <m/>
    <m/>
    <m/>
    <m/>
    <m/>
    <m/>
    <m/>
    <m/>
    <m/>
    <m/>
    <m/>
    <m/>
    <m/>
    <m/>
    <m/>
    <m/>
    <m/>
    <m/>
    <m/>
    <m/>
    <m/>
  </r>
  <r>
    <x v="13"/>
    <d v="2025-10-24T17:02:24"/>
    <s v="NS 5pm"/>
    <m/>
    <m/>
    <m/>
    <m/>
    <m/>
    <m/>
    <m/>
    <m/>
    <m/>
    <m/>
    <m/>
    <m/>
    <m/>
    <m/>
    <m/>
    <m/>
    <m/>
    <n v="0"/>
    <n v="0"/>
    <s v=""/>
    <m/>
    <m/>
    <m/>
    <m/>
    <m/>
    <m/>
    <m/>
    <m/>
    <m/>
    <m/>
    <m/>
    <m/>
    <m/>
    <m/>
    <m/>
    <m/>
    <m/>
    <m/>
    <m/>
    <m/>
    <m/>
    <m/>
  </r>
  <r>
    <x v="13"/>
    <d v="2025-10-25T05:02:24"/>
    <s v="DS 5am"/>
    <m/>
    <m/>
    <m/>
    <m/>
    <m/>
    <m/>
    <m/>
    <m/>
    <m/>
    <m/>
    <m/>
    <m/>
    <m/>
    <m/>
    <m/>
    <m/>
    <m/>
    <n v="0"/>
    <n v="0"/>
    <s v=""/>
    <m/>
    <m/>
    <m/>
    <m/>
    <m/>
    <m/>
    <m/>
    <m/>
    <m/>
    <m/>
    <m/>
    <m/>
    <m/>
    <m/>
    <m/>
    <m/>
    <m/>
    <m/>
    <m/>
    <m/>
    <m/>
    <m/>
  </r>
  <r>
    <x v="13"/>
    <d v="2025-10-25T17:02:24"/>
    <s v="NS 5pm"/>
    <m/>
    <m/>
    <m/>
    <m/>
    <m/>
    <m/>
    <m/>
    <m/>
    <m/>
    <m/>
    <m/>
    <m/>
    <m/>
    <m/>
    <m/>
    <m/>
    <m/>
    <n v="0"/>
    <n v="0"/>
    <s v=""/>
    <m/>
    <m/>
    <m/>
    <m/>
    <m/>
    <m/>
    <m/>
    <m/>
    <m/>
    <m/>
    <m/>
    <m/>
    <m/>
    <m/>
    <m/>
    <m/>
    <m/>
    <m/>
    <m/>
    <m/>
    <m/>
    <m/>
  </r>
  <r>
    <x v="13"/>
    <d v="2025-10-26T05:02:24"/>
    <s v="DS 5am"/>
    <m/>
    <m/>
    <m/>
    <m/>
    <m/>
    <m/>
    <m/>
    <m/>
    <m/>
    <m/>
    <m/>
    <m/>
    <m/>
    <m/>
    <m/>
    <m/>
    <m/>
    <n v="0"/>
    <n v="0"/>
    <s v=""/>
    <m/>
    <m/>
    <m/>
    <m/>
    <m/>
    <m/>
    <m/>
    <m/>
    <m/>
    <m/>
    <m/>
    <m/>
    <m/>
    <m/>
    <m/>
    <m/>
    <m/>
    <m/>
    <m/>
    <m/>
    <m/>
    <m/>
  </r>
  <r>
    <x v="13"/>
    <d v="2025-10-26T17:02:24"/>
    <s v="NS 5pm"/>
    <m/>
    <m/>
    <m/>
    <m/>
    <m/>
    <m/>
    <m/>
    <m/>
    <m/>
    <m/>
    <m/>
    <m/>
    <m/>
    <m/>
    <m/>
    <m/>
    <m/>
    <n v="0"/>
    <n v="0"/>
    <s v=""/>
    <m/>
    <m/>
    <m/>
    <m/>
    <m/>
    <m/>
    <m/>
    <m/>
    <m/>
    <m/>
    <m/>
    <m/>
    <m/>
    <m/>
    <m/>
    <m/>
    <m/>
    <m/>
    <m/>
    <m/>
    <m/>
    <m/>
  </r>
  <r>
    <x v="13"/>
    <d v="2025-10-27T05:02:24"/>
    <s v="DS 5am"/>
    <m/>
    <m/>
    <m/>
    <m/>
    <m/>
    <m/>
    <m/>
    <m/>
    <m/>
    <m/>
    <m/>
    <m/>
    <m/>
    <m/>
    <m/>
    <m/>
    <m/>
    <n v="0"/>
    <n v="0"/>
    <s v=""/>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n v="24"/>
    <n v="2045"/>
  </r>
  <r>
    <x v="1"/>
    <x v="0"/>
    <x v="1"/>
    <n v="12"/>
    <n v="1040"/>
  </r>
  <r>
    <x v="2"/>
    <x v="1"/>
    <x v="2"/>
    <m/>
    <m/>
  </r>
  <r>
    <x v="3"/>
    <x v="0"/>
    <x v="3"/>
    <n v="8"/>
    <n v="1260"/>
  </r>
  <r>
    <x v="3"/>
    <x v="2"/>
    <x v="3"/>
    <n v="155"/>
    <n v="18025"/>
  </r>
  <r>
    <x v="2"/>
    <x v="1"/>
    <x v="2"/>
    <m/>
    <m/>
  </r>
  <r>
    <x v="4"/>
    <x v="2"/>
    <x v="4"/>
    <n v="39"/>
    <n v="4935"/>
  </r>
  <r>
    <x v="4"/>
    <x v="0"/>
    <x v="4"/>
    <n v="5"/>
    <n v="581"/>
  </r>
  <r>
    <x v="2"/>
    <x v="1"/>
    <x v="2"/>
    <m/>
    <m/>
  </r>
  <r>
    <x v="5"/>
    <x v="0"/>
    <x v="4"/>
    <n v="5"/>
    <n v="450"/>
  </r>
  <r>
    <x v="5"/>
    <x v="2"/>
    <x v="4"/>
    <n v="42"/>
    <n v="3735"/>
  </r>
  <r>
    <x v="2"/>
    <x v="1"/>
    <x v="2"/>
    <m/>
    <m/>
  </r>
  <r>
    <x v="6"/>
    <x v="2"/>
    <x v="5"/>
    <n v="7"/>
    <n v="630"/>
  </r>
  <r>
    <x v="7"/>
    <x v="2"/>
    <x v="5"/>
    <n v="10"/>
    <n v="9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x v="0"/>
    <m/>
    <x v="0"/>
    <s v="DS 5am"/>
    <m/>
    <m/>
    <m/>
    <s v=""/>
    <m/>
    <m/>
    <s v=""/>
    <m/>
    <m/>
    <n v="0"/>
    <m/>
    <m/>
    <n v="0"/>
    <m/>
    <m/>
    <n v="0"/>
    <n v="0"/>
    <n v="0"/>
    <s v=""/>
    <s v=""/>
    <s v=""/>
    <m/>
    <n v="1"/>
    <n v="1"/>
    <m/>
    <m/>
    <n v="0"/>
    <n v="0"/>
    <n v="0"/>
    <n v="3.5"/>
    <m/>
    <n v="1260"/>
    <n v="8.5"/>
    <m/>
    <n v="12"/>
    <n v="1260"/>
    <m/>
    <m/>
    <n v="1260"/>
    <m/>
    <n v="3780"/>
    <s v="07"/>
    <n v="5"/>
    <s v="D"/>
  </r>
  <r>
    <x v="0"/>
    <m/>
    <x v="1"/>
    <s v="NS 5pm"/>
    <m/>
    <m/>
    <m/>
    <s v=""/>
    <m/>
    <m/>
    <s v=""/>
    <m/>
    <m/>
    <n v="0"/>
    <m/>
    <m/>
    <n v="0"/>
    <m/>
    <m/>
    <n v="0"/>
    <n v="0"/>
    <n v="0"/>
    <s v=""/>
    <s v=""/>
    <s v=""/>
    <m/>
    <m/>
    <m/>
    <m/>
    <m/>
    <n v="0"/>
    <n v="0"/>
    <n v="0"/>
    <n v="3.5"/>
    <m/>
    <n v="1260"/>
    <n v="7.5"/>
    <m/>
    <n v="11"/>
    <n v="1260"/>
    <m/>
    <m/>
    <n v="1260"/>
    <m/>
    <n v="2520"/>
    <s v="07"/>
    <n v="5"/>
    <s v="N"/>
  </r>
  <r>
    <x v="0"/>
    <m/>
    <x v="2"/>
    <s v="DS 5am"/>
    <m/>
    <m/>
    <m/>
    <s v=""/>
    <m/>
    <m/>
    <s v=""/>
    <m/>
    <m/>
    <n v="0"/>
    <m/>
    <m/>
    <n v="0"/>
    <m/>
    <m/>
    <n v="0"/>
    <n v="0"/>
    <n v="0"/>
    <s v=""/>
    <s v=""/>
    <s v=""/>
    <m/>
    <n v="1"/>
    <n v="1"/>
    <m/>
    <m/>
    <n v="0"/>
    <n v="0"/>
    <n v="0"/>
    <n v="3.5"/>
    <m/>
    <n v="1260"/>
    <n v="8.5"/>
    <m/>
    <n v="12"/>
    <n v="1260"/>
    <m/>
    <m/>
    <n v="1260"/>
    <n v="1260"/>
    <n v="1260"/>
    <s v="07"/>
    <n v="6"/>
    <s v="D"/>
  </r>
  <r>
    <x v="0"/>
    <m/>
    <x v="3"/>
    <s v="NS 5pm"/>
    <m/>
    <m/>
    <m/>
    <s v=""/>
    <m/>
    <m/>
    <s v=""/>
    <m/>
    <m/>
    <n v="0"/>
    <m/>
    <m/>
    <n v="0"/>
    <m/>
    <m/>
    <n v="0"/>
    <n v="0"/>
    <n v="0"/>
    <s v=""/>
    <s v=""/>
    <s v=""/>
    <m/>
    <m/>
    <m/>
    <m/>
    <m/>
    <m/>
    <m/>
    <n v="0"/>
    <m/>
    <m/>
    <n v="0"/>
    <m/>
    <m/>
    <s v=""/>
    <n v="0"/>
    <m/>
    <m/>
    <n v="0"/>
    <n v="0"/>
    <n v="1260"/>
    <s v="07"/>
    <n v="6"/>
    <s v="N"/>
  </r>
  <r>
    <x v="1"/>
    <m/>
    <x v="4"/>
    <s v="DS 5am"/>
    <s v="SF25_DMET023"/>
    <m/>
    <n v="6"/>
    <n v="780"/>
    <n v="0"/>
    <n v="0"/>
    <n v="0"/>
    <m/>
    <m/>
    <n v="0"/>
    <m/>
    <m/>
    <n v="0"/>
    <m/>
    <m/>
    <n v="0"/>
    <n v="0"/>
    <n v="0"/>
    <n v="0"/>
    <n v="0"/>
    <n v="0"/>
    <m/>
    <n v="1"/>
    <n v="1"/>
    <n v="13170"/>
    <n v="575"/>
    <n v="0"/>
    <n v="8.25"/>
    <n v="3795"/>
    <n v="2"/>
    <m/>
    <n v="720"/>
    <n v="1.75"/>
    <m/>
    <n v="12"/>
    <n v="4515"/>
    <n v="1541"/>
    <n v="761"/>
    <n v="6631"/>
    <n v="6631"/>
    <n v="7891"/>
    <s v="07"/>
    <n v="7"/>
    <s v="D"/>
  </r>
  <r>
    <x v="2"/>
    <m/>
    <x v="5"/>
    <s v="NS 5pm"/>
    <m/>
    <m/>
    <m/>
    <s v=""/>
    <m/>
    <m/>
    <s v=""/>
    <m/>
    <m/>
    <n v="0"/>
    <m/>
    <m/>
    <n v="0"/>
    <m/>
    <m/>
    <n v="0"/>
    <n v="0"/>
    <n v="0"/>
    <s v=""/>
    <s v=""/>
    <s v=""/>
    <m/>
    <m/>
    <m/>
    <m/>
    <n v="0"/>
    <m/>
    <m/>
    <n v="0"/>
    <m/>
    <m/>
    <n v="0"/>
    <m/>
    <m/>
    <s v=""/>
    <n v="0"/>
    <m/>
    <m/>
    <n v="0"/>
    <n v="0"/>
    <n v="7891"/>
    <s v="07"/>
    <n v="7"/>
    <s v="N"/>
  </r>
  <r>
    <x v="1"/>
    <m/>
    <x v="6"/>
    <s v="DS 5am"/>
    <s v="SF25_DMET023"/>
    <m/>
    <n v="3"/>
    <n v="390"/>
    <n v="0"/>
    <n v="11"/>
    <n v="11"/>
    <m/>
    <m/>
    <n v="0"/>
    <m/>
    <m/>
    <n v="0"/>
    <m/>
    <m/>
    <n v="0"/>
    <n v="11"/>
    <n v="0"/>
    <n v="11"/>
    <n v="1925"/>
    <n v="1955"/>
    <m/>
    <n v="1"/>
    <n v="1"/>
    <n v="13170"/>
    <n v="575"/>
    <n v="4.25"/>
    <n v="7"/>
    <n v="3220"/>
    <n v="0.75"/>
    <m/>
    <n v="270"/>
    <m/>
    <m/>
    <n v="12"/>
    <n v="3490"/>
    <n v="1076.3399999999999"/>
    <n v="686.33999999999992"/>
    <n v="7096.34"/>
    <n v="7096.34"/>
    <n v="14987.34"/>
    <s v="07"/>
    <n v="8"/>
    <s v="D"/>
  </r>
  <r>
    <x v="1"/>
    <m/>
    <x v="7"/>
    <s v="NS 5pm"/>
    <s v="SF25_DMET023"/>
    <m/>
    <n v="3"/>
    <n v="390"/>
    <n v="11"/>
    <n v="26.6"/>
    <n v="15.600000000000001"/>
    <m/>
    <m/>
    <n v="0"/>
    <m/>
    <m/>
    <n v="0"/>
    <m/>
    <m/>
    <n v="0"/>
    <n v="15.600000000000001"/>
    <n v="0"/>
    <n v="15.600000000000001"/>
    <n v="2730.0000000000005"/>
    <n v="3335"/>
    <m/>
    <m/>
    <m/>
    <m/>
    <n v="0"/>
    <n v="7.25"/>
    <n v="1.5"/>
    <n v="690"/>
    <n v="0.25"/>
    <m/>
    <n v="90"/>
    <n v="3"/>
    <m/>
    <n v="12"/>
    <n v="780"/>
    <n v="507.93"/>
    <n v="117.93"/>
    <n v="4622.93"/>
    <n v="4622.93"/>
    <n v="19610.27"/>
    <s v="07"/>
    <n v="8"/>
    <s v="N"/>
  </r>
  <r>
    <x v="1"/>
    <m/>
    <x v="8"/>
    <s v="DS 5am"/>
    <s v="SF25_DMET023"/>
    <m/>
    <n v="3"/>
    <n v="390"/>
    <n v="26.6"/>
    <n v="33.700000000000003"/>
    <n v="7.1000000000000014"/>
    <m/>
    <m/>
    <n v="0"/>
    <m/>
    <m/>
    <n v="0"/>
    <m/>
    <m/>
    <n v="0"/>
    <n v="7.1000000000000014"/>
    <n v="0"/>
    <n v="7.1000000000000014"/>
    <n v="1242.5000000000002"/>
    <n v="1380"/>
    <m/>
    <n v="1"/>
    <n v="1"/>
    <n v="13170"/>
    <n v="575"/>
    <n v="3"/>
    <n v="0.25"/>
    <n v="115"/>
    <n v="0.25"/>
    <m/>
    <n v="90"/>
    <n v="8.5"/>
    <m/>
    <n v="12"/>
    <n v="205"/>
    <n v="390"/>
    <n v="0"/>
    <n v="2550"/>
    <n v="2550"/>
    <n v="22160.27"/>
    <s v="07"/>
    <n v="9"/>
    <s v="D"/>
  </r>
  <r>
    <x v="1"/>
    <m/>
    <x v="9"/>
    <s v="NS 5pm"/>
    <s v="SF25_DMET023"/>
    <m/>
    <n v="3"/>
    <n v="390"/>
    <n v="33.700000000000003"/>
    <n v="63.7"/>
    <n v="30"/>
    <m/>
    <m/>
    <n v="0"/>
    <m/>
    <m/>
    <n v="0"/>
    <m/>
    <m/>
    <n v="0"/>
    <n v="30"/>
    <n v="0"/>
    <n v="30"/>
    <n v="5250"/>
    <n v="5250"/>
    <m/>
    <m/>
    <m/>
    <m/>
    <n v="0"/>
    <n v="10.75"/>
    <n v="0.75"/>
    <n v="345"/>
    <n v="0.5"/>
    <m/>
    <n v="180"/>
    <m/>
    <m/>
    <n v="12"/>
    <n v="525"/>
    <n v="507.93"/>
    <n v="117.93"/>
    <n v="6282.93"/>
    <n v="6282.93"/>
    <n v="28443.200000000001"/>
    <s v="07"/>
    <n v="9"/>
    <s v="N"/>
  </r>
  <r>
    <x v="1"/>
    <m/>
    <x v="10"/>
    <s v="DS 5am"/>
    <s v="SF25_DMET023"/>
    <m/>
    <n v="3"/>
    <n v="390"/>
    <n v="63.7"/>
    <n v="84.1"/>
    <n v="20.399999999999991"/>
    <m/>
    <m/>
    <n v="0"/>
    <m/>
    <m/>
    <n v="0"/>
    <m/>
    <m/>
    <n v="0"/>
    <n v="20.399999999999991"/>
    <n v="0"/>
    <n v="20.399999999999991"/>
    <n v="3569.9999999999986"/>
    <n v="5060"/>
    <m/>
    <n v="1"/>
    <n v="1"/>
    <n v="13170"/>
    <n v="575"/>
    <n v="11"/>
    <n v="0.5"/>
    <n v="230"/>
    <n v="0.5"/>
    <m/>
    <n v="180"/>
    <m/>
    <m/>
    <n v="12"/>
    <n v="410"/>
    <n v="817.99"/>
    <n v="427.99"/>
    <n v="6862.99"/>
    <n v="6862.99"/>
    <n v="35306.19"/>
    <s v="07"/>
    <n v="10"/>
    <s v="D"/>
  </r>
  <r>
    <x v="1"/>
    <m/>
    <x v="11"/>
    <s v="NS 5pm"/>
    <s v="SF25_DMET023"/>
    <m/>
    <n v="3"/>
    <n v="390"/>
    <n v="84.1"/>
    <n v="99.7"/>
    <n v="15.600000000000009"/>
    <m/>
    <m/>
    <n v="0"/>
    <m/>
    <m/>
    <n v="0"/>
    <m/>
    <m/>
    <n v="0"/>
    <n v="15.600000000000009"/>
    <n v="0"/>
    <n v="15.600000000000009"/>
    <n v="2730.0000000000014"/>
    <n v="3105"/>
    <m/>
    <m/>
    <m/>
    <m/>
    <n v="0"/>
    <n v="6.75"/>
    <n v="4.75"/>
    <n v="2185"/>
    <n v="0.5"/>
    <m/>
    <n v="180"/>
    <m/>
    <m/>
    <n v="12"/>
    <n v="2365"/>
    <n v="1166.68"/>
    <n v="776.68000000000006"/>
    <n v="6636.68"/>
    <n v="6636.68"/>
    <n v="41942.870000000003"/>
    <s v="07"/>
    <n v="10"/>
    <s v="N"/>
  </r>
  <r>
    <x v="1"/>
    <n v="1"/>
    <x v="12"/>
    <s v="DS 5am"/>
    <s v="SF25_DMET023"/>
    <m/>
    <n v="3"/>
    <n v="390"/>
    <n v="99.7"/>
    <n v="118.7"/>
    <n v="19"/>
    <m/>
    <m/>
    <n v="0"/>
    <m/>
    <m/>
    <n v="0"/>
    <m/>
    <m/>
    <n v="0"/>
    <n v="19"/>
    <n v="0"/>
    <n v="19"/>
    <n v="3325"/>
    <n v="3910"/>
    <m/>
    <n v="1"/>
    <n v="1"/>
    <n v="13170"/>
    <n v="575"/>
    <n v="8.5"/>
    <n v="3"/>
    <n v="1380"/>
    <n v="0.5"/>
    <m/>
    <n v="180"/>
    <m/>
    <m/>
    <n v="12"/>
    <n v="1560"/>
    <n v="390"/>
    <m/>
    <n v="6435"/>
    <n v="6435"/>
    <n v="48377.87"/>
    <s v="07"/>
    <n v="11"/>
    <s v="D"/>
  </r>
  <r>
    <x v="1"/>
    <m/>
    <x v="13"/>
    <s v="NS 5pm"/>
    <s v="SF25_DMET022"/>
    <m/>
    <n v="3"/>
    <n v="390"/>
    <n v="0"/>
    <n v="16.5"/>
    <n v="16.5"/>
    <m/>
    <m/>
    <n v="0"/>
    <m/>
    <m/>
    <n v="0"/>
    <m/>
    <m/>
    <n v="0"/>
    <n v="16.5"/>
    <n v="0"/>
    <n v="16.5"/>
    <n v="2887.5"/>
    <n v="3335"/>
    <m/>
    <m/>
    <m/>
    <m/>
    <n v="0"/>
    <n v="7.25"/>
    <n v="4.25"/>
    <n v="1955"/>
    <n v="0.5"/>
    <m/>
    <n v="180"/>
    <m/>
    <m/>
    <n v="12"/>
    <n v="2135"/>
    <n v="786.12"/>
    <n v="396.12"/>
    <n v="6256.12"/>
    <n v="6256.12"/>
    <n v="54633.990000000005"/>
    <s v="07"/>
    <n v="11"/>
    <s v="N"/>
  </r>
  <r>
    <x v="1"/>
    <m/>
    <x v="14"/>
    <s v="DS 5am"/>
    <s v="SF25_DMET022"/>
    <m/>
    <n v="3"/>
    <n v="390"/>
    <n v="16.5"/>
    <n v="39.4"/>
    <n v="22.9"/>
    <m/>
    <m/>
    <n v="0"/>
    <m/>
    <m/>
    <n v="0"/>
    <m/>
    <m/>
    <n v="0"/>
    <n v="22.9"/>
    <n v="0"/>
    <n v="22.9"/>
    <n v="4007.4999999999995"/>
    <n v="4945"/>
    <m/>
    <n v="1"/>
    <n v="1"/>
    <n v="13170"/>
    <n v="575"/>
    <n v="10.75"/>
    <n v="0.25"/>
    <n v="115"/>
    <n v="0.5"/>
    <m/>
    <n v="180"/>
    <n v="0.5"/>
    <m/>
    <n v="12"/>
    <n v="295"/>
    <n v="541.79"/>
    <n v="151.79"/>
    <n v="6356.79"/>
    <n v="6356.79"/>
    <n v="60990.780000000006"/>
    <s v="07"/>
    <n v="12"/>
    <s v="D"/>
  </r>
  <r>
    <x v="1"/>
    <m/>
    <x v="15"/>
    <s v="NS 5pm"/>
    <s v="SF25_DMET022"/>
    <m/>
    <n v="3"/>
    <n v="390"/>
    <n v="39.4"/>
    <n v="60.6"/>
    <n v="21.200000000000003"/>
    <m/>
    <m/>
    <n v="0"/>
    <m/>
    <m/>
    <n v="0"/>
    <m/>
    <m/>
    <n v="0"/>
    <n v="21.200000000000003"/>
    <n v="0"/>
    <n v="21.200000000000003"/>
    <n v="3710.0000000000005"/>
    <n v="3910"/>
    <m/>
    <m/>
    <m/>
    <m/>
    <n v="0"/>
    <n v="8.5"/>
    <n v="2.5"/>
    <n v="1150"/>
    <n v="0.5"/>
    <m/>
    <n v="180"/>
    <n v="0.5"/>
    <m/>
    <n v="12"/>
    <n v="1330"/>
    <n v="507.93"/>
    <n v="117.93"/>
    <n v="5747.93"/>
    <n v="5747.93"/>
    <n v="66738.710000000006"/>
    <s v="07"/>
    <n v="12"/>
    <s v="N"/>
  </r>
  <r>
    <x v="1"/>
    <m/>
    <x v="16"/>
    <s v="DS 5am"/>
    <s v="SF25_DMET022"/>
    <m/>
    <n v="3"/>
    <n v="390"/>
    <n v="60.6"/>
    <n v="73.8"/>
    <n v="13.199999999999996"/>
    <m/>
    <m/>
    <n v="0"/>
    <m/>
    <m/>
    <n v="0"/>
    <m/>
    <m/>
    <n v="0"/>
    <n v="13.199999999999996"/>
    <n v="0"/>
    <n v="13.199999999999996"/>
    <n v="2309.9999999999991"/>
    <n v="4025"/>
    <m/>
    <n v="1"/>
    <n v="1"/>
    <n v="13170"/>
    <n v="575"/>
    <n v="8.75"/>
    <n v="2.75"/>
    <n v="1265"/>
    <n v="0.5"/>
    <m/>
    <n v="180"/>
    <m/>
    <m/>
    <n v="12"/>
    <n v="1445"/>
    <n v="443.23"/>
    <n v="53.23"/>
    <n v="6488.23"/>
    <n v="6488.23"/>
    <n v="73226.94"/>
    <s v="07"/>
    <n v="13"/>
    <s v="D"/>
  </r>
  <r>
    <x v="1"/>
    <m/>
    <x v="17"/>
    <s v="NS 5pm"/>
    <s v="SF25_DMET022"/>
    <m/>
    <n v="3"/>
    <n v="390"/>
    <n v="73.8"/>
    <n v="101.1"/>
    <n v="27.299999999999997"/>
    <m/>
    <m/>
    <n v="0"/>
    <m/>
    <m/>
    <n v="0"/>
    <m/>
    <m/>
    <n v="0"/>
    <n v="27.299999999999997"/>
    <n v="0"/>
    <n v="27.299999999999997"/>
    <n v="4777.4999999999991"/>
    <n v="5060"/>
    <m/>
    <m/>
    <m/>
    <m/>
    <n v="0"/>
    <n v="11"/>
    <n v="0.5"/>
    <n v="230"/>
    <n v="0.5"/>
    <m/>
    <n v="180"/>
    <m/>
    <m/>
    <n v="12"/>
    <n v="410"/>
    <n v="507.93"/>
    <n v="117.93"/>
    <n v="5977.93"/>
    <n v="5977.93"/>
    <n v="79204.87"/>
    <s v="07"/>
    <n v="13"/>
    <s v="N"/>
  </r>
  <r>
    <x v="1"/>
    <n v="1"/>
    <x v="18"/>
    <s v="DS 5am"/>
    <s v="SF25_DMET022"/>
    <m/>
    <n v="3"/>
    <n v="390"/>
    <n v="101.1"/>
    <n v="120.7"/>
    <n v="19.600000000000009"/>
    <m/>
    <m/>
    <n v="0"/>
    <m/>
    <m/>
    <n v="0"/>
    <m/>
    <m/>
    <n v="0"/>
    <n v="19.600000000000009"/>
    <n v="0"/>
    <n v="19.600000000000009"/>
    <n v="3430.0000000000014"/>
    <n v="3680"/>
    <m/>
    <n v="1"/>
    <n v="1"/>
    <n v="13170"/>
    <n v="575"/>
    <n v="8"/>
    <n v="3.5"/>
    <n v="1610"/>
    <n v="0.5"/>
    <m/>
    <n v="180"/>
    <m/>
    <m/>
    <n v="12"/>
    <n v="1790"/>
    <n v="390"/>
    <m/>
    <n v="6435"/>
    <n v="6435"/>
    <n v="85639.87"/>
    <s v="07"/>
    <n v="14"/>
    <s v="D"/>
  </r>
  <r>
    <x v="1"/>
    <m/>
    <x v="19"/>
    <s v="NS 5pm"/>
    <s v="SF25_DMET021"/>
    <m/>
    <n v="3"/>
    <n v="390"/>
    <n v="0"/>
    <n v="20.5"/>
    <n v="20.5"/>
    <m/>
    <m/>
    <n v="0"/>
    <m/>
    <m/>
    <n v="0"/>
    <m/>
    <m/>
    <n v="0"/>
    <n v="20.5"/>
    <n v="0"/>
    <n v="20.5"/>
    <n v="3587.5"/>
    <n v="3795"/>
    <m/>
    <m/>
    <m/>
    <m/>
    <n v="0"/>
    <n v="8.25"/>
    <n v="3.25"/>
    <n v="1495"/>
    <n v="0.5"/>
    <m/>
    <n v="180"/>
    <m/>
    <m/>
    <n v="12"/>
    <n v="1675"/>
    <n v="625.86"/>
    <n v="235.86"/>
    <n v="6095.86"/>
    <n v="6095.86"/>
    <n v="91735.73"/>
    <s v="07"/>
    <n v="14"/>
    <s v="N"/>
  </r>
  <r>
    <x v="1"/>
    <m/>
    <x v="20"/>
    <s v="DS 5am"/>
    <s v="SF25_DMET021"/>
    <m/>
    <n v="3"/>
    <n v="390"/>
    <n v="20.5"/>
    <n v="50.5"/>
    <n v="30"/>
    <m/>
    <m/>
    <n v="0"/>
    <m/>
    <m/>
    <n v="0"/>
    <m/>
    <m/>
    <n v="0"/>
    <n v="30"/>
    <n v="0"/>
    <n v="30"/>
    <n v="5250"/>
    <n v="5250"/>
    <m/>
    <n v="1"/>
    <n v="1"/>
    <n v="13170"/>
    <n v="575"/>
    <n v="10.5"/>
    <n v="1"/>
    <n v="460"/>
    <n v="0.5"/>
    <m/>
    <n v="180"/>
    <m/>
    <m/>
    <n v="12"/>
    <n v="640"/>
    <n v="1269.56"/>
    <n v="879.56"/>
    <n v="7734.5599999999995"/>
    <n v="7734.56"/>
    <n v="99470.29"/>
    <s v="07"/>
    <n v="15"/>
    <s v="D"/>
  </r>
  <r>
    <x v="1"/>
    <m/>
    <x v="21"/>
    <s v="NS 5pm"/>
    <s v="SF25_DMET021"/>
    <m/>
    <n v="3"/>
    <n v="390"/>
    <n v="50.5"/>
    <n v="80.599999999999994"/>
    <n v="30.099999999999994"/>
    <m/>
    <m/>
    <n v="0"/>
    <m/>
    <m/>
    <n v="0"/>
    <m/>
    <m/>
    <n v="0"/>
    <n v="30.099999999999994"/>
    <n v="0"/>
    <n v="30.099999999999994"/>
    <n v="5267.4999999999991"/>
    <n v="5267.4999999999991"/>
    <m/>
    <m/>
    <m/>
    <m/>
    <n v="0"/>
    <n v="10.25"/>
    <n v="1.25"/>
    <n v="575"/>
    <n v="0.5"/>
    <m/>
    <n v="180"/>
    <m/>
    <m/>
    <n v="12"/>
    <n v="755"/>
    <n v="626.49"/>
    <n v="236.49"/>
    <n v="6648.9899999999989"/>
    <n v="6648.99"/>
    <n v="106119.28"/>
    <s v="07"/>
    <n v="15"/>
    <s v="N"/>
  </r>
  <r>
    <x v="1"/>
    <n v="1"/>
    <x v="22"/>
    <s v="DS 5am"/>
    <s v="SF25_DMET021"/>
    <s v="SF25_DMET020"/>
    <n v="3"/>
    <n v="390"/>
    <n v="80.599999999999994"/>
    <n v="90.6"/>
    <n v="10"/>
    <m/>
    <m/>
    <n v="0"/>
    <n v="0"/>
    <n v="9"/>
    <n v="9"/>
    <m/>
    <m/>
    <n v="0"/>
    <n v="19"/>
    <n v="0"/>
    <n v="19"/>
    <n v="3325"/>
    <n v="3325"/>
    <m/>
    <n v="1"/>
    <n v="1"/>
    <n v="13170"/>
    <n v="575"/>
    <n v="6.5"/>
    <n v="4.5"/>
    <n v="2070"/>
    <n v="1"/>
    <m/>
    <n v="360"/>
    <m/>
    <m/>
    <n v="12"/>
    <n v="2430"/>
    <n v="390"/>
    <m/>
    <n v="6720"/>
    <n v="6720"/>
    <n v="112839.28"/>
    <s v="07"/>
    <n v="16"/>
    <s v="D"/>
  </r>
  <r>
    <x v="1"/>
    <m/>
    <x v="23"/>
    <s v="NS 5pm"/>
    <s v="SF25_DMET020"/>
    <m/>
    <n v="3"/>
    <n v="390"/>
    <n v="9"/>
    <n v="30.8"/>
    <n v="21.8"/>
    <m/>
    <m/>
    <n v="0"/>
    <m/>
    <m/>
    <n v="0"/>
    <m/>
    <m/>
    <n v="0"/>
    <n v="21.8"/>
    <n v="0"/>
    <n v="21.8"/>
    <n v="3815"/>
    <n v="4025"/>
    <m/>
    <m/>
    <m/>
    <m/>
    <n v="0"/>
    <n v="8.75"/>
    <n v="2.75"/>
    <n v="1265"/>
    <n v="0.5"/>
    <m/>
    <n v="180"/>
    <m/>
    <m/>
    <n v="12"/>
    <n v="1445"/>
    <n v="786.12"/>
    <n v="396.12"/>
    <n v="6256.12"/>
    <n v="6256.12"/>
    <n v="119095.4"/>
    <s v="07"/>
    <n v="16"/>
    <s v="N"/>
  </r>
  <r>
    <x v="1"/>
    <m/>
    <x v="24"/>
    <s v="DS 5am"/>
    <s v="SF25_DMET020"/>
    <m/>
    <n v="3"/>
    <n v="390"/>
    <n v="30.8"/>
    <n v="57"/>
    <n v="26.2"/>
    <m/>
    <m/>
    <n v="0"/>
    <m/>
    <m/>
    <n v="0"/>
    <m/>
    <m/>
    <n v="0"/>
    <n v="26.2"/>
    <n v="0"/>
    <n v="26.2"/>
    <n v="4585"/>
    <n v="4715"/>
    <m/>
    <n v="1"/>
    <n v="1"/>
    <n v="13170"/>
    <n v="575"/>
    <n v="10.25"/>
    <n v="1.25"/>
    <n v="575"/>
    <n v="0.5"/>
    <m/>
    <n v="180"/>
    <m/>
    <m/>
    <n v="12"/>
    <n v="755"/>
    <n v="390"/>
    <m/>
    <n v="6435"/>
    <n v="6435"/>
    <n v="125530.4"/>
    <s v="07"/>
    <n v="17"/>
    <s v="D"/>
  </r>
  <r>
    <x v="1"/>
    <m/>
    <x v="25"/>
    <s v="NS 5pm"/>
    <s v="SF25_DMET020"/>
    <m/>
    <n v="3"/>
    <n v="390"/>
    <n v="57"/>
    <n v="84.7"/>
    <n v="27.700000000000003"/>
    <m/>
    <m/>
    <n v="0"/>
    <m/>
    <m/>
    <n v="0"/>
    <m/>
    <m/>
    <n v="0"/>
    <n v="27.700000000000003"/>
    <n v="0"/>
    <n v="27.700000000000003"/>
    <n v="4847.5000000000009"/>
    <n v="4847.5000000000009"/>
    <m/>
    <m/>
    <m/>
    <m/>
    <n v="0"/>
    <n v="10"/>
    <n v="1.5"/>
    <n v="690"/>
    <n v="0.5"/>
    <m/>
    <n v="180"/>
    <m/>
    <m/>
    <n v="12"/>
    <n v="870"/>
    <n v="507.93"/>
    <n v="117.93"/>
    <n v="6225.4300000000012"/>
    <n v="6225.43"/>
    <n v="131755.82999999999"/>
    <s v="07"/>
    <n v="17"/>
    <s v="N"/>
  </r>
  <r>
    <x v="1"/>
    <n v="1"/>
    <x v="26"/>
    <s v="DS 5am"/>
    <s v="SF25_DMET020"/>
    <m/>
    <n v="3"/>
    <n v="390"/>
    <n v="84.7"/>
    <n v="90.7"/>
    <n v="6"/>
    <m/>
    <m/>
    <n v="0"/>
    <m/>
    <m/>
    <n v="0"/>
    <m/>
    <m/>
    <n v="0"/>
    <n v="6"/>
    <n v="0"/>
    <n v="6"/>
    <n v="1050"/>
    <n v="1610"/>
    <m/>
    <n v="1"/>
    <n v="1"/>
    <n v="13170"/>
    <n v="575"/>
    <n v="3.5"/>
    <n v="7.5"/>
    <n v="3450"/>
    <n v="1"/>
    <m/>
    <n v="360"/>
    <m/>
    <m/>
    <n v="12"/>
    <n v="3810"/>
    <n v="390"/>
    <m/>
    <n v="6385"/>
    <n v="6385"/>
    <n v="138140.82999999999"/>
    <s v="07"/>
    <n v="18"/>
    <s v="D"/>
  </r>
  <r>
    <x v="1"/>
    <m/>
    <x v="27"/>
    <s v="NS 5pm"/>
    <s v="SF25_DMET010"/>
    <m/>
    <n v="3"/>
    <n v="390"/>
    <n v="0"/>
    <n v="14.9"/>
    <n v="14.9"/>
    <m/>
    <m/>
    <n v="0"/>
    <m/>
    <m/>
    <n v="0"/>
    <m/>
    <m/>
    <n v="0"/>
    <n v="14.9"/>
    <n v="0"/>
    <n v="14.9"/>
    <n v="2607.5"/>
    <n v="2607.5"/>
    <m/>
    <m/>
    <m/>
    <m/>
    <n v="0"/>
    <n v="5.25"/>
    <n v="3.75"/>
    <n v="1725"/>
    <n v="0.5"/>
    <n v="2.5"/>
    <n v="1080"/>
    <m/>
    <m/>
    <n v="12"/>
    <n v="2805"/>
    <n v="904.05"/>
    <n v="514.04999999999995"/>
    <n v="6316.55"/>
    <n v="6316.55"/>
    <n v="144457.37999999998"/>
    <s v="07"/>
    <n v="18"/>
    <s v="N"/>
  </r>
  <r>
    <x v="1"/>
    <m/>
    <x v="28"/>
    <s v="DS 5am"/>
    <s v="SF25_DMET010"/>
    <m/>
    <n v="3"/>
    <n v="390"/>
    <n v="14.9"/>
    <n v="45.6"/>
    <n v="30.700000000000003"/>
    <m/>
    <m/>
    <n v="0"/>
    <m/>
    <m/>
    <n v="0"/>
    <m/>
    <m/>
    <n v="0"/>
    <n v="30.700000000000003"/>
    <n v="0"/>
    <n v="30.700000000000003"/>
    <n v="5372.5000000000009"/>
    <n v="5372.5000000000009"/>
    <m/>
    <n v="1"/>
    <n v="1"/>
    <n v="13170"/>
    <n v="575"/>
    <n v="10.75"/>
    <n v="0.75"/>
    <n v="345"/>
    <n v="0.5"/>
    <m/>
    <n v="180"/>
    <m/>
    <m/>
    <n v="12"/>
    <n v="525"/>
    <n v="390"/>
    <m/>
    <n v="6862.5000000000009"/>
    <n v="6862.5"/>
    <n v="151319.87999999998"/>
    <s v="07"/>
    <n v="19"/>
    <s v="D"/>
  </r>
  <r>
    <x v="1"/>
    <m/>
    <x v="29"/>
    <s v="NS 5pm"/>
    <s v="SF25_DMET010"/>
    <m/>
    <n v="3"/>
    <n v="390"/>
    <n v="45.6"/>
    <n v="75.599999999999994"/>
    <n v="29.999999999999993"/>
    <m/>
    <m/>
    <n v="0"/>
    <m/>
    <m/>
    <n v="0"/>
    <m/>
    <m/>
    <n v="0"/>
    <n v="29.999999999999993"/>
    <n v="0"/>
    <n v="29.999999999999993"/>
    <n v="5249.9999999999991"/>
    <n v="5249.9999999999991"/>
    <m/>
    <m/>
    <m/>
    <m/>
    <n v="0"/>
    <n v="10.5"/>
    <n v="1"/>
    <n v="460"/>
    <n v="0.5"/>
    <m/>
    <n v="180"/>
    <m/>
    <m/>
    <n v="12"/>
    <n v="640"/>
    <n v="507.93"/>
    <n v="117.93"/>
    <n v="6397.9299999999994"/>
    <n v="6397.93"/>
    <n v="157717.80999999997"/>
    <s v="07"/>
    <n v="19"/>
    <s v="N"/>
  </r>
  <r>
    <x v="1"/>
    <n v="1"/>
    <x v="30"/>
    <s v="DS 5am"/>
    <s v="SF25_DMET010"/>
    <s v="SF25_DDGT012"/>
    <n v="3"/>
    <n v="390"/>
    <n v="75.599999999999994"/>
    <n v="81.599999999999994"/>
    <n v="6"/>
    <n v="0"/>
    <n v="2.2999999999999998"/>
    <n v="2.2999999999999998"/>
    <m/>
    <m/>
    <n v="0"/>
    <m/>
    <m/>
    <n v="0"/>
    <n v="6"/>
    <n v="2.2999999999999998"/>
    <n v="8.3000000000000007"/>
    <n v="1360.5"/>
    <n v="1495"/>
    <m/>
    <n v="1"/>
    <n v="1"/>
    <n v="13170"/>
    <n v="575"/>
    <n v="3.25"/>
    <n v="7.75"/>
    <n v="3565"/>
    <n v="0.5"/>
    <m/>
    <n v="180"/>
    <n v="0.5"/>
    <m/>
    <n v="12"/>
    <n v="3745"/>
    <n v="390"/>
    <m/>
    <n v="6205"/>
    <n v="6205"/>
    <n v="163922.80999999997"/>
    <s v="07"/>
    <n v="20"/>
    <s v="D"/>
  </r>
  <r>
    <x v="3"/>
    <m/>
    <x v="31"/>
    <s v="NS 5pm"/>
    <s v="SF25_DDGT012"/>
    <m/>
    <n v="3"/>
    <n v="390"/>
    <m/>
    <m/>
    <n v="0"/>
    <n v="2.2999999999999998"/>
    <n v="19.8"/>
    <n v="17.5"/>
    <m/>
    <m/>
    <n v="0"/>
    <m/>
    <m/>
    <n v="0"/>
    <n v="0"/>
    <n v="17.5"/>
    <n v="17.5"/>
    <n v="2362.5"/>
    <n v="3335"/>
    <m/>
    <m/>
    <m/>
    <m/>
    <n v="0"/>
    <n v="7.25"/>
    <n v="3.75"/>
    <n v="1725"/>
    <n v="0.5"/>
    <m/>
    <n v="180"/>
    <n v="0.5"/>
    <m/>
    <n v="12"/>
    <n v="1905"/>
    <n v="904.05"/>
    <n v="514.04999999999995"/>
    <n v="6144.05"/>
    <n v="6144.05"/>
    <n v="170066.85999999996"/>
    <s v="07"/>
    <n v="20"/>
    <s v="N"/>
  </r>
  <r>
    <x v="3"/>
    <m/>
    <x v="32"/>
    <s v="DS 5am"/>
    <s v="SF25_DDGT012"/>
    <m/>
    <n v="3"/>
    <n v="390"/>
    <m/>
    <m/>
    <n v="0"/>
    <n v="19.8"/>
    <n v="41.3"/>
    <n v="21.499999999999996"/>
    <m/>
    <m/>
    <n v="0"/>
    <m/>
    <m/>
    <n v="0"/>
    <n v="0"/>
    <n v="21.499999999999996"/>
    <n v="21.5"/>
    <n v="2902.4999999999995"/>
    <n v="4945"/>
    <m/>
    <n v="1"/>
    <n v="1"/>
    <n v="13170"/>
    <n v="575"/>
    <n v="10.75"/>
    <n v="0.75"/>
    <n v="345"/>
    <n v="0.5"/>
    <m/>
    <n v="180"/>
    <m/>
    <m/>
    <n v="12"/>
    <n v="525"/>
    <n v="541.79"/>
    <n v="151.79"/>
    <n v="6586.79"/>
    <n v="6586.79"/>
    <n v="176653.64999999997"/>
    <s v="07"/>
    <n v="21"/>
    <s v="D"/>
  </r>
  <r>
    <x v="3"/>
    <m/>
    <x v="33"/>
    <s v="NS 5pm"/>
    <s v="SF25_DDGT012"/>
    <m/>
    <n v="3"/>
    <n v="390"/>
    <m/>
    <m/>
    <n v="0"/>
    <n v="41.3"/>
    <n v="63.2"/>
    <n v="21.900000000000006"/>
    <m/>
    <m/>
    <n v="0"/>
    <m/>
    <m/>
    <n v="0"/>
    <n v="0"/>
    <n v="21.900000000000006"/>
    <n v="21.900000000000006"/>
    <n v="2956.5000000000009"/>
    <n v="4945"/>
    <m/>
    <m/>
    <m/>
    <m/>
    <n v="0"/>
    <n v="10.75"/>
    <n v="0.75"/>
    <n v="345"/>
    <n v="0.5"/>
    <m/>
    <n v="180"/>
    <m/>
    <m/>
    <n v="12"/>
    <n v="525"/>
    <n v="507.93"/>
    <n v="117.93"/>
    <n v="5977.93"/>
    <n v="5977.93"/>
    <n v="182631.57999999996"/>
    <s v="07"/>
    <n v="21"/>
    <s v="N"/>
  </r>
  <r>
    <x v="3"/>
    <n v="1"/>
    <x v="34"/>
    <s v="DS 5am"/>
    <s v="SF25_DDGT012"/>
    <s v="SF25_DMET024"/>
    <n v="3"/>
    <n v="390"/>
    <n v="0"/>
    <n v="3.7"/>
    <n v="3.7"/>
    <n v="63.2"/>
    <n v="70.5"/>
    <n v="7.2999999999999972"/>
    <m/>
    <m/>
    <n v="0"/>
    <m/>
    <m/>
    <n v="0"/>
    <n v="3.7"/>
    <n v="7.2999999999999972"/>
    <n v="10.999999999999996"/>
    <n v="1632.9999999999995"/>
    <n v="2875"/>
    <m/>
    <n v="1"/>
    <n v="1"/>
    <n v="13170"/>
    <n v="575"/>
    <n v="6.25"/>
    <n v="5.25"/>
    <n v="2415"/>
    <n v="0.5"/>
    <m/>
    <n v="180"/>
    <m/>
    <m/>
    <n v="12"/>
    <n v="2595"/>
    <n v="390"/>
    <m/>
    <n v="6435"/>
    <n v="6435"/>
    <n v="189066.57999999996"/>
    <s v="07"/>
    <n v="22"/>
    <s v="D"/>
  </r>
  <r>
    <x v="1"/>
    <m/>
    <x v="35"/>
    <s v="NS 5pm"/>
    <s v="SF25_DMET024"/>
    <m/>
    <n v="3"/>
    <n v="390"/>
    <n v="3.7"/>
    <n v="20.100000000000001"/>
    <n v="16.400000000000002"/>
    <m/>
    <m/>
    <n v="0"/>
    <m/>
    <m/>
    <n v="0"/>
    <m/>
    <m/>
    <n v="0"/>
    <n v="16.400000000000002"/>
    <n v="0"/>
    <n v="16.400000000000002"/>
    <n v="2870.0000000000005"/>
    <n v="2870.0000000000005"/>
    <m/>
    <m/>
    <m/>
    <m/>
    <n v="0"/>
    <n v="5.75"/>
    <n v="2.75"/>
    <n v="1265"/>
    <n v="0.5"/>
    <m/>
    <n v="180"/>
    <n v="3"/>
    <m/>
    <n v="12"/>
    <n v="1445"/>
    <n v="904.05"/>
    <n v="514.04999999999995"/>
    <n v="5219.05"/>
    <n v="5219.05"/>
    <n v="194285.62999999995"/>
    <s v="07"/>
    <n v="22"/>
    <s v="N"/>
  </r>
  <r>
    <x v="1"/>
    <m/>
    <x v="36"/>
    <s v="DS 5am"/>
    <s v="SF25_DMET024"/>
    <m/>
    <n v="3"/>
    <n v="390"/>
    <n v="20.100000000000001"/>
    <n v="27.7"/>
    <n v="7.5999999999999979"/>
    <m/>
    <m/>
    <n v="0"/>
    <m/>
    <m/>
    <n v="0"/>
    <m/>
    <m/>
    <n v="0"/>
    <n v="7.5999999999999979"/>
    <n v="0"/>
    <n v="7.5999999999999979"/>
    <n v="1329.9999999999995"/>
    <n v="1610"/>
    <m/>
    <n v="1"/>
    <n v="1"/>
    <n v="13170"/>
    <n v="575"/>
    <n v="3.5"/>
    <n v="0.75"/>
    <n v="345"/>
    <n v="0.5"/>
    <m/>
    <n v="180"/>
    <n v="7.25"/>
    <m/>
    <n v="12"/>
    <n v="525"/>
    <n v="390"/>
    <m/>
    <n v="3100"/>
    <n v="3100"/>
    <n v="197385.62999999995"/>
    <s v="07"/>
    <n v="23"/>
    <s v="D"/>
  </r>
  <r>
    <x v="1"/>
    <m/>
    <x v="37"/>
    <s v="NS 5pm"/>
    <s v="SF25_DMET024"/>
    <m/>
    <n v="3"/>
    <n v="390"/>
    <n v="27.7"/>
    <n v="55.1"/>
    <n v="27.400000000000002"/>
    <m/>
    <m/>
    <n v="0"/>
    <m/>
    <m/>
    <n v="0"/>
    <m/>
    <m/>
    <n v="0"/>
    <n v="27.400000000000002"/>
    <n v="0"/>
    <n v="27.400000000000002"/>
    <n v="4795"/>
    <n v="4830"/>
    <m/>
    <m/>
    <m/>
    <m/>
    <n v="0"/>
    <n v="10.5"/>
    <n v="1"/>
    <n v="460"/>
    <n v="0.5"/>
    <m/>
    <n v="180"/>
    <m/>
    <m/>
    <n v="12"/>
    <n v="640"/>
    <n v="390"/>
    <m/>
    <n v="5860"/>
    <n v="5860"/>
    <n v="203245.62999999995"/>
    <s v="07"/>
    <n v="23"/>
    <s v="N"/>
  </r>
  <r>
    <x v="1"/>
    <m/>
    <x v="38"/>
    <s v="DS 5am"/>
    <s v="SF25_DMET024"/>
    <m/>
    <n v="3"/>
    <n v="390"/>
    <n v="55.1"/>
    <n v="84.7"/>
    <n v="29.6"/>
    <m/>
    <m/>
    <n v="0"/>
    <m/>
    <m/>
    <n v="0"/>
    <m/>
    <m/>
    <n v="0"/>
    <n v="29.6"/>
    <n v="0"/>
    <n v="29.6"/>
    <n v="5180"/>
    <n v="5180"/>
    <m/>
    <n v="1"/>
    <n v="1"/>
    <n v="13170"/>
    <n v="575"/>
    <n v="10.5"/>
    <n v="1"/>
    <n v="460"/>
    <n v="0.5"/>
    <m/>
    <n v="180"/>
    <m/>
    <m/>
    <n v="12"/>
    <n v="640"/>
    <n v="646.05999999999995"/>
    <n v="256.06"/>
    <n v="7041.06"/>
    <n v="7041.06"/>
    <n v="210286.68999999994"/>
    <s v="07"/>
    <n v="24"/>
    <s v="D"/>
  </r>
  <r>
    <x v="1"/>
    <n v="1"/>
    <x v="39"/>
    <s v="NS 5pm"/>
    <s v="SF25_DMET024"/>
    <m/>
    <n v="3"/>
    <n v="390"/>
    <n v="84.7"/>
    <n v="101.1"/>
    <n v="16.399999999999991"/>
    <m/>
    <m/>
    <n v="0"/>
    <m/>
    <m/>
    <n v="0"/>
    <m/>
    <m/>
    <n v="0"/>
    <n v="16.399999999999991"/>
    <n v="0"/>
    <n v="16.399999999999991"/>
    <n v="2869.9999999999986"/>
    <n v="3335"/>
    <m/>
    <m/>
    <m/>
    <m/>
    <n v="0"/>
    <n v="7.25"/>
    <n v="4.25"/>
    <n v="1955"/>
    <n v="0.5"/>
    <m/>
    <n v="180"/>
    <m/>
    <m/>
    <n v="12"/>
    <n v="2135"/>
    <n v="390"/>
    <m/>
    <n v="5860"/>
    <n v="5860"/>
    <n v="216146.68999999994"/>
    <s v="07"/>
    <n v="24"/>
    <s v="N"/>
  </r>
  <r>
    <x v="3"/>
    <m/>
    <x v="40"/>
    <s v="DS 5am"/>
    <s v="SF25_DDGT006"/>
    <m/>
    <n v="3"/>
    <n v="390"/>
    <m/>
    <m/>
    <n v="0"/>
    <m/>
    <m/>
    <n v="0"/>
    <m/>
    <m/>
    <n v="0"/>
    <m/>
    <m/>
    <n v="0"/>
    <n v="0"/>
    <n v="0"/>
    <n v="0"/>
    <n v="0"/>
    <n v="0"/>
    <m/>
    <n v="1"/>
    <n v="1"/>
    <n v="13170"/>
    <n v="575"/>
    <n v="0"/>
    <n v="7.5"/>
    <n v="3450"/>
    <n v="4.5"/>
    <m/>
    <n v="1620"/>
    <m/>
    <m/>
    <n v="12"/>
    <n v="5070"/>
    <n v="646.05999999999995"/>
    <n v="256.06"/>
    <n v="6291.06"/>
    <n v="6291.06"/>
    <n v="222437.74999999994"/>
    <s v="07"/>
    <n v="25"/>
    <s v="D"/>
  </r>
  <r>
    <x v="3"/>
    <m/>
    <x v="41"/>
    <s v="NS 5pm"/>
    <s v="SF25_DDGT006"/>
    <m/>
    <n v="3"/>
    <n v="390"/>
    <m/>
    <m/>
    <n v="0"/>
    <n v="6"/>
    <n v="13.8"/>
    <n v="7.8000000000000007"/>
    <m/>
    <m/>
    <n v="0"/>
    <m/>
    <m/>
    <n v="0"/>
    <n v="0"/>
    <n v="7.8000000000000007"/>
    <n v="7.8000000000000007"/>
    <n v="1053"/>
    <n v="1840"/>
    <m/>
    <m/>
    <m/>
    <m/>
    <n v="0"/>
    <n v="4"/>
    <n v="3"/>
    <n v="1380"/>
    <n v="5"/>
    <m/>
    <n v="1800"/>
    <m/>
    <m/>
    <n v="12"/>
    <n v="3180"/>
    <n v="390"/>
    <m/>
    <n v="5410"/>
    <n v="5410"/>
    <n v="227847.74999999994"/>
    <s v="07"/>
    <n v="25"/>
    <s v="N"/>
  </r>
  <r>
    <x v="3"/>
    <n v="1"/>
    <x v="42"/>
    <s v="DS 5am"/>
    <s v="SF25_DDGT006"/>
    <s v="SF25_DDGT005"/>
    <n v="3"/>
    <n v="390"/>
    <m/>
    <m/>
    <n v="0"/>
    <n v="13.8"/>
    <n v="15"/>
    <n v="1.1999999999999993"/>
    <m/>
    <m/>
    <n v="0"/>
    <n v="0"/>
    <n v="2"/>
    <n v="2"/>
    <n v="0"/>
    <n v="3.1999999999999993"/>
    <n v="3.1999999999999993"/>
    <n v="431.99999999999989"/>
    <n v="1265"/>
    <m/>
    <n v="1"/>
    <n v="1"/>
    <n v="13170"/>
    <n v="575"/>
    <n v="2.75"/>
    <n v="6.75"/>
    <n v="3105"/>
    <n v="2.5"/>
    <m/>
    <n v="900"/>
    <m/>
    <m/>
    <n v="12"/>
    <n v="4005"/>
    <n v="390"/>
    <m/>
    <n v="6235"/>
    <n v="6235"/>
    <n v="234082.74999999994"/>
    <s v="07"/>
    <n v="26"/>
    <s v="D"/>
  </r>
  <r>
    <x v="3"/>
    <n v="1"/>
    <x v="43"/>
    <s v="NS 5pm"/>
    <s v="SF25_DDGT005"/>
    <m/>
    <n v="3"/>
    <n v="390"/>
    <m/>
    <m/>
    <n v="0"/>
    <n v="2"/>
    <n v="15"/>
    <n v="13"/>
    <m/>
    <m/>
    <n v="0"/>
    <m/>
    <m/>
    <n v="0"/>
    <n v="0"/>
    <n v="13"/>
    <n v="13"/>
    <n v="1755"/>
    <n v="2300"/>
    <m/>
    <m/>
    <m/>
    <m/>
    <n v="0"/>
    <n v="5"/>
    <n v="2.5"/>
    <n v="1150"/>
    <n v="4.5"/>
    <m/>
    <n v="1620"/>
    <m/>
    <m/>
    <n v="12"/>
    <n v="2770"/>
    <n v="390"/>
    <m/>
    <n v="5460"/>
    <n v="5460"/>
    <n v="239542.74999999994"/>
    <s v="07"/>
    <n v="26"/>
    <s v="N"/>
  </r>
  <r>
    <x v="3"/>
    <m/>
    <x v="44"/>
    <s v="DS 5am"/>
    <s v="SF25_DDGT011"/>
    <m/>
    <n v="3"/>
    <n v="390"/>
    <m/>
    <m/>
    <n v="0"/>
    <m/>
    <m/>
    <n v="0"/>
    <m/>
    <m/>
    <n v="0"/>
    <m/>
    <m/>
    <n v="0"/>
    <n v="0"/>
    <n v="0"/>
    <n v="0"/>
    <n v="0"/>
    <n v="0"/>
    <m/>
    <n v="1"/>
    <n v="1"/>
    <n v="13170"/>
    <n v="575"/>
    <n v="0"/>
    <n v="6"/>
    <n v="2760"/>
    <n v="0.5"/>
    <n v="5"/>
    <n v="1980"/>
    <n v="0.5"/>
    <m/>
    <n v="12"/>
    <n v="4740"/>
    <n v="390"/>
    <m/>
    <n v="5705"/>
    <n v="5705"/>
    <n v="245247.74999999994"/>
    <s v="07"/>
    <n v="27"/>
    <s v="D"/>
  </r>
  <r>
    <x v="3"/>
    <m/>
    <x v="45"/>
    <s v="NS 5pm"/>
    <s v="SF25_DDGT011"/>
    <m/>
    <n v="3"/>
    <n v="390"/>
    <m/>
    <m/>
    <n v="0"/>
    <n v="0"/>
    <n v="21.3"/>
    <n v="21.3"/>
    <m/>
    <m/>
    <n v="0"/>
    <m/>
    <m/>
    <n v="0"/>
    <n v="0"/>
    <n v="21.3"/>
    <n v="21.3"/>
    <n v="2875.5"/>
    <n v="3335"/>
    <m/>
    <m/>
    <m/>
    <m/>
    <n v="0"/>
    <n v="7.25"/>
    <n v="3.75"/>
    <n v="1725"/>
    <n v="0.5"/>
    <m/>
    <n v="180"/>
    <n v="0.5"/>
    <m/>
    <n v="12"/>
    <n v="1905"/>
    <n v="1076.6100000000001"/>
    <n v="686.61"/>
    <n v="6316.61"/>
    <n v="6316.61"/>
    <n v="251564.35999999993"/>
    <s v="07"/>
    <n v="27"/>
    <s v="N"/>
  </r>
  <r>
    <x v="3"/>
    <m/>
    <x v="46"/>
    <s v="DS 5am"/>
    <s v="SF25_DDGT011"/>
    <m/>
    <n v="3"/>
    <n v="390"/>
    <m/>
    <m/>
    <n v="0"/>
    <n v="21.3"/>
    <n v="51.7"/>
    <n v="30.400000000000002"/>
    <m/>
    <m/>
    <n v="0"/>
    <m/>
    <m/>
    <n v="0"/>
    <n v="0"/>
    <n v="30.400000000000002"/>
    <n v="30.400000000000002"/>
    <n v="4104"/>
    <n v="5060"/>
    <m/>
    <n v="1"/>
    <n v="1"/>
    <n v="13170"/>
    <n v="575"/>
    <n v="11"/>
    <n v="0.5"/>
    <n v="230"/>
    <n v="0.5"/>
    <m/>
    <n v="180"/>
    <m/>
    <m/>
    <n v="12"/>
    <n v="410"/>
    <n v="390"/>
    <m/>
    <n v="6435"/>
    <n v="6435"/>
    <n v="257999.35999999993"/>
    <s v="07"/>
    <n v="28"/>
    <s v="D"/>
  </r>
  <r>
    <x v="3"/>
    <m/>
    <x v="47"/>
    <s v="NS 5pm"/>
    <s v="SF25_DDGT011"/>
    <m/>
    <n v="3"/>
    <n v="390"/>
    <m/>
    <m/>
    <n v="0"/>
    <n v="51.7"/>
    <n v="78.7"/>
    <n v="27"/>
    <m/>
    <m/>
    <n v="0"/>
    <m/>
    <m/>
    <n v="0"/>
    <n v="0"/>
    <n v="27"/>
    <n v="27"/>
    <n v="3645"/>
    <n v="4945"/>
    <m/>
    <m/>
    <m/>
    <m/>
    <n v="0"/>
    <n v="10.75"/>
    <n v="0.25"/>
    <n v="115"/>
    <n v="0.5"/>
    <m/>
    <n v="180"/>
    <m/>
    <n v="0.5"/>
    <n v="12"/>
    <n v="295"/>
    <n v="390"/>
    <m/>
    <n v="5630"/>
    <n v="5630"/>
    <n v="263629.35999999993"/>
    <s v="07"/>
    <n v="28"/>
    <s v="N"/>
  </r>
  <r>
    <x v="3"/>
    <m/>
    <x v="48"/>
    <s v="DS 5am"/>
    <s v="SF25_DDGT011"/>
    <m/>
    <n v="3"/>
    <n v="390"/>
    <m/>
    <m/>
    <n v="0"/>
    <n v="78.7"/>
    <n v="92.7"/>
    <n v="14"/>
    <m/>
    <m/>
    <n v="0"/>
    <m/>
    <m/>
    <n v="0"/>
    <n v="0"/>
    <n v="14"/>
    <n v="14"/>
    <n v="1890"/>
    <n v="2645"/>
    <m/>
    <n v="1"/>
    <n v="1"/>
    <n v="13170"/>
    <n v="575"/>
    <n v="5.75"/>
    <n v="0.25"/>
    <n v="115"/>
    <n v="0.5"/>
    <m/>
    <n v="180"/>
    <m/>
    <n v="5.5"/>
    <n v="12"/>
    <n v="295"/>
    <n v="390"/>
    <m/>
    <n v="3905"/>
    <n v="3905"/>
    <n v="267534.35999999993"/>
    <s v="07"/>
    <n v="29"/>
    <s v="D"/>
  </r>
  <r>
    <x v="3"/>
    <m/>
    <x v="49"/>
    <s v="NS 5pm"/>
    <s v="SF25_DDGT011"/>
    <m/>
    <n v="3"/>
    <n v="390"/>
    <m/>
    <m/>
    <n v="0"/>
    <n v="92.7"/>
    <n v="107.7"/>
    <n v="15"/>
    <m/>
    <m/>
    <n v="0"/>
    <m/>
    <m/>
    <n v="0"/>
    <n v="0"/>
    <n v="15"/>
    <n v="15"/>
    <n v="2025"/>
    <n v="3680"/>
    <m/>
    <m/>
    <m/>
    <m/>
    <n v="0"/>
    <n v="8"/>
    <n v="0.5"/>
    <n v="230"/>
    <n v="0.5"/>
    <m/>
    <n v="180"/>
    <m/>
    <n v="3"/>
    <n v="12"/>
    <n v="410"/>
    <n v="527.5"/>
    <n v="137.5"/>
    <n v="4617.5"/>
    <n v="4617.5"/>
    <n v="272151.85999999993"/>
    <s v="07"/>
    <n v="29"/>
    <s v="N"/>
  </r>
  <r>
    <x v="3"/>
    <n v="1"/>
    <x v="50"/>
    <s v="DS 5am"/>
    <s v="SF25_DDGT011"/>
    <m/>
    <n v="3"/>
    <n v="390"/>
    <m/>
    <m/>
    <n v="0"/>
    <n v="107.7"/>
    <n v="130"/>
    <n v="22.299999999999997"/>
    <m/>
    <m/>
    <n v="0"/>
    <m/>
    <m/>
    <n v="0"/>
    <n v="0"/>
    <n v="22.299999999999997"/>
    <n v="22.299999999999997"/>
    <n v="3010.4999999999995"/>
    <n v="4370"/>
    <m/>
    <n v="1"/>
    <n v="1"/>
    <n v="13170"/>
    <n v="575"/>
    <n v="9.5"/>
    <n v="1.5"/>
    <n v="690"/>
    <n v="1"/>
    <m/>
    <n v="360"/>
    <m/>
    <m/>
    <n v="12"/>
    <n v="1050"/>
    <n v="390"/>
    <m/>
    <n v="6385"/>
    <n v="6385"/>
    <n v="278536.85999999993"/>
    <s v="07"/>
    <n v="30"/>
    <s v="D"/>
  </r>
  <r>
    <x v="3"/>
    <n v="1"/>
    <x v="51"/>
    <s v="NS 5pm"/>
    <s v="SF25_DDGT011"/>
    <s v="SF25_DDGT002"/>
    <n v="3"/>
    <n v="390"/>
    <m/>
    <m/>
    <n v="0"/>
    <n v="0"/>
    <n v="1.7"/>
    <n v="1.7"/>
    <m/>
    <m/>
    <n v="0"/>
    <m/>
    <m/>
    <n v="0"/>
    <n v="0"/>
    <n v="1.7"/>
    <n v="1.7"/>
    <n v="229.5"/>
    <n v="345"/>
    <m/>
    <m/>
    <m/>
    <m/>
    <n v="0"/>
    <n v="0.75"/>
    <n v="6.5"/>
    <n v="2990"/>
    <n v="4.75"/>
    <m/>
    <n v="1710"/>
    <m/>
    <m/>
    <n v="12"/>
    <n v="4700"/>
    <n v="390"/>
    <m/>
    <n v="5435"/>
    <n v="5435"/>
    <n v="283971.85999999993"/>
    <s v="07"/>
    <n v="30"/>
    <s v="N"/>
  </r>
  <r>
    <x v="3"/>
    <n v="1"/>
    <x v="52"/>
    <s v="DS 5am"/>
    <s v="SF25_DDGT006"/>
    <m/>
    <n v="3"/>
    <n v="390"/>
    <n v="0"/>
    <n v="6.4"/>
    <n v="6.4"/>
    <m/>
    <m/>
    <n v="0"/>
    <m/>
    <m/>
    <n v="0"/>
    <m/>
    <m/>
    <n v="0"/>
    <n v="6.4"/>
    <n v="0"/>
    <n v="6.4"/>
    <n v="1120"/>
    <n v="1840"/>
    <m/>
    <n v="1"/>
    <n v="1"/>
    <n v="13170"/>
    <n v="575"/>
    <n v="4"/>
    <n v="4.5"/>
    <n v="2070"/>
    <n v="3.5"/>
    <m/>
    <n v="1260"/>
    <m/>
    <m/>
    <n v="12"/>
    <n v="3330"/>
    <n v="390"/>
    <m/>
    <n v="6135"/>
    <n v="6135"/>
    <n v="290106.85999999993"/>
    <s v="07"/>
    <n v="31"/>
    <s v="D"/>
  </r>
  <r>
    <x v="1"/>
    <m/>
    <x v="53"/>
    <s v="NS 5pm"/>
    <s v="SF25_DMET018"/>
    <m/>
    <n v="3"/>
    <n v="390"/>
    <n v="1.2"/>
    <n v="15.5"/>
    <n v="14.3"/>
    <m/>
    <m/>
    <n v="0"/>
    <m/>
    <m/>
    <n v="0"/>
    <m/>
    <m/>
    <n v="0"/>
    <n v="14.3"/>
    <n v="0"/>
    <n v="14.3"/>
    <n v="2502.5"/>
    <n v="4255"/>
    <m/>
    <m/>
    <m/>
    <m/>
    <n v="0"/>
    <n v="9.25"/>
    <n v="2.25"/>
    <n v="1035"/>
    <n v="0.5"/>
    <m/>
    <n v="180"/>
    <m/>
    <m/>
    <n v="12"/>
    <n v="1215"/>
    <n v="14376.12"/>
    <n v="13986.12"/>
    <n v="19846.120000000003"/>
    <n v="19846.12"/>
    <n v="309952.97999999992"/>
    <s v="07"/>
    <n v="31"/>
    <s v="N"/>
  </r>
  <r>
    <x v="1"/>
    <m/>
    <x v="54"/>
    <s v="DS 5am"/>
    <s v="SF25_DMET018"/>
    <m/>
    <n v="3"/>
    <n v="390"/>
    <n v="15.5"/>
    <n v="45.5"/>
    <n v="30"/>
    <m/>
    <m/>
    <n v="0"/>
    <m/>
    <m/>
    <n v="0"/>
    <m/>
    <m/>
    <n v="0"/>
    <n v="30"/>
    <n v="0"/>
    <n v="30"/>
    <n v="5250"/>
    <n v="5250"/>
    <n v="1"/>
    <n v="1"/>
    <n v="1"/>
    <n v="13170"/>
    <n v="750"/>
    <n v="11"/>
    <n v="0.5"/>
    <n v="230"/>
    <n v="0.5"/>
    <m/>
    <n v="0"/>
    <m/>
    <m/>
    <n v="12"/>
    <n v="410"/>
    <n v="390"/>
    <m/>
    <n v="6800"/>
    <n v="6800"/>
    <n v="316752.97999999992"/>
    <s v="08"/>
    <n v="1"/>
    <s v="D"/>
  </r>
  <r>
    <x v="1"/>
    <n v="1"/>
    <x v="55"/>
    <s v="NS 5pm"/>
    <s v="SF25_DMET018"/>
    <m/>
    <n v="3"/>
    <n v="390"/>
    <n v="45.5"/>
    <n v="50"/>
    <n v="4.5"/>
    <m/>
    <m/>
    <n v="0"/>
    <m/>
    <m/>
    <n v="0"/>
    <m/>
    <m/>
    <n v="0"/>
    <n v="4.5"/>
    <n v="0"/>
    <n v="4.5"/>
    <n v="787.5"/>
    <n v="920"/>
    <m/>
    <m/>
    <m/>
    <m/>
    <n v="0"/>
    <n v="2"/>
    <n v="9.5"/>
    <n v="4370"/>
    <n v="0.5"/>
    <m/>
    <n v="0"/>
    <m/>
    <m/>
    <n v="12"/>
    <n v="4550"/>
    <n v="390"/>
    <m/>
    <n v="5860"/>
    <n v="5860"/>
    <n v="322612.97999999992"/>
    <s v="08"/>
    <n v="1"/>
    <s v="N"/>
  </r>
  <r>
    <x v="3"/>
    <m/>
    <x v="56"/>
    <s v="DS 5am"/>
    <s v="SF25_DDGT010"/>
    <m/>
    <n v="3"/>
    <n v="390"/>
    <m/>
    <m/>
    <n v="0"/>
    <n v="0"/>
    <n v="15.7"/>
    <n v="15.7"/>
    <m/>
    <m/>
    <n v="0"/>
    <m/>
    <m/>
    <n v="0"/>
    <n v="0"/>
    <n v="15.7"/>
    <n v="15.7"/>
    <n v="2119.5"/>
    <n v="2990"/>
    <n v="1"/>
    <n v="1"/>
    <n v="1"/>
    <n v="13170"/>
    <n v="750"/>
    <n v="6.5"/>
    <n v="2"/>
    <n v="920"/>
    <n v="1.5"/>
    <n v="2"/>
    <n v="0"/>
    <m/>
    <m/>
    <n v="12"/>
    <n v="2180"/>
    <n v="880.7"/>
    <n v="490.70000000000005"/>
    <n v="6800.7"/>
    <n v="6800.7"/>
    <n v="329413.67999999993"/>
    <s v="08"/>
    <n v="2"/>
    <s v="D"/>
  </r>
  <r>
    <x v="3"/>
    <m/>
    <x v="57"/>
    <s v="NS 5pm"/>
    <s v="SF25_DDGT010"/>
    <m/>
    <n v="3"/>
    <n v="390"/>
    <m/>
    <m/>
    <n v="0"/>
    <n v="15.7"/>
    <n v="45.7"/>
    <n v="30.000000000000004"/>
    <m/>
    <m/>
    <n v="0"/>
    <m/>
    <m/>
    <n v="0"/>
    <n v="0"/>
    <n v="30.000000000000004"/>
    <n v="30.000000000000004"/>
    <n v="4050.0000000000005"/>
    <n v="4945"/>
    <m/>
    <m/>
    <m/>
    <m/>
    <n v="0"/>
    <n v="10.75"/>
    <n v="0.75"/>
    <n v="345"/>
    <n v="0.5"/>
    <m/>
    <n v="0"/>
    <m/>
    <m/>
    <n v="12"/>
    <n v="525"/>
    <n v="390"/>
    <n v="0"/>
    <n v="5860"/>
    <n v="5860"/>
    <n v="335273.67999999993"/>
    <s v="08"/>
    <n v="2"/>
    <s v="N"/>
  </r>
  <r>
    <x v="3"/>
    <m/>
    <x v="58"/>
    <s v="DS 5am"/>
    <s v="SF25_DDGT010"/>
    <m/>
    <n v="3"/>
    <n v="390"/>
    <m/>
    <m/>
    <n v="0"/>
    <n v="45.7"/>
    <n v="75.5"/>
    <n v="29.799999999999997"/>
    <m/>
    <m/>
    <n v="0"/>
    <m/>
    <m/>
    <n v="0"/>
    <n v="0"/>
    <n v="29.799999999999997"/>
    <n v="29.799999999999997"/>
    <n v="4022.9999999999995"/>
    <n v="5060"/>
    <n v="1"/>
    <n v="1"/>
    <n v="1"/>
    <n v="13170"/>
    <n v="750"/>
    <n v="11"/>
    <n v="0.5"/>
    <n v="230"/>
    <n v="0.5"/>
    <m/>
    <n v="0"/>
    <m/>
    <m/>
    <n v="12"/>
    <n v="410"/>
    <n v="390"/>
    <n v="0"/>
    <n v="6610"/>
    <n v="6610"/>
    <n v="341883.67999999993"/>
    <s v="08"/>
    <n v="3"/>
    <s v="D"/>
  </r>
  <r>
    <x v="3"/>
    <m/>
    <x v="59"/>
    <s v="NS 5pm"/>
    <s v="SF25_DDGT010"/>
    <m/>
    <n v="3"/>
    <n v="390"/>
    <m/>
    <m/>
    <n v="0"/>
    <n v="75.5"/>
    <n v="105.7"/>
    <n v="30.200000000000003"/>
    <m/>
    <m/>
    <n v="0"/>
    <m/>
    <m/>
    <n v="0"/>
    <n v="0"/>
    <n v="30.200000000000003"/>
    <n v="30.200000000000003"/>
    <n v="4077.0000000000005"/>
    <n v="4945"/>
    <m/>
    <m/>
    <m/>
    <m/>
    <n v="0"/>
    <n v="10.75"/>
    <n v="0.25"/>
    <n v="115"/>
    <n v="0.5"/>
    <m/>
    <n v="1"/>
    <n v="0.5"/>
    <m/>
    <n v="12"/>
    <n v="295"/>
    <n v="390"/>
    <n v="0"/>
    <n v="5630"/>
    <n v="5630"/>
    <n v="347513.67999999993"/>
    <s v="08"/>
    <n v="3"/>
    <s v="N"/>
  </r>
  <r>
    <x v="3"/>
    <n v="1"/>
    <x v="60"/>
    <s v="DS 5am"/>
    <s v="SF25_DDGT010"/>
    <s v="SF25_DMET017"/>
    <n v="3"/>
    <n v="390"/>
    <m/>
    <m/>
    <n v="0"/>
    <n v="105.7"/>
    <n v="110"/>
    <n v="4.2999999999999972"/>
    <n v="0"/>
    <n v="0"/>
    <n v="0"/>
    <m/>
    <m/>
    <n v="0"/>
    <n v="0"/>
    <n v="4.2999999999999972"/>
    <n v="4.2999999999999972"/>
    <n v="580.49999999999966"/>
    <n v="1840"/>
    <n v="1"/>
    <n v="1"/>
    <n v="1"/>
    <n v="13170"/>
    <n v="750"/>
    <n v="4"/>
    <n v="6.5"/>
    <n v="2990"/>
    <n v="0.5"/>
    <n v="1"/>
    <n v="0"/>
    <m/>
    <m/>
    <n v="12"/>
    <n v="3530"/>
    <n v="390"/>
    <n v="0"/>
    <n v="6510"/>
    <n v="6510"/>
    <n v="354023.67999999993"/>
    <s v="08"/>
    <n v="4"/>
    <s v="D"/>
  </r>
  <r>
    <x v="1"/>
    <m/>
    <x v="61"/>
    <s v="NS 5pm"/>
    <s v="SF25_DMET017"/>
    <m/>
    <n v="3"/>
    <n v="390"/>
    <n v="0"/>
    <n v="17.8"/>
    <n v="17.8"/>
    <m/>
    <m/>
    <n v="0"/>
    <m/>
    <m/>
    <n v="0"/>
    <m/>
    <m/>
    <n v="0"/>
    <n v="17.8"/>
    <n v="0"/>
    <n v="17.8"/>
    <n v="3115"/>
    <n v="3680"/>
    <m/>
    <m/>
    <m/>
    <m/>
    <n v="0"/>
    <n v="8"/>
    <n v="3.5"/>
    <n v="1610"/>
    <n v="0.5"/>
    <m/>
    <n v="0"/>
    <m/>
    <m/>
    <n v="12"/>
    <n v="1790"/>
    <n v="786.12"/>
    <n v="396.12"/>
    <n v="6256.12"/>
    <n v="6256.12"/>
    <n v="360279.79999999993"/>
    <s v="08"/>
    <n v="4"/>
    <s v="N"/>
  </r>
  <r>
    <x v="1"/>
    <n v="1"/>
    <x v="62"/>
    <s v="DS 5am"/>
    <s v="SF25_DMET017"/>
    <m/>
    <n v="3"/>
    <n v="390"/>
    <n v="17.8"/>
    <n v="50.1"/>
    <n v="32.299999999999997"/>
    <m/>
    <m/>
    <n v="0"/>
    <m/>
    <m/>
    <n v="0"/>
    <m/>
    <m/>
    <n v="0"/>
    <n v="32.299999999999997"/>
    <n v="0"/>
    <n v="32.299999999999997"/>
    <n v="5652.4999999999991"/>
    <n v="5652.4999999999991"/>
    <n v="1"/>
    <n v="1"/>
    <n v="1"/>
    <n v="13170"/>
    <n v="750"/>
    <n v="10.75"/>
    <n v="0.75"/>
    <n v="345"/>
    <n v="0.5"/>
    <m/>
    <n v="0"/>
    <m/>
    <m/>
    <n v="12"/>
    <n v="525"/>
    <n v="390"/>
    <n v="0"/>
    <n v="7317.4999999999991"/>
    <n v="7317.5"/>
    <n v="367597.29999999993"/>
    <s v="08"/>
    <n v="5"/>
    <s v="D"/>
  </r>
  <r>
    <x v="1"/>
    <m/>
    <x v="63"/>
    <s v="NS 5pm"/>
    <s v="SF25_DMET019"/>
    <m/>
    <n v="3"/>
    <n v="390"/>
    <n v="0"/>
    <n v="5.7"/>
    <n v="5.7"/>
    <m/>
    <m/>
    <n v="0"/>
    <m/>
    <m/>
    <n v="0"/>
    <m/>
    <m/>
    <n v="0"/>
    <n v="5.7"/>
    <n v="0"/>
    <n v="5.7"/>
    <n v="997.5"/>
    <n v="997.5"/>
    <m/>
    <m/>
    <m/>
    <m/>
    <n v="0"/>
    <n v="2"/>
    <n v="6.5"/>
    <n v="2990"/>
    <n v="1.5"/>
    <m/>
    <n v="1.5"/>
    <n v="2"/>
    <m/>
    <n v="12"/>
    <n v="3530"/>
    <n v="390"/>
    <n v="0"/>
    <n v="4917.5"/>
    <n v="4917.5"/>
    <n v="372514.79999999993"/>
    <s v="08"/>
    <n v="5"/>
    <s v="N"/>
  </r>
  <r>
    <x v="1"/>
    <m/>
    <x v="64"/>
    <s v="DS 5am"/>
    <s v="SF25_DMET019"/>
    <m/>
    <n v="3"/>
    <n v="390"/>
    <n v="5.7"/>
    <n v="8.4"/>
    <n v="2.7"/>
    <m/>
    <m/>
    <n v="0"/>
    <m/>
    <m/>
    <n v="0"/>
    <m/>
    <m/>
    <n v="0"/>
    <n v="2.7"/>
    <n v="0"/>
    <n v="2.7"/>
    <n v="472.50000000000006"/>
    <n v="575"/>
    <n v="1"/>
    <n v="1"/>
    <n v="1"/>
    <n v="13170"/>
    <n v="750"/>
    <n v="1.25"/>
    <n v="1.25"/>
    <n v="575"/>
    <n v="0.5"/>
    <n v="1"/>
    <n v="0"/>
    <n v="8"/>
    <m/>
    <n v="12"/>
    <n v="1115"/>
    <n v="786.12"/>
    <n v="396.12"/>
    <n v="3226.12"/>
    <n v="3226.12"/>
    <n v="375740.91999999993"/>
    <s v="08"/>
    <n v="6"/>
    <s v="D"/>
  </r>
  <r>
    <x v="1"/>
    <m/>
    <x v="65"/>
    <s v="NS 5pm"/>
    <s v="SF25_DMET019"/>
    <m/>
    <n v="3"/>
    <n v="390"/>
    <n v="8.4"/>
    <n v="39.700000000000003"/>
    <n v="31.300000000000004"/>
    <m/>
    <m/>
    <n v="0"/>
    <m/>
    <m/>
    <n v="0"/>
    <m/>
    <m/>
    <n v="0"/>
    <n v="31.300000000000004"/>
    <n v="0"/>
    <n v="31.300000000000004"/>
    <n v="5477.5000000000009"/>
    <n v="5477.5000000000009"/>
    <m/>
    <m/>
    <m/>
    <m/>
    <n v="0"/>
    <n v="11"/>
    <n v="0.5"/>
    <n v="230"/>
    <n v="0.5"/>
    <m/>
    <n v="0"/>
    <m/>
    <m/>
    <n v="12"/>
    <n v="410"/>
    <n v="390"/>
    <n v="0"/>
    <n v="6277.5000000000009"/>
    <n v="6277.5"/>
    <n v="382018.41999999993"/>
    <s v="08"/>
    <n v="6"/>
    <s v="N"/>
  </r>
  <r>
    <x v="1"/>
    <n v="1"/>
    <x v="66"/>
    <s v="DS 5am"/>
    <s v="SF25_DMET019"/>
    <s v="SF25_DDRD001"/>
    <n v="3"/>
    <n v="390"/>
    <n v="39.700000000000003"/>
    <n v="50.4"/>
    <n v="10.699999999999996"/>
    <m/>
    <m/>
    <n v="0"/>
    <m/>
    <m/>
    <n v="0"/>
    <m/>
    <m/>
    <n v="0"/>
    <n v="10.699999999999996"/>
    <n v="0"/>
    <n v="10.699999999999996"/>
    <n v="1872.4999999999993"/>
    <n v="1872.4999999999993"/>
    <n v="1"/>
    <n v="1"/>
    <n v="1"/>
    <n v="13170"/>
    <n v="750"/>
    <n v="4"/>
    <n v="7.5"/>
    <n v="3450"/>
    <n v="0.5"/>
    <m/>
    <n v="0"/>
    <m/>
    <m/>
    <n v="12"/>
    <n v="3630"/>
    <n v="390"/>
    <n v="0"/>
    <n v="6642.4999999999991"/>
    <m/>
    <n v="388660.91999999993"/>
    <s v="08"/>
    <n v="7"/>
    <s v="D"/>
  </r>
  <r>
    <x v="4"/>
    <m/>
    <x v="67"/>
    <s v="NS 5pm"/>
    <s v="SF25_DDRD001"/>
    <m/>
    <n v="3"/>
    <n v="390"/>
    <n v="0"/>
    <n v="0"/>
    <n v="0"/>
    <m/>
    <m/>
    <n v="0"/>
    <m/>
    <m/>
    <n v="0"/>
    <m/>
    <m/>
    <n v="0"/>
    <n v="0"/>
    <n v="0"/>
    <n v="0"/>
    <n v="0"/>
    <n v="0"/>
    <m/>
    <m/>
    <m/>
    <m/>
    <n v="0"/>
    <n v="0"/>
    <n v="11.5"/>
    <n v="5290"/>
    <n v="0.5"/>
    <m/>
    <n v="0.5"/>
    <m/>
    <m/>
    <n v="12"/>
    <n v="5470"/>
    <n v="390"/>
    <n v="0"/>
    <n v="5860"/>
    <m/>
    <n v="394520.91999999993"/>
    <s v="08"/>
    <n v="7"/>
    <s v="N"/>
  </r>
  <r>
    <x v="4"/>
    <m/>
    <x v="68"/>
    <s v="DS 5am"/>
    <s v="SF25_DDRD001"/>
    <m/>
    <n v="3"/>
    <n v="390"/>
    <m/>
    <m/>
    <n v="0"/>
    <n v="0"/>
    <n v="5"/>
    <n v="5"/>
    <m/>
    <m/>
    <n v="0"/>
    <m/>
    <m/>
    <n v="0"/>
    <n v="0"/>
    <n v="5"/>
    <n v="5"/>
    <n v="675"/>
    <n v="920"/>
    <n v="1"/>
    <n v="1"/>
    <n v="1"/>
    <n v="13170"/>
    <n v="750"/>
    <n v="2"/>
    <n v="0"/>
    <n v="0"/>
    <n v="0.5"/>
    <n v="9.5"/>
    <n v="0"/>
    <m/>
    <m/>
    <n v="12"/>
    <n v="3600"/>
    <n v="5458"/>
    <n v="5068"/>
    <n v="10728"/>
    <n v="10728"/>
    <n v="405248.91999999993"/>
    <s v="08"/>
    <n v="8"/>
    <s v="D"/>
  </r>
  <r>
    <x v="4"/>
    <m/>
    <x v="69"/>
    <s v="NS 5pm"/>
    <s v="SF25_DDRD001"/>
    <m/>
    <n v="3"/>
    <n v="390"/>
    <m/>
    <m/>
    <n v="0"/>
    <n v="5"/>
    <n v="22"/>
    <n v="17"/>
    <m/>
    <m/>
    <n v="0"/>
    <m/>
    <m/>
    <n v="0"/>
    <n v="0"/>
    <n v="17"/>
    <n v="17"/>
    <n v="2295"/>
    <n v="4025"/>
    <m/>
    <m/>
    <m/>
    <m/>
    <n v="0"/>
    <n v="8.75"/>
    <n v="2.75"/>
    <n v="1265"/>
    <n v="0.5"/>
    <m/>
    <n v="0"/>
    <m/>
    <m/>
    <n v="12"/>
    <n v="1445"/>
    <n v="738.56"/>
    <n v="348.55999999999995"/>
    <n v="6208.5599999999995"/>
    <n v="6208.56"/>
    <n v="411457.47999999992"/>
    <s v="08"/>
    <n v="8"/>
    <s v="N"/>
  </r>
  <r>
    <x v="4"/>
    <m/>
    <x v="70"/>
    <s v="DS 5am"/>
    <s v="SF25_DDRD001"/>
    <m/>
    <n v="3"/>
    <n v="390"/>
    <m/>
    <m/>
    <n v="0"/>
    <n v="22"/>
    <n v="57.8"/>
    <n v="35.799999999999997"/>
    <m/>
    <m/>
    <n v="0"/>
    <m/>
    <m/>
    <n v="0"/>
    <n v="0"/>
    <n v="35.799999999999997"/>
    <n v="35.799999999999997"/>
    <n v="4833"/>
    <n v="5060"/>
    <n v="1"/>
    <n v="1"/>
    <n v="1"/>
    <n v="13170"/>
    <n v="750"/>
    <n v="11"/>
    <n v="0.5"/>
    <n v="230"/>
    <n v="0.5"/>
    <m/>
    <n v="0"/>
    <m/>
    <m/>
    <n v="12"/>
    <n v="410"/>
    <n v="390"/>
    <n v="0"/>
    <n v="6610"/>
    <n v="6610"/>
    <n v="418067.47999999992"/>
    <s v="08"/>
    <n v="9"/>
    <s v="D"/>
  </r>
  <r>
    <x v="4"/>
    <m/>
    <x v="71"/>
    <s v="NS 5pm"/>
    <s v="SF25_DDRD001"/>
    <m/>
    <n v="3"/>
    <n v="390"/>
    <m/>
    <m/>
    <n v="0"/>
    <n v="57.8"/>
    <n v="84.6"/>
    <n v="26.799999999999997"/>
    <m/>
    <m/>
    <n v="0"/>
    <m/>
    <m/>
    <n v="0"/>
    <n v="0"/>
    <n v="26.799999999999997"/>
    <n v="26.799999999999997"/>
    <n v="3617.9999999999995"/>
    <n v="3617.9999999999995"/>
    <m/>
    <m/>
    <m/>
    <m/>
    <n v="0"/>
    <n v="7"/>
    <n v="0.25"/>
    <n v="115"/>
    <n v="0.5"/>
    <n v="4.25"/>
    <n v="45.125"/>
    <m/>
    <m/>
    <n v="12"/>
    <n v="1825"/>
    <n v="527.5"/>
    <n v="137.5"/>
    <n v="5970.5"/>
    <n v="5970.5"/>
    <n v="424037.97999999992"/>
    <s v="08"/>
    <n v="9"/>
    <s v="N"/>
  </r>
  <r>
    <x v="4"/>
    <n v="1"/>
    <x v="72"/>
    <s v="DS 5am"/>
    <s v="SF25_DDRD001"/>
    <s v="SF25_DDGT001"/>
    <n v="3"/>
    <n v="390"/>
    <m/>
    <m/>
    <n v="0"/>
    <m/>
    <m/>
    <n v="0"/>
    <m/>
    <m/>
    <n v="0"/>
    <m/>
    <m/>
    <n v="0"/>
    <n v="0"/>
    <n v="0"/>
    <n v="0"/>
    <n v="0"/>
    <n v="0"/>
    <m/>
    <m/>
    <m/>
    <m/>
    <n v="0"/>
    <m/>
    <m/>
    <n v="0"/>
    <m/>
    <m/>
    <n v="0"/>
    <m/>
    <m/>
    <s v=""/>
    <n v="0"/>
    <m/>
    <m/>
    <n v="390"/>
    <m/>
    <n v="424427.97999999992"/>
    <s v="08"/>
    <n v="10"/>
    <s v="D"/>
  </r>
  <r>
    <x v="0"/>
    <m/>
    <x v="73"/>
    <s v="NS 5pm"/>
    <m/>
    <m/>
    <m/>
    <s v=""/>
    <m/>
    <m/>
    <n v="0"/>
    <m/>
    <m/>
    <n v="0"/>
    <m/>
    <m/>
    <n v="0"/>
    <m/>
    <m/>
    <n v="0"/>
    <n v="0"/>
    <n v="0"/>
    <n v="0"/>
    <n v="0"/>
    <s v=""/>
    <m/>
    <m/>
    <m/>
    <m/>
    <n v="0"/>
    <m/>
    <m/>
    <n v="0"/>
    <m/>
    <m/>
    <n v="0"/>
    <m/>
    <m/>
    <s v=""/>
    <n v="0"/>
    <m/>
    <m/>
    <n v="0"/>
    <m/>
    <n v="424427.97999999992"/>
    <s v="08"/>
    <n v="10"/>
    <s v="N"/>
  </r>
  <r>
    <x v="0"/>
    <m/>
    <x v="74"/>
    <s v="DS 5am"/>
    <m/>
    <m/>
    <m/>
    <s v=""/>
    <m/>
    <m/>
    <n v="0"/>
    <m/>
    <m/>
    <n v="0"/>
    <m/>
    <m/>
    <n v="0"/>
    <m/>
    <m/>
    <n v="0"/>
    <n v="0"/>
    <n v="0"/>
    <n v="0"/>
    <n v="0"/>
    <s v=""/>
    <m/>
    <m/>
    <m/>
    <m/>
    <n v="0"/>
    <m/>
    <m/>
    <n v="0"/>
    <m/>
    <m/>
    <n v="0"/>
    <m/>
    <m/>
    <s v=""/>
    <n v="0"/>
    <m/>
    <m/>
    <n v="0"/>
    <m/>
    <n v="424427.97999999992"/>
    <s v="08"/>
    <n v="11"/>
    <s v="D"/>
  </r>
  <r>
    <x v="0"/>
    <m/>
    <x v="75"/>
    <s v="NS 5pm"/>
    <m/>
    <m/>
    <m/>
    <s v=""/>
    <m/>
    <m/>
    <n v="0"/>
    <m/>
    <m/>
    <n v="0"/>
    <m/>
    <m/>
    <n v="0"/>
    <m/>
    <m/>
    <n v="0"/>
    <n v="0"/>
    <n v="0"/>
    <n v="0"/>
    <n v="0"/>
    <s v=""/>
    <m/>
    <m/>
    <m/>
    <m/>
    <n v="0"/>
    <m/>
    <m/>
    <n v="0"/>
    <m/>
    <m/>
    <n v="0"/>
    <m/>
    <m/>
    <s v=""/>
    <n v="0"/>
    <m/>
    <m/>
    <n v="0"/>
    <m/>
    <n v="424427.97999999992"/>
    <s v="08"/>
    <n v="11"/>
    <s v="N"/>
  </r>
  <r>
    <x v="0"/>
    <m/>
    <x v="76"/>
    <s v="DS 5am"/>
    <m/>
    <m/>
    <m/>
    <s v=""/>
    <m/>
    <m/>
    <n v="0"/>
    <m/>
    <m/>
    <n v="0"/>
    <m/>
    <m/>
    <n v="0"/>
    <m/>
    <m/>
    <n v="0"/>
    <n v="0"/>
    <n v="0"/>
    <n v="0"/>
    <n v="0"/>
    <s v=""/>
    <m/>
    <m/>
    <m/>
    <m/>
    <n v="0"/>
    <m/>
    <m/>
    <n v="0"/>
    <m/>
    <m/>
    <n v="0"/>
    <m/>
    <m/>
    <s v=""/>
    <n v="0"/>
    <m/>
    <m/>
    <n v="0"/>
    <m/>
    <n v="424427.97999999992"/>
    <s v="08"/>
    <n v="12"/>
    <s v="D"/>
  </r>
  <r>
    <x v="0"/>
    <m/>
    <x v="77"/>
    <s v="NS 5pm"/>
    <m/>
    <m/>
    <m/>
    <s v=""/>
    <m/>
    <m/>
    <n v="0"/>
    <m/>
    <m/>
    <n v="0"/>
    <m/>
    <m/>
    <n v="0"/>
    <m/>
    <m/>
    <n v="0"/>
    <n v="0"/>
    <n v="0"/>
    <n v="0"/>
    <n v="0"/>
    <s v=""/>
    <m/>
    <m/>
    <m/>
    <m/>
    <n v="0"/>
    <m/>
    <m/>
    <n v="0"/>
    <m/>
    <m/>
    <n v="0"/>
    <m/>
    <m/>
    <s v=""/>
    <n v="0"/>
    <m/>
    <m/>
    <n v="0"/>
    <m/>
    <n v="424427.97999999992"/>
    <s v="08"/>
    <n v="12"/>
    <s v="N"/>
  </r>
  <r>
    <x v="0"/>
    <m/>
    <x v="78"/>
    <s v="DS 5am"/>
    <m/>
    <m/>
    <m/>
    <s v=""/>
    <m/>
    <m/>
    <n v="0"/>
    <m/>
    <m/>
    <n v="0"/>
    <m/>
    <m/>
    <n v="0"/>
    <m/>
    <m/>
    <n v="0"/>
    <n v="0"/>
    <n v="0"/>
    <n v="0"/>
    <n v="0"/>
    <s v=""/>
    <m/>
    <m/>
    <m/>
    <m/>
    <n v="0"/>
    <m/>
    <m/>
    <n v="0"/>
    <m/>
    <m/>
    <n v="0"/>
    <m/>
    <m/>
    <s v=""/>
    <n v="0"/>
    <m/>
    <m/>
    <n v="0"/>
    <m/>
    <n v="424427.97999999992"/>
    <s v="08"/>
    <n v="13"/>
    <s v="D"/>
  </r>
  <r>
    <x v="0"/>
    <m/>
    <x v="79"/>
    <s v="NS 5pm"/>
    <m/>
    <m/>
    <m/>
    <s v=""/>
    <m/>
    <m/>
    <n v="0"/>
    <m/>
    <m/>
    <n v="0"/>
    <m/>
    <m/>
    <n v="0"/>
    <m/>
    <m/>
    <n v="0"/>
    <n v="0"/>
    <n v="0"/>
    <n v="0"/>
    <n v="0"/>
    <s v=""/>
    <m/>
    <m/>
    <m/>
    <m/>
    <n v="0"/>
    <m/>
    <m/>
    <n v="0"/>
    <m/>
    <m/>
    <n v="0"/>
    <m/>
    <m/>
    <s v=""/>
    <n v="0"/>
    <m/>
    <m/>
    <n v="0"/>
    <m/>
    <n v="424427.97999999992"/>
    <s v="08"/>
    <n v="13"/>
    <s v="N"/>
  </r>
  <r>
    <x v="0"/>
    <m/>
    <x v="80"/>
    <s v="DS 5am"/>
    <m/>
    <m/>
    <m/>
    <s v=""/>
    <m/>
    <m/>
    <n v="0"/>
    <m/>
    <m/>
    <n v="0"/>
    <m/>
    <m/>
    <n v="0"/>
    <m/>
    <m/>
    <n v="0"/>
    <n v="0"/>
    <n v="0"/>
    <n v="0"/>
    <n v="0"/>
    <s v=""/>
    <m/>
    <m/>
    <m/>
    <m/>
    <n v="0"/>
    <m/>
    <m/>
    <n v="0"/>
    <m/>
    <m/>
    <n v="0"/>
    <m/>
    <m/>
    <s v=""/>
    <n v="0"/>
    <m/>
    <m/>
    <n v="0"/>
    <m/>
    <n v="424427.97999999992"/>
    <s v="08"/>
    <n v="14"/>
    <s v="D"/>
  </r>
  <r>
    <x v="0"/>
    <m/>
    <x v="81"/>
    <s v="NS 5pm"/>
    <m/>
    <m/>
    <m/>
    <s v=""/>
    <m/>
    <m/>
    <n v="0"/>
    <m/>
    <m/>
    <n v="0"/>
    <m/>
    <m/>
    <n v="0"/>
    <m/>
    <m/>
    <n v="0"/>
    <n v="0"/>
    <n v="0"/>
    <n v="0"/>
    <n v="0"/>
    <s v=""/>
    <m/>
    <m/>
    <m/>
    <m/>
    <n v="0"/>
    <m/>
    <m/>
    <n v="0"/>
    <m/>
    <m/>
    <n v="0"/>
    <m/>
    <m/>
    <s v=""/>
    <n v="0"/>
    <m/>
    <m/>
    <n v="0"/>
    <m/>
    <n v="424427.97999999992"/>
    <s v="08"/>
    <n v="14"/>
    <s v="N"/>
  </r>
  <r>
    <x v="0"/>
    <m/>
    <x v="82"/>
    <s v="DS 5am"/>
    <m/>
    <m/>
    <m/>
    <s v=""/>
    <m/>
    <m/>
    <n v="0"/>
    <m/>
    <m/>
    <n v="0"/>
    <m/>
    <m/>
    <n v="0"/>
    <m/>
    <m/>
    <n v="0"/>
    <n v="0"/>
    <n v="0"/>
    <n v="0"/>
    <n v="0"/>
    <s v=""/>
    <m/>
    <m/>
    <m/>
    <m/>
    <n v="0"/>
    <m/>
    <m/>
    <n v="0"/>
    <m/>
    <m/>
    <n v="0"/>
    <m/>
    <m/>
    <s v=""/>
    <n v="0"/>
    <m/>
    <m/>
    <n v="0"/>
    <m/>
    <n v="424427.97999999992"/>
    <s v="08"/>
    <n v="15"/>
    <s v="D"/>
  </r>
  <r>
    <x v="0"/>
    <m/>
    <x v="83"/>
    <s v="NS 5pm"/>
    <m/>
    <m/>
    <m/>
    <s v=""/>
    <m/>
    <m/>
    <n v="0"/>
    <m/>
    <m/>
    <n v="0"/>
    <m/>
    <m/>
    <n v="0"/>
    <m/>
    <m/>
    <n v="0"/>
    <n v="0"/>
    <n v="0"/>
    <n v="0"/>
    <n v="0"/>
    <s v=""/>
    <m/>
    <m/>
    <m/>
    <m/>
    <n v="0"/>
    <m/>
    <m/>
    <n v="0"/>
    <m/>
    <m/>
    <n v="0"/>
    <m/>
    <m/>
    <s v=""/>
    <n v="0"/>
    <m/>
    <m/>
    <n v="0"/>
    <m/>
    <n v="424427.97999999992"/>
    <s v="08"/>
    <n v="15"/>
    <s v="N"/>
  </r>
  <r>
    <x v="0"/>
    <m/>
    <x v="84"/>
    <s v="DS 5am"/>
    <m/>
    <m/>
    <m/>
    <s v=""/>
    <m/>
    <m/>
    <n v="0"/>
    <m/>
    <m/>
    <n v="0"/>
    <m/>
    <m/>
    <n v="0"/>
    <m/>
    <m/>
    <n v="0"/>
    <n v="0"/>
    <n v="0"/>
    <n v="0"/>
    <n v="0"/>
    <s v=""/>
    <m/>
    <m/>
    <m/>
    <m/>
    <n v="0"/>
    <m/>
    <m/>
    <n v="0"/>
    <m/>
    <m/>
    <n v="0"/>
    <m/>
    <m/>
    <s v=""/>
    <n v="0"/>
    <m/>
    <m/>
    <n v="0"/>
    <m/>
    <n v="424427.97999999992"/>
    <s v="08"/>
    <n v="16"/>
    <s v="D"/>
  </r>
  <r>
    <x v="0"/>
    <m/>
    <x v="85"/>
    <s v="NS 5pm"/>
    <m/>
    <m/>
    <m/>
    <s v=""/>
    <m/>
    <m/>
    <n v="0"/>
    <m/>
    <m/>
    <n v="0"/>
    <m/>
    <m/>
    <n v="0"/>
    <m/>
    <m/>
    <n v="0"/>
    <n v="0"/>
    <n v="0"/>
    <n v="0"/>
    <n v="0"/>
    <s v=""/>
    <m/>
    <m/>
    <m/>
    <m/>
    <n v="0"/>
    <m/>
    <m/>
    <n v="0"/>
    <m/>
    <m/>
    <n v="0"/>
    <m/>
    <m/>
    <s v=""/>
    <n v="0"/>
    <m/>
    <m/>
    <n v="0"/>
    <m/>
    <n v="424427.97999999992"/>
    <s v="08"/>
    <n v="16"/>
    <s v="N"/>
  </r>
  <r>
    <x v="0"/>
    <m/>
    <x v="86"/>
    <s v="DS 5am"/>
    <m/>
    <m/>
    <m/>
    <s v=""/>
    <m/>
    <m/>
    <n v="0"/>
    <m/>
    <m/>
    <n v="0"/>
    <m/>
    <m/>
    <n v="0"/>
    <m/>
    <m/>
    <n v="0"/>
    <n v="0"/>
    <n v="0"/>
    <n v="0"/>
    <n v="0"/>
    <s v=""/>
    <m/>
    <m/>
    <m/>
    <m/>
    <n v="0"/>
    <m/>
    <m/>
    <n v="0"/>
    <m/>
    <m/>
    <n v="0"/>
    <m/>
    <m/>
    <s v=""/>
    <n v="0"/>
    <m/>
    <m/>
    <n v="0"/>
    <m/>
    <n v="424427.97999999992"/>
    <s v="08"/>
    <n v="17"/>
    <s v="D"/>
  </r>
  <r>
    <x v="0"/>
    <m/>
    <x v="87"/>
    <s v="NS 5pm"/>
    <m/>
    <m/>
    <m/>
    <s v=""/>
    <m/>
    <m/>
    <n v="0"/>
    <m/>
    <m/>
    <n v="0"/>
    <m/>
    <m/>
    <n v="0"/>
    <m/>
    <m/>
    <n v="0"/>
    <n v="0"/>
    <n v="0"/>
    <n v="0"/>
    <n v="0"/>
    <s v=""/>
    <m/>
    <m/>
    <m/>
    <m/>
    <n v="0"/>
    <m/>
    <m/>
    <n v="0"/>
    <m/>
    <m/>
    <n v="0"/>
    <m/>
    <m/>
    <s v=""/>
    <n v="0"/>
    <m/>
    <m/>
    <n v="0"/>
    <m/>
    <n v="424427.97999999992"/>
    <s v="08"/>
    <n v="17"/>
    <s v="N"/>
  </r>
  <r>
    <x v="0"/>
    <m/>
    <x v="88"/>
    <s v="DS 5am"/>
    <m/>
    <m/>
    <m/>
    <s v=""/>
    <m/>
    <m/>
    <n v="0"/>
    <m/>
    <m/>
    <n v="0"/>
    <m/>
    <m/>
    <n v="0"/>
    <m/>
    <m/>
    <n v="0"/>
    <n v="0"/>
    <n v="0"/>
    <n v="0"/>
    <n v="0"/>
    <s v=""/>
    <m/>
    <m/>
    <m/>
    <m/>
    <n v="0"/>
    <m/>
    <m/>
    <n v="0"/>
    <m/>
    <m/>
    <n v="0"/>
    <m/>
    <m/>
    <s v=""/>
    <n v="0"/>
    <m/>
    <m/>
    <n v="0"/>
    <m/>
    <n v="424427.97999999992"/>
    <s v="08"/>
    <n v="18"/>
    <s v="D"/>
  </r>
  <r>
    <x v="0"/>
    <m/>
    <x v="89"/>
    <s v="NS 5pm"/>
    <m/>
    <m/>
    <m/>
    <s v=""/>
    <m/>
    <m/>
    <n v="0"/>
    <m/>
    <m/>
    <n v="0"/>
    <m/>
    <m/>
    <n v="0"/>
    <m/>
    <m/>
    <n v="0"/>
    <n v="0"/>
    <n v="0"/>
    <n v="0"/>
    <n v="0"/>
    <s v=""/>
    <m/>
    <m/>
    <m/>
    <m/>
    <n v="0"/>
    <m/>
    <m/>
    <n v="0"/>
    <m/>
    <m/>
    <n v="0"/>
    <m/>
    <m/>
    <s v=""/>
    <n v="0"/>
    <m/>
    <m/>
    <n v="0"/>
    <m/>
    <n v="424427.97999999992"/>
    <s v="08"/>
    <n v="18"/>
    <s v="N"/>
  </r>
  <r>
    <x v="0"/>
    <m/>
    <x v="90"/>
    <s v="DS 5am"/>
    <m/>
    <m/>
    <m/>
    <s v=""/>
    <m/>
    <m/>
    <n v="0"/>
    <m/>
    <m/>
    <n v="0"/>
    <m/>
    <m/>
    <n v="0"/>
    <m/>
    <m/>
    <n v="0"/>
    <n v="0"/>
    <n v="0"/>
    <n v="0"/>
    <n v="0"/>
    <s v=""/>
    <m/>
    <m/>
    <m/>
    <m/>
    <n v="0"/>
    <m/>
    <m/>
    <n v="0"/>
    <m/>
    <m/>
    <n v="0"/>
    <m/>
    <m/>
    <s v=""/>
    <n v="0"/>
    <m/>
    <m/>
    <n v="0"/>
    <m/>
    <n v="424427.97999999992"/>
    <s v="08"/>
    <n v="19"/>
    <s v="D"/>
  </r>
  <r>
    <x v="0"/>
    <m/>
    <x v="91"/>
    <s v="NS 5pm"/>
    <m/>
    <m/>
    <m/>
    <s v=""/>
    <m/>
    <m/>
    <n v="0"/>
    <m/>
    <m/>
    <n v="0"/>
    <m/>
    <m/>
    <n v="0"/>
    <m/>
    <m/>
    <n v="0"/>
    <n v="0"/>
    <n v="0"/>
    <n v="0"/>
    <n v="0"/>
    <s v=""/>
    <m/>
    <m/>
    <m/>
    <m/>
    <n v="0"/>
    <m/>
    <m/>
    <n v="0"/>
    <m/>
    <m/>
    <n v="0"/>
    <m/>
    <m/>
    <s v=""/>
    <n v="0"/>
    <m/>
    <m/>
    <n v="0"/>
    <m/>
    <n v="424427.97999999992"/>
    <s v="08"/>
    <n v="19"/>
    <s v="N"/>
  </r>
  <r>
    <x v="0"/>
    <m/>
    <x v="92"/>
    <s v="DS 5am"/>
    <m/>
    <m/>
    <m/>
    <s v=""/>
    <m/>
    <m/>
    <n v="0"/>
    <m/>
    <m/>
    <n v="0"/>
    <m/>
    <m/>
    <n v="0"/>
    <m/>
    <m/>
    <n v="0"/>
    <n v="0"/>
    <n v="0"/>
    <n v="0"/>
    <n v="0"/>
    <s v=""/>
    <m/>
    <m/>
    <m/>
    <m/>
    <n v="0"/>
    <m/>
    <m/>
    <n v="0"/>
    <m/>
    <m/>
    <n v="0"/>
    <m/>
    <m/>
    <s v=""/>
    <n v="0"/>
    <m/>
    <m/>
    <n v="0"/>
    <m/>
    <n v="424427.97999999992"/>
    <s v="08"/>
    <n v="20"/>
    <s v="D"/>
  </r>
  <r>
    <x v="0"/>
    <m/>
    <x v="93"/>
    <s v="NS 5pm"/>
    <m/>
    <m/>
    <m/>
    <s v=""/>
    <m/>
    <m/>
    <n v="0"/>
    <m/>
    <m/>
    <n v="0"/>
    <m/>
    <m/>
    <n v="0"/>
    <m/>
    <m/>
    <n v="0"/>
    <n v="0"/>
    <n v="0"/>
    <n v="0"/>
    <n v="0"/>
    <s v=""/>
    <m/>
    <m/>
    <m/>
    <m/>
    <n v="0"/>
    <m/>
    <m/>
    <n v="0"/>
    <m/>
    <m/>
    <n v="0"/>
    <m/>
    <m/>
    <s v=""/>
    <n v="0"/>
    <m/>
    <m/>
    <n v="0"/>
    <m/>
    <n v="424427.97999999992"/>
    <s v="08"/>
    <n v="20"/>
    <s v="N"/>
  </r>
  <r>
    <x v="0"/>
    <m/>
    <x v="94"/>
    <s v="DS 5am"/>
    <m/>
    <m/>
    <m/>
    <s v=""/>
    <m/>
    <m/>
    <n v="0"/>
    <m/>
    <m/>
    <n v="0"/>
    <m/>
    <m/>
    <n v="0"/>
    <m/>
    <m/>
    <n v="0"/>
    <n v="0"/>
    <n v="0"/>
    <n v="0"/>
    <n v="0"/>
    <s v=""/>
    <m/>
    <m/>
    <m/>
    <m/>
    <n v="0"/>
    <m/>
    <m/>
    <n v="0"/>
    <m/>
    <m/>
    <n v="0"/>
    <m/>
    <m/>
    <s v=""/>
    <n v="0"/>
    <m/>
    <m/>
    <n v="0"/>
    <m/>
    <n v="424427.97999999992"/>
    <s v="08"/>
    <n v="21"/>
    <s v="D"/>
  </r>
  <r>
    <x v="0"/>
    <m/>
    <x v="95"/>
    <s v="NS 5pm"/>
    <m/>
    <m/>
    <m/>
    <s v=""/>
    <m/>
    <m/>
    <n v="0"/>
    <m/>
    <m/>
    <n v="0"/>
    <m/>
    <m/>
    <n v="0"/>
    <m/>
    <m/>
    <n v="0"/>
    <n v="0"/>
    <n v="0"/>
    <n v="0"/>
    <n v="0"/>
    <s v=""/>
    <m/>
    <m/>
    <m/>
    <m/>
    <n v="0"/>
    <m/>
    <m/>
    <n v="0"/>
    <m/>
    <m/>
    <n v="0"/>
    <m/>
    <m/>
    <s v=""/>
    <n v="0"/>
    <m/>
    <m/>
    <n v="0"/>
    <m/>
    <n v="424427.97999999992"/>
    <s v="08"/>
    <n v="21"/>
    <s v="N"/>
  </r>
  <r>
    <x v="0"/>
    <m/>
    <x v="96"/>
    <s v="DS 5am"/>
    <m/>
    <m/>
    <m/>
    <s v=""/>
    <m/>
    <m/>
    <n v="0"/>
    <m/>
    <m/>
    <n v="0"/>
    <m/>
    <m/>
    <n v="0"/>
    <m/>
    <m/>
    <n v="0"/>
    <n v="0"/>
    <n v="0"/>
    <n v="0"/>
    <n v="0"/>
    <s v=""/>
    <m/>
    <m/>
    <m/>
    <m/>
    <n v="0"/>
    <m/>
    <m/>
    <n v="0"/>
    <m/>
    <m/>
    <n v="0"/>
    <m/>
    <m/>
    <s v=""/>
    <n v="0"/>
    <m/>
    <m/>
    <n v="0"/>
    <m/>
    <n v="424427.97999999992"/>
    <s v="08"/>
    <n v="22"/>
    <s v="D"/>
  </r>
  <r>
    <x v="0"/>
    <m/>
    <x v="97"/>
    <s v="NS 5pm"/>
    <m/>
    <m/>
    <m/>
    <s v=""/>
    <m/>
    <m/>
    <n v="0"/>
    <m/>
    <m/>
    <n v="0"/>
    <m/>
    <m/>
    <n v="0"/>
    <m/>
    <m/>
    <n v="0"/>
    <n v="0"/>
    <n v="0"/>
    <n v="0"/>
    <n v="0"/>
    <s v=""/>
    <m/>
    <m/>
    <m/>
    <m/>
    <n v="0"/>
    <m/>
    <m/>
    <n v="0"/>
    <m/>
    <m/>
    <n v="0"/>
    <m/>
    <m/>
    <s v=""/>
    <n v="0"/>
    <m/>
    <m/>
    <n v="0"/>
    <m/>
    <n v="424427.97999999992"/>
    <s v="08"/>
    <n v="22"/>
    <s v="N"/>
  </r>
  <r>
    <x v="0"/>
    <m/>
    <x v="98"/>
    <s v="DS 5am"/>
    <m/>
    <m/>
    <m/>
    <s v=""/>
    <m/>
    <m/>
    <n v="0"/>
    <m/>
    <m/>
    <n v="0"/>
    <m/>
    <m/>
    <n v="0"/>
    <m/>
    <m/>
    <n v="0"/>
    <n v="0"/>
    <n v="0"/>
    <n v="0"/>
    <n v="0"/>
    <s v=""/>
    <m/>
    <m/>
    <m/>
    <m/>
    <n v="0"/>
    <m/>
    <m/>
    <n v="0"/>
    <m/>
    <m/>
    <n v="0"/>
    <m/>
    <m/>
    <s v=""/>
    <n v="0"/>
    <m/>
    <m/>
    <n v="0"/>
    <m/>
    <n v="424427.97999999992"/>
    <s v="08"/>
    <n v="23"/>
    <s v="D"/>
  </r>
  <r>
    <x v="0"/>
    <m/>
    <x v="99"/>
    <s v="NS 5pm"/>
    <m/>
    <m/>
    <m/>
    <s v=""/>
    <m/>
    <m/>
    <n v="0"/>
    <m/>
    <m/>
    <n v="0"/>
    <m/>
    <m/>
    <n v="0"/>
    <m/>
    <m/>
    <n v="0"/>
    <n v="0"/>
    <n v="0"/>
    <n v="0"/>
    <n v="0"/>
    <s v=""/>
    <m/>
    <m/>
    <m/>
    <m/>
    <n v="0"/>
    <m/>
    <m/>
    <n v="0"/>
    <m/>
    <m/>
    <n v="0"/>
    <m/>
    <m/>
    <s v=""/>
    <n v="0"/>
    <m/>
    <m/>
    <n v="0"/>
    <m/>
    <n v="424427.97999999992"/>
    <s v="08"/>
    <n v="23"/>
    <s v="N"/>
  </r>
  <r>
    <x v="0"/>
    <m/>
    <x v="100"/>
    <s v="DS 5am"/>
    <m/>
    <m/>
    <m/>
    <s v=""/>
    <m/>
    <m/>
    <n v="0"/>
    <m/>
    <m/>
    <n v="0"/>
    <m/>
    <m/>
    <n v="0"/>
    <m/>
    <m/>
    <n v="0"/>
    <n v="0"/>
    <n v="0"/>
    <n v="0"/>
    <n v="0"/>
    <s v=""/>
    <m/>
    <m/>
    <m/>
    <m/>
    <n v="0"/>
    <m/>
    <m/>
    <n v="0"/>
    <m/>
    <m/>
    <n v="0"/>
    <m/>
    <m/>
    <s v=""/>
    <n v="0"/>
    <m/>
    <m/>
    <n v="0"/>
    <m/>
    <n v="424427.97999999992"/>
    <s v="08"/>
    <n v="24"/>
    <s v="D"/>
  </r>
  <r>
    <x v="0"/>
    <m/>
    <x v="101"/>
    <s v="NS 5pm"/>
    <m/>
    <m/>
    <m/>
    <s v=""/>
    <m/>
    <m/>
    <n v="0"/>
    <m/>
    <m/>
    <n v="0"/>
    <m/>
    <m/>
    <n v="0"/>
    <m/>
    <m/>
    <n v="0"/>
    <n v="0"/>
    <n v="0"/>
    <n v="0"/>
    <n v="0"/>
    <s v=""/>
    <m/>
    <m/>
    <m/>
    <m/>
    <n v="0"/>
    <m/>
    <m/>
    <n v="0"/>
    <m/>
    <m/>
    <n v="0"/>
    <m/>
    <m/>
    <s v=""/>
    <n v="0"/>
    <m/>
    <m/>
    <n v="0"/>
    <m/>
    <n v="424427.97999999992"/>
    <s v="08"/>
    <n v="24"/>
    <s v="N"/>
  </r>
  <r>
    <x v="0"/>
    <m/>
    <x v="102"/>
    <s v="DS 5am"/>
    <m/>
    <m/>
    <m/>
    <s v=""/>
    <m/>
    <m/>
    <n v="0"/>
    <m/>
    <m/>
    <n v="0"/>
    <m/>
    <m/>
    <n v="0"/>
    <m/>
    <m/>
    <n v="0"/>
    <n v="0"/>
    <n v="0"/>
    <n v="0"/>
    <n v="0"/>
    <s v=""/>
    <m/>
    <m/>
    <m/>
    <m/>
    <n v="0"/>
    <m/>
    <m/>
    <n v="0"/>
    <m/>
    <m/>
    <n v="0"/>
    <m/>
    <m/>
    <s v=""/>
    <n v="0"/>
    <m/>
    <m/>
    <n v="0"/>
    <m/>
    <n v="424427.97999999992"/>
    <s v="08"/>
    <n v="25"/>
    <s v="D"/>
  </r>
  <r>
    <x v="0"/>
    <m/>
    <x v="103"/>
    <s v="NS 5pm"/>
    <m/>
    <m/>
    <m/>
    <s v=""/>
    <m/>
    <m/>
    <n v="0"/>
    <m/>
    <m/>
    <n v="0"/>
    <m/>
    <m/>
    <n v="0"/>
    <m/>
    <m/>
    <n v="0"/>
    <n v="0"/>
    <n v="0"/>
    <n v="0"/>
    <n v="0"/>
    <s v=""/>
    <m/>
    <m/>
    <m/>
    <m/>
    <n v="0"/>
    <m/>
    <m/>
    <n v="0"/>
    <m/>
    <m/>
    <n v="0"/>
    <m/>
    <m/>
    <s v=""/>
    <n v="0"/>
    <m/>
    <m/>
    <n v="0"/>
    <m/>
    <n v="424427.97999999992"/>
    <s v="08"/>
    <n v="25"/>
    <s v="N"/>
  </r>
  <r>
    <x v="0"/>
    <m/>
    <x v="104"/>
    <s v="DS 5am"/>
    <m/>
    <m/>
    <m/>
    <s v=""/>
    <m/>
    <m/>
    <n v="0"/>
    <m/>
    <m/>
    <n v="0"/>
    <m/>
    <m/>
    <n v="0"/>
    <m/>
    <m/>
    <n v="0"/>
    <n v="0"/>
    <n v="0"/>
    <n v="0"/>
    <n v="0"/>
    <s v=""/>
    <m/>
    <m/>
    <m/>
    <m/>
    <n v="0"/>
    <m/>
    <m/>
    <n v="0"/>
    <m/>
    <m/>
    <n v="0"/>
    <m/>
    <m/>
    <s v=""/>
    <n v="0"/>
    <m/>
    <m/>
    <n v="0"/>
    <m/>
    <n v="424427.97999999992"/>
    <s v="08"/>
    <n v="26"/>
    <s v="D"/>
  </r>
  <r>
    <x v="0"/>
    <m/>
    <x v="105"/>
    <s v="NS 5pm"/>
    <m/>
    <m/>
    <m/>
    <s v=""/>
    <m/>
    <m/>
    <n v="0"/>
    <m/>
    <m/>
    <n v="0"/>
    <m/>
    <m/>
    <n v="0"/>
    <m/>
    <m/>
    <n v="0"/>
    <n v="0"/>
    <n v="0"/>
    <n v="0"/>
    <n v="0"/>
    <s v=""/>
    <m/>
    <m/>
    <m/>
    <m/>
    <n v="0"/>
    <m/>
    <m/>
    <n v="0"/>
    <m/>
    <m/>
    <n v="0"/>
    <m/>
    <m/>
    <s v=""/>
    <n v="0"/>
    <m/>
    <m/>
    <n v="0"/>
    <m/>
    <n v="424427.97999999992"/>
    <s v="08"/>
    <n v="26"/>
    <s v="N"/>
  </r>
  <r>
    <x v="0"/>
    <m/>
    <x v="106"/>
    <s v="DS 5am"/>
    <m/>
    <m/>
    <m/>
    <s v=""/>
    <m/>
    <m/>
    <n v="0"/>
    <m/>
    <m/>
    <n v="0"/>
    <m/>
    <m/>
    <n v="0"/>
    <m/>
    <m/>
    <n v="0"/>
    <n v="0"/>
    <n v="0"/>
    <n v="0"/>
    <n v="0"/>
    <s v=""/>
    <m/>
    <m/>
    <m/>
    <m/>
    <n v="0"/>
    <m/>
    <m/>
    <n v="0"/>
    <m/>
    <m/>
    <n v="0"/>
    <m/>
    <m/>
    <s v=""/>
    <n v="0"/>
    <m/>
    <m/>
    <n v="0"/>
    <m/>
    <n v="424427.97999999992"/>
    <s v="08"/>
    <n v="27"/>
    <s v="D"/>
  </r>
  <r>
    <x v="0"/>
    <m/>
    <x v="107"/>
    <s v="NS 5pm"/>
    <m/>
    <m/>
    <m/>
    <s v=""/>
    <m/>
    <m/>
    <n v="0"/>
    <m/>
    <m/>
    <n v="0"/>
    <m/>
    <m/>
    <n v="0"/>
    <m/>
    <m/>
    <n v="0"/>
    <n v="0"/>
    <n v="0"/>
    <n v="0"/>
    <n v="0"/>
    <s v=""/>
    <m/>
    <m/>
    <m/>
    <m/>
    <n v="0"/>
    <m/>
    <m/>
    <n v="0"/>
    <m/>
    <m/>
    <n v="0"/>
    <m/>
    <m/>
    <s v=""/>
    <n v="0"/>
    <m/>
    <m/>
    <n v="0"/>
    <m/>
    <n v="424427.97999999992"/>
    <s v="08"/>
    <n v="27"/>
    <s v="N"/>
  </r>
  <r>
    <x v="0"/>
    <m/>
    <x v="108"/>
    <s v="DS 5am"/>
    <m/>
    <m/>
    <m/>
    <s v=""/>
    <m/>
    <m/>
    <n v="0"/>
    <m/>
    <m/>
    <n v="0"/>
    <m/>
    <m/>
    <n v="0"/>
    <m/>
    <m/>
    <n v="0"/>
    <n v="0"/>
    <n v="0"/>
    <n v="0"/>
    <n v="0"/>
    <s v=""/>
    <m/>
    <m/>
    <m/>
    <m/>
    <n v="0"/>
    <m/>
    <m/>
    <n v="0"/>
    <m/>
    <m/>
    <n v="0"/>
    <m/>
    <m/>
    <s v=""/>
    <n v="0"/>
    <m/>
    <m/>
    <n v="0"/>
    <m/>
    <n v="424427.97999999992"/>
    <s v="08"/>
    <n v="28"/>
    <s v="D"/>
  </r>
  <r>
    <x v="0"/>
    <m/>
    <x v="109"/>
    <s v="NS 5pm"/>
    <m/>
    <m/>
    <m/>
    <s v=""/>
    <m/>
    <m/>
    <n v="0"/>
    <m/>
    <m/>
    <n v="0"/>
    <m/>
    <m/>
    <n v="0"/>
    <m/>
    <m/>
    <n v="0"/>
    <n v="0"/>
    <n v="0"/>
    <n v="0"/>
    <n v="0"/>
    <s v=""/>
    <m/>
    <m/>
    <m/>
    <m/>
    <n v="0"/>
    <m/>
    <m/>
    <n v="0"/>
    <m/>
    <m/>
    <n v="0"/>
    <m/>
    <m/>
    <s v=""/>
    <n v="0"/>
    <m/>
    <m/>
    <n v="0"/>
    <m/>
    <n v="424427.97999999992"/>
    <s v="08"/>
    <n v="28"/>
    <s v="N"/>
  </r>
  <r>
    <x v="0"/>
    <m/>
    <x v="110"/>
    <s v="DS 5am"/>
    <m/>
    <m/>
    <m/>
    <s v=""/>
    <m/>
    <m/>
    <n v="0"/>
    <m/>
    <m/>
    <n v="0"/>
    <m/>
    <m/>
    <n v="0"/>
    <m/>
    <m/>
    <n v="0"/>
    <n v="0"/>
    <n v="0"/>
    <n v="0"/>
    <n v="0"/>
    <s v=""/>
    <m/>
    <m/>
    <m/>
    <m/>
    <n v="0"/>
    <m/>
    <m/>
    <n v="0"/>
    <m/>
    <m/>
    <n v="0"/>
    <m/>
    <m/>
    <s v=""/>
    <n v="0"/>
    <m/>
    <m/>
    <n v="0"/>
    <m/>
    <n v="424427.97999999992"/>
    <s v="08"/>
    <n v="29"/>
    <s v="D"/>
  </r>
  <r>
    <x v="0"/>
    <m/>
    <x v="111"/>
    <s v="NS 5pm"/>
    <m/>
    <m/>
    <m/>
    <s v=""/>
    <m/>
    <m/>
    <n v="0"/>
    <m/>
    <m/>
    <n v="0"/>
    <m/>
    <m/>
    <n v="0"/>
    <m/>
    <m/>
    <n v="0"/>
    <n v="0"/>
    <n v="0"/>
    <n v="0"/>
    <n v="0"/>
    <s v=""/>
    <m/>
    <m/>
    <m/>
    <m/>
    <n v="0"/>
    <m/>
    <m/>
    <n v="0"/>
    <m/>
    <m/>
    <n v="0"/>
    <m/>
    <m/>
    <s v=""/>
    <n v="0"/>
    <m/>
    <m/>
    <n v="0"/>
    <m/>
    <n v="424427.97999999992"/>
    <s v="08"/>
    <n v="29"/>
    <s v="N"/>
  </r>
  <r>
    <x v="0"/>
    <m/>
    <x v="112"/>
    <s v="DS 5am"/>
    <m/>
    <m/>
    <m/>
    <s v=""/>
    <m/>
    <m/>
    <n v="0"/>
    <m/>
    <m/>
    <n v="0"/>
    <m/>
    <m/>
    <n v="0"/>
    <m/>
    <m/>
    <n v="0"/>
    <n v="0"/>
    <n v="0"/>
    <n v="0"/>
    <n v="0"/>
    <s v=""/>
    <m/>
    <m/>
    <m/>
    <m/>
    <n v="0"/>
    <m/>
    <m/>
    <n v="0"/>
    <m/>
    <m/>
    <n v="0"/>
    <m/>
    <m/>
    <s v=""/>
    <n v="0"/>
    <m/>
    <m/>
    <n v="0"/>
    <m/>
    <n v="424427.97999999992"/>
    <s v="08"/>
    <n v="30"/>
    <s v="D"/>
  </r>
  <r>
    <x v="0"/>
    <m/>
    <x v="113"/>
    <s v="NS 5pm"/>
    <m/>
    <m/>
    <m/>
    <s v=""/>
    <m/>
    <m/>
    <n v="0"/>
    <m/>
    <m/>
    <n v="0"/>
    <m/>
    <m/>
    <n v="0"/>
    <m/>
    <m/>
    <n v="0"/>
    <n v="0"/>
    <n v="0"/>
    <n v="0"/>
    <n v="0"/>
    <s v=""/>
    <m/>
    <m/>
    <m/>
    <m/>
    <n v="0"/>
    <m/>
    <m/>
    <n v="0"/>
    <m/>
    <m/>
    <n v="0"/>
    <m/>
    <m/>
    <s v=""/>
    <n v="0"/>
    <m/>
    <m/>
    <n v="0"/>
    <m/>
    <n v="424427.97999999992"/>
    <s v="08"/>
    <n v="30"/>
    <s v="N"/>
  </r>
  <r>
    <x v="0"/>
    <m/>
    <x v="114"/>
    <s v="DS 5am"/>
    <m/>
    <m/>
    <m/>
    <s v=""/>
    <m/>
    <m/>
    <n v="0"/>
    <m/>
    <m/>
    <n v="0"/>
    <m/>
    <m/>
    <n v="0"/>
    <m/>
    <m/>
    <n v="0"/>
    <n v="0"/>
    <n v="0"/>
    <n v="0"/>
    <n v="0"/>
    <s v=""/>
    <m/>
    <m/>
    <m/>
    <m/>
    <n v="0"/>
    <m/>
    <m/>
    <n v="0"/>
    <m/>
    <m/>
    <n v="0"/>
    <m/>
    <m/>
    <s v=""/>
    <n v="0"/>
    <m/>
    <m/>
    <n v="0"/>
    <m/>
    <n v="424427.97999999992"/>
    <s v="08"/>
    <n v="31"/>
    <s v="D"/>
  </r>
  <r>
    <x v="0"/>
    <m/>
    <x v="115"/>
    <s v="NS 5pm"/>
    <m/>
    <m/>
    <m/>
    <s v=""/>
    <m/>
    <m/>
    <n v="0"/>
    <m/>
    <m/>
    <n v="0"/>
    <m/>
    <m/>
    <n v="0"/>
    <m/>
    <m/>
    <n v="0"/>
    <n v="0"/>
    <n v="0"/>
    <n v="0"/>
    <n v="0"/>
    <s v=""/>
    <m/>
    <m/>
    <m/>
    <m/>
    <n v="0"/>
    <m/>
    <m/>
    <n v="0"/>
    <m/>
    <m/>
    <n v="0"/>
    <m/>
    <m/>
    <s v=""/>
    <n v="0"/>
    <m/>
    <m/>
    <n v="0"/>
    <m/>
    <n v="424427.97999999992"/>
    <s v="08"/>
    <n v="31"/>
    <s v="N"/>
  </r>
  <r>
    <x v="0"/>
    <m/>
    <x v="116"/>
    <s v="DS 5am"/>
    <m/>
    <m/>
    <m/>
    <s v=""/>
    <m/>
    <m/>
    <n v="0"/>
    <m/>
    <m/>
    <n v="0"/>
    <m/>
    <m/>
    <n v="0"/>
    <m/>
    <m/>
    <n v="0"/>
    <n v="0"/>
    <n v="0"/>
    <n v="0"/>
    <n v="0"/>
    <s v=""/>
    <m/>
    <m/>
    <m/>
    <m/>
    <n v="0"/>
    <m/>
    <m/>
    <n v="0"/>
    <m/>
    <m/>
    <n v="0"/>
    <m/>
    <m/>
    <s v=""/>
    <n v="0"/>
    <m/>
    <m/>
    <n v="0"/>
    <m/>
    <n v="424427.97999999992"/>
    <s v="09"/>
    <n v="1"/>
    <s v="D"/>
  </r>
  <r>
    <x v="0"/>
    <m/>
    <x v="117"/>
    <s v="NS 5pm"/>
    <m/>
    <m/>
    <m/>
    <s v=""/>
    <m/>
    <m/>
    <n v="0"/>
    <m/>
    <m/>
    <n v="0"/>
    <m/>
    <m/>
    <n v="0"/>
    <m/>
    <m/>
    <n v="0"/>
    <n v="0"/>
    <n v="0"/>
    <n v="0"/>
    <n v="0"/>
    <s v=""/>
    <m/>
    <m/>
    <m/>
    <m/>
    <n v="0"/>
    <m/>
    <m/>
    <n v="0"/>
    <m/>
    <m/>
    <n v="0"/>
    <m/>
    <m/>
    <s v=""/>
    <n v="0"/>
    <m/>
    <m/>
    <n v="0"/>
    <m/>
    <n v="424427.97999999992"/>
    <s v="09"/>
    <n v="1"/>
    <s v="N"/>
  </r>
  <r>
    <x v="0"/>
    <m/>
    <x v="118"/>
    <s v="DS 5am"/>
    <m/>
    <m/>
    <m/>
    <s v=""/>
    <m/>
    <m/>
    <n v="0"/>
    <m/>
    <m/>
    <n v="0"/>
    <m/>
    <m/>
    <n v="0"/>
    <m/>
    <m/>
    <n v="0"/>
    <n v="0"/>
    <n v="0"/>
    <n v="0"/>
    <n v="0"/>
    <s v=""/>
    <m/>
    <m/>
    <m/>
    <m/>
    <n v="0"/>
    <m/>
    <m/>
    <n v="0"/>
    <m/>
    <m/>
    <n v="0"/>
    <m/>
    <m/>
    <s v=""/>
    <n v="0"/>
    <m/>
    <m/>
    <n v="0"/>
    <m/>
    <n v="424427.97999999992"/>
    <s v="09"/>
    <n v="2"/>
    <s v="D"/>
  </r>
  <r>
    <x v="0"/>
    <m/>
    <x v="119"/>
    <s v="NS 5pm"/>
    <m/>
    <m/>
    <m/>
    <s v=""/>
    <m/>
    <m/>
    <n v="0"/>
    <m/>
    <m/>
    <n v="0"/>
    <m/>
    <m/>
    <n v="0"/>
    <m/>
    <m/>
    <n v="0"/>
    <n v="0"/>
    <n v="0"/>
    <n v="0"/>
    <n v="0"/>
    <s v=""/>
    <m/>
    <m/>
    <m/>
    <m/>
    <n v="0"/>
    <m/>
    <m/>
    <n v="0"/>
    <m/>
    <m/>
    <n v="0"/>
    <m/>
    <m/>
    <s v=""/>
    <n v="0"/>
    <m/>
    <m/>
    <n v="0"/>
    <m/>
    <n v="424427.97999999992"/>
    <s v="09"/>
    <n v="2"/>
    <s v="N"/>
  </r>
  <r>
    <x v="0"/>
    <m/>
    <x v="120"/>
    <s v="DS 5am"/>
    <m/>
    <m/>
    <m/>
    <s v=""/>
    <m/>
    <m/>
    <n v="0"/>
    <m/>
    <m/>
    <n v="0"/>
    <m/>
    <m/>
    <n v="0"/>
    <m/>
    <m/>
    <n v="0"/>
    <n v="0"/>
    <n v="0"/>
    <n v="0"/>
    <n v="0"/>
    <s v=""/>
    <m/>
    <m/>
    <m/>
    <m/>
    <n v="0"/>
    <m/>
    <m/>
    <n v="0"/>
    <m/>
    <m/>
    <n v="0"/>
    <m/>
    <m/>
    <s v=""/>
    <n v="0"/>
    <m/>
    <m/>
    <n v="0"/>
    <m/>
    <n v="424427.97999999992"/>
    <s v="09"/>
    <n v="3"/>
    <s v="D"/>
  </r>
  <r>
    <x v="0"/>
    <m/>
    <x v="121"/>
    <s v="NS 5pm"/>
    <m/>
    <m/>
    <m/>
    <s v=""/>
    <m/>
    <m/>
    <n v="0"/>
    <m/>
    <m/>
    <n v="0"/>
    <m/>
    <m/>
    <n v="0"/>
    <m/>
    <m/>
    <n v="0"/>
    <n v="0"/>
    <n v="0"/>
    <n v="0"/>
    <n v="0"/>
    <s v=""/>
    <m/>
    <m/>
    <m/>
    <m/>
    <n v="0"/>
    <m/>
    <m/>
    <n v="0"/>
    <m/>
    <m/>
    <n v="0"/>
    <m/>
    <m/>
    <s v=""/>
    <n v="0"/>
    <m/>
    <m/>
    <n v="0"/>
    <m/>
    <n v="424427.97999999992"/>
    <s v="09"/>
    <n v="3"/>
    <s v="N"/>
  </r>
  <r>
    <x v="0"/>
    <m/>
    <x v="122"/>
    <s v="DS 5am"/>
    <m/>
    <m/>
    <m/>
    <s v=""/>
    <m/>
    <m/>
    <n v="0"/>
    <m/>
    <m/>
    <n v="0"/>
    <m/>
    <m/>
    <n v="0"/>
    <m/>
    <m/>
    <n v="0"/>
    <n v="0"/>
    <n v="0"/>
    <n v="0"/>
    <n v="0"/>
    <s v=""/>
    <m/>
    <m/>
    <m/>
    <m/>
    <n v="0"/>
    <m/>
    <m/>
    <n v="0"/>
    <m/>
    <m/>
    <n v="0"/>
    <m/>
    <m/>
    <s v=""/>
    <n v="0"/>
    <m/>
    <m/>
    <n v="0"/>
    <m/>
    <n v="424427.97999999992"/>
    <s v="09"/>
    <n v="4"/>
    <s v="D"/>
  </r>
  <r>
    <x v="0"/>
    <m/>
    <x v="123"/>
    <s v="NS 5pm"/>
    <m/>
    <m/>
    <m/>
    <s v=""/>
    <m/>
    <m/>
    <n v="0"/>
    <m/>
    <m/>
    <n v="0"/>
    <m/>
    <m/>
    <n v="0"/>
    <m/>
    <m/>
    <n v="0"/>
    <n v="0"/>
    <n v="0"/>
    <n v="0"/>
    <n v="0"/>
    <s v=""/>
    <m/>
    <m/>
    <m/>
    <m/>
    <n v="0"/>
    <m/>
    <m/>
    <n v="0"/>
    <m/>
    <m/>
    <n v="0"/>
    <m/>
    <m/>
    <s v=""/>
    <n v="0"/>
    <m/>
    <m/>
    <n v="0"/>
    <m/>
    <n v="424427.97999999992"/>
    <s v="09"/>
    <n v="4"/>
    <s v="N"/>
  </r>
  <r>
    <x v="0"/>
    <m/>
    <x v="124"/>
    <s v="DS 5am"/>
    <m/>
    <m/>
    <m/>
    <s v=""/>
    <m/>
    <m/>
    <n v="0"/>
    <m/>
    <m/>
    <n v="0"/>
    <m/>
    <m/>
    <n v="0"/>
    <m/>
    <m/>
    <n v="0"/>
    <n v="0"/>
    <n v="0"/>
    <n v="0"/>
    <n v="0"/>
    <s v=""/>
    <m/>
    <m/>
    <m/>
    <m/>
    <n v="0"/>
    <m/>
    <m/>
    <n v="0"/>
    <m/>
    <m/>
    <n v="0"/>
    <m/>
    <m/>
    <s v=""/>
    <n v="0"/>
    <m/>
    <m/>
    <n v="0"/>
    <m/>
    <n v="424427.97999999992"/>
    <s v="09"/>
    <n v="5"/>
    <s v="D"/>
  </r>
  <r>
    <x v="0"/>
    <m/>
    <x v="125"/>
    <s v="NS 5pm"/>
    <m/>
    <m/>
    <m/>
    <s v=""/>
    <m/>
    <m/>
    <n v="0"/>
    <m/>
    <m/>
    <n v="0"/>
    <m/>
    <m/>
    <n v="0"/>
    <m/>
    <m/>
    <n v="0"/>
    <n v="0"/>
    <n v="0"/>
    <n v="0"/>
    <n v="0"/>
    <s v=""/>
    <m/>
    <m/>
    <m/>
    <m/>
    <n v="0"/>
    <m/>
    <m/>
    <n v="0"/>
    <m/>
    <m/>
    <n v="0"/>
    <m/>
    <m/>
    <s v=""/>
    <n v="0"/>
    <m/>
    <m/>
    <n v="0"/>
    <m/>
    <n v="424427.97999999992"/>
    <s v="09"/>
    <n v="5"/>
    <s v="N"/>
  </r>
  <r>
    <x v="0"/>
    <m/>
    <x v="126"/>
    <s v="DS 5am"/>
    <m/>
    <m/>
    <m/>
    <s v=""/>
    <m/>
    <m/>
    <n v="0"/>
    <m/>
    <m/>
    <n v="0"/>
    <m/>
    <m/>
    <n v="0"/>
    <m/>
    <m/>
    <n v="0"/>
    <n v="0"/>
    <n v="0"/>
    <n v="0"/>
    <n v="0"/>
    <s v=""/>
    <m/>
    <m/>
    <m/>
    <m/>
    <n v="0"/>
    <m/>
    <m/>
    <n v="0"/>
    <m/>
    <m/>
    <n v="0"/>
    <m/>
    <m/>
    <s v=""/>
    <n v="0"/>
    <m/>
    <m/>
    <n v="0"/>
    <m/>
    <n v="424427.97999999992"/>
    <s v="09"/>
    <n v="6"/>
    <s v="D"/>
  </r>
  <r>
    <x v="0"/>
    <m/>
    <x v="127"/>
    <s v="NS 5pm"/>
    <m/>
    <m/>
    <m/>
    <s v=""/>
    <m/>
    <m/>
    <n v="0"/>
    <m/>
    <m/>
    <n v="0"/>
    <m/>
    <m/>
    <n v="0"/>
    <m/>
    <m/>
    <n v="0"/>
    <n v="0"/>
    <n v="0"/>
    <n v="0"/>
    <n v="0"/>
    <s v=""/>
    <m/>
    <m/>
    <m/>
    <m/>
    <n v="0"/>
    <m/>
    <m/>
    <n v="0"/>
    <m/>
    <m/>
    <n v="0"/>
    <m/>
    <m/>
    <s v=""/>
    <n v="0"/>
    <m/>
    <m/>
    <n v="0"/>
    <m/>
    <n v="424427.97999999992"/>
    <s v="09"/>
    <n v="6"/>
    <s v="N"/>
  </r>
  <r>
    <x v="0"/>
    <m/>
    <x v="128"/>
    <s v="DS 5am"/>
    <m/>
    <m/>
    <m/>
    <s v=""/>
    <m/>
    <m/>
    <n v="0"/>
    <m/>
    <m/>
    <n v="0"/>
    <m/>
    <m/>
    <n v="0"/>
    <m/>
    <m/>
    <n v="0"/>
    <n v="0"/>
    <n v="0"/>
    <n v="0"/>
    <n v="0"/>
    <s v=""/>
    <m/>
    <m/>
    <m/>
    <m/>
    <n v="0"/>
    <m/>
    <m/>
    <n v="0"/>
    <m/>
    <m/>
    <n v="0"/>
    <m/>
    <m/>
    <s v=""/>
    <n v="0"/>
    <m/>
    <m/>
    <n v="0"/>
    <m/>
    <n v="424427.97999999992"/>
    <s v="09"/>
    <n v="7"/>
    <s v="D"/>
  </r>
  <r>
    <x v="0"/>
    <m/>
    <x v="129"/>
    <s v="NS 5pm"/>
    <m/>
    <m/>
    <m/>
    <s v=""/>
    <m/>
    <m/>
    <n v="0"/>
    <m/>
    <m/>
    <n v="0"/>
    <m/>
    <m/>
    <n v="0"/>
    <m/>
    <m/>
    <n v="0"/>
    <n v="0"/>
    <n v="0"/>
    <n v="0"/>
    <n v="0"/>
    <s v=""/>
    <m/>
    <m/>
    <m/>
    <m/>
    <n v="0"/>
    <m/>
    <m/>
    <n v="0"/>
    <m/>
    <m/>
    <n v="0"/>
    <m/>
    <m/>
    <s v=""/>
    <n v="0"/>
    <m/>
    <m/>
    <n v="0"/>
    <m/>
    <n v="424427.97999999992"/>
    <s v="09"/>
    <n v="7"/>
    <s v="N"/>
  </r>
  <r>
    <x v="0"/>
    <m/>
    <x v="130"/>
    <s v="DS 5am"/>
    <m/>
    <m/>
    <m/>
    <s v=""/>
    <m/>
    <m/>
    <n v="0"/>
    <m/>
    <m/>
    <n v="0"/>
    <m/>
    <m/>
    <n v="0"/>
    <m/>
    <m/>
    <n v="0"/>
    <n v="0"/>
    <n v="0"/>
    <n v="0"/>
    <n v="0"/>
    <s v=""/>
    <m/>
    <m/>
    <m/>
    <m/>
    <n v="0"/>
    <m/>
    <m/>
    <n v="0"/>
    <m/>
    <m/>
    <n v="0"/>
    <m/>
    <m/>
    <s v=""/>
    <n v="0"/>
    <m/>
    <m/>
    <n v="0"/>
    <m/>
    <n v="424427.97999999992"/>
    <s v="09"/>
    <n v="8"/>
    <s v="D"/>
  </r>
  <r>
    <x v="0"/>
    <m/>
    <x v="131"/>
    <s v="NS 5pm"/>
    <m/>
    <m/>
    <m/>
    <s v=""/>
    <m/>
    <m/>
    <n v="0"/>
    <m/>
    <m/>
    <n v="0"/>
    <m/>
    <m/>
    <n v="0"/>
    <m/>
    <m/>
    <n v="0"/>
    <n v="0"/>
    <n v="0"/>
    <n v="0"/>
    <n v="0"/>
    <s v=""/>
    <m/>
    <m/>
    <m/>
    <m/>
    <n v="0"/>
    <m/>
    <m/>
    <n v="0"/>
    <m/>
    <m/>
    <n v="0"/>
    <m/>
    <m/>
    <s v=""/>
    <n v="0"/>
    <m/>
    <m/>
    <n v="0"/>
    <m/>
    <n v="424427.97999999992"/>
    <s v="09"/>
    <n v="8"/>
    <s v="N"/>
  </r>
  <r>
    <x v="0"/>
    <m/>
    <x v="132"/>
    <s v="DS 5am"/>
    <m/>
    <m/>
    <m/>
    <s v=""/>
    <m/>
    <m/>
    <n v="0"/>
    <m/>
    <m/>
    <n v="0"/>
    <m/>
    <m/>
    <n v="0"/>
    <m/>
    <m/>
    <n v="0"/>
    <n v="0"/>
    <n v="0"/>
    <n v="0"/>
    <n v="0"/>
    <s v=""/>
    <m/>
    <m/>
    <m/>
    <m/>
    <n v="0"/>
    <m/>
    <m/>
    <n v="0"/>
    <m/>
    <m/>
    <n v="0"/>
    <m/>
    <m/>
    <s v=""/>
    <n v="0"/>
    <m/>
    <m/>
    <n v="0"/>
    <m/>
    <n v="424427.97999999992"/>
    <s v="09"/>
    <n v="9"/>
    <s v="D"/>
  </r>
  <r>
    <x v="0"/>
    <m/>
    <x v="133"/>
    <s v="NS 5pm"/>
    <m/>
    <m/>
    <m/>
    <s v=""/>
    <m/>
    <m/>
    <n v="0"/>
    <m/>
    <m/>
    <n v="0"/>
    <m/>
    <m/>
    <n v="0"/>
    <m/>
    <m/>
    <n v="0"/>
    <n v="0"/>
    <n v="0"/>
    <n v="0"/>
    <n v="0"/>
    <s v=""/>
    <m/>
    <m/>
    <m/>
    <m/>
    <n v="0"/>
    <m/>
    <m/>
    <n v="0"/>
    <m/>
    <m/>
    <n v="0"/>
    <m/>
    <m/>
    <s v=""/>
    <n v="0"/>
    <m/>
    <m/>
    <n v="0"/>
    <m/>
    <n v="424427.97999999992"/>
    <s v="09"/>
    <n v="9"/>
    <s v="N"/>
  </r>
  <r>
    <x v="0"/>
    <m/>
    <x v="134"/>
    <s v="DS 5am"/>
    <m/>
    <m/>
    <m/>
    <s v=""/>
    <m/>
    <m/>
    <n v="0"/>
    <m/>
    <m/>
    <n v="0"/>
    <m/>
    <m/>
    <n v="0"/>
    <m/>
    <m/>
    <n v="0"/>
    <n v="0"/>
    <n v="0"/>
    <n v="0"/>
    <n v="0"/>
    <s v=""/>
    <m/>
    <m/>
    <m/>
    <m/>
    <n v="0"/>
    <m/>
    <m/>
    <n v="0"/>
    <m/>
    <m/>
    <n v="0"/>
    <m/>
    <m/>
    <s v=""/>
    <n v="0"/>
    <m/>
    <m/>
    <n v="0"/>
    <m/>
    <n v="424427.97999999992"/>
    <s v="09"/>
    <n v="10"/>
    <s v="D"/>
  </r>
  <r>
    <x v="0"/>
    <m/>
    <x v="135"/>
    <s v="NS 5pm"/>
    <m/>
    <m/>
    <m/>
    <s v=""/>
    <m/>
    <m/>
    <n v="0"/>
    <m/>
    <m/>
    <n v="0"/>
    <m/>
    <m/>
    <n v="0"/>
    <m/>
    <m/>
    <n v="0"/>
    <n v="0"/>
    <n v="0"/>
    <n v="0"/>
    <n v="0"/>
    <s v=""/>
    <m/>
    <m/>
    <m/>
    <m/>
    <n v="0"/>
    <m/>
    <m/>
    <n v="0"/>
    <m/>
    <m/>
    <n v="0"/>
    <m/>
    <m/>
    <s v=""/>
    <n v="0"/>
    <m/>
    <m/>
    <n v="0"/>
    <m/>
    <n v="424427.97999999992"/>
    <s v="09"/>
    <n v="10"/>
    <s v="N"/>
  </r>
  <r>
    <x v="0"/>
    <m/>
    <x v="136"/>
    <s v="DS 5am"/>
    <m/>
    <m/>
    <m/>
    <s v=""/>
    <m/>
    <m/>
    <n v="0"/>
    <m/>
    <m/>
    <n v="0"/>
    <m/>
    <m/>
    <n v="0"/>
    <m/>
    <m/>
    <n v="0"/>
    <n v="0"/>
    <n v="0"/>
    <n v="0"/>
    <n v="0"/>
    <s v=""/>
    <m/>
    <m/>
    <m/>
    <m/>
    <n v="0"/>
    <m/>
    <m/>
    <n v="0"/>
    <m/>
    <m/>
    <n v="0"/>
    <m/>
    <m/>
    <s v=""/>
    <n v="0"/>
    <m/>
    <m/>
    <n v="0"/>
    <m/>
    <n v="424427.97999999992"/>
    <s v="09"/>
    <n v="11"/>
    <s v="D"/>
  </r>
  <r>
    <x v="0"/>
    <m/>
    <x v="137"/>
    <s v="NS 5pm"/>
    <m/>
    <m/>
    <m/>
    <s v=""/>
    <m/>
    <m/>
    <n v="0"/>
    <m/>
    <m/>
    <n v="0"/>
    <m/>
    <m/>
    <n v="0"/>
    <m/>
    <m/>
    <n v="0"/>
    <n v="0"/>
    <n v="0"/>
    <n v="0"/>
    <n v="0"/>
    <s v=""/>
    <m/>
    <m/>
    <m/>
    <m/>
    <n v="0"/>
    <m/>
    <m/>
    <n v="0"/>
    <m/>
    <m/>
    <n v="0"/>
    <m/>
    <m/>
    <s v=""/>
    <n v="0"/>
    <m/>
    <m/>
    <n v="0"/>
    <m/>
    <n v="424427.97999999992"/>
    <s v="09"/>
    <n v="11"/>
    <s v="N"/>
  </r>
  <r>
    <x v="0"/>
    <m/>
    <x v="138"/>
    <s v="DS 5am"/>
    <m/>
    <m/>
    <m/>
    <s v=""/>
    <m/>
    <m/>
    <n v="0"/>
    <m/>
    <m/>
    <n v="0"/>
    <m/>
    <m/>
    <n v="0"/>
    <m/>
    <m/>
    <n v="0"/>
    <n v="0"/>
    <n v="0"/>
    <n v="0"/>
    <n v="0"/>
    <s v=""/>
    <m/>
    <m/>
    <m/>
    <m/>
    <n v="0"/>
    <m/>
    <m/>
    <n v="0"/>
    <m/>
    <m/>
    <n v="0"/>
    <m/>
    <m/>
    <s v=""/>
    <n v="0"/>
    <m/>
    <m/>
    <n v="0"/>
    <m/>
    <n v="424427.97999999992"/>
    <s v="09"/>
    <n v="12"/>
    <s v="D"/>
  </r>
  <r>
    <x v="0"/>
    <m/>
    <x v="139"/>
    <s v="NS 5pm"/>
    <m/>
    <m/>
    <m/>
    <s v=""/>
    <m/>
    <m/>
    <n v="0"/>
    <m/>
    <m/>
    <n v="0"/>
    <m/>
    <m/>
    <n v="0"/>
    <m/>
    <m/>
    <n v="0"/>
    <n v="0"/>
    <n v="0"/>
    <n v="0"/>
    <n v="0"/>
    <s v=""/>
    <m/>
    <m/>
    <m/>
    <m/>
    <n v="0"/>
    <m/>
    <m/>
    <n v="0"/>
    <m/>
    <m/>
    <n v="0"/>
    <m/>
    <m/>
    <s v=""/>
    <n v="0"/>
    <m/>
    <m/>
    <n v="0"/>
    <m/>
    <n v="424427.97999999992"/>
    <s v="09"/>
    <n v="12"/>
    <s v="N"/>
  </r>
  <r>
    <x v="0"/>
    <m/>
    <x v="140"/>
    <s v="DS 5am"/>
    <m/>
    <m/>
    <m/>
    <s v=""/>
    <m/>
    <m/>
    <n v="0"/>
    <m/>
    <m/>
    <n v="0"/>
    <m/>
    <m/>
    <n v="0"/>
    <m/>
    <m/>
    <n v="0"/>
    <n v="0"/>
    <n v="0"/>
    <n v="0"/>
    <n v="0"/>
    <s v=""/>
    <m/>
    <m/>
    <m/>
    <m/>
    <n v="0"/>
    <m/>
    <m/>
    <n v="0"/>
    <m/>
    <m/>
    <n v="0"/>
    <m/>
    <m/>
    <s v=""/>
    <n v="0"/>
    <m/>
    <m/>
    <n v="0"/>
    <m/>
    <n v="424427.97999999992"/>
    <s v="09"/>
    <n v="13"/>
    <s v="D"/>
  </r>
  <r>
    <x v="0"/>
    <m/>
    <x v="141"/>
    <s v="NS 5pm"/>
    <m/>
    <m/>
    <m/>
    <s v=""/>
    <m/>
    <m/>
    <n v="0"/>
    <m/>
    <m/>
    <n v="0"/>
    <m/>
    <m/>
    <n v="0"/>
    <m/>
    <m/>
    <n v="0"/>
    <n v="0"/>
    <n v="0"/>
    <n v="0"/>
    <n v="0"/>
    <s v=""/>
    <m/>
    <m/>
    <m/>
    <m/>
    <n v="0"/>
    <m/>
    <m/>
    <n v="0"/>
    <m/>
    <m/>
    <n v="0"/>
    <m/>
    <m/>
    <s v=""/>
    <n v="0"/>
    <m/>
    <m/>
    <n v="0"/>
    <m/>
    <n v="424427.97999999992"/>
    <s v="09"/>
    <n v="13"/>
    <s v="N"/>
  </r>
  <r>
    <x v="0"/>
    <m/>
    <x v="142"/>
    <s v="DS 5am"/>
    <m/>
    <m/>
    <m/>
    <s v=""/>
    <m/>
    <m/>
    <n v="0"/>
    <m/>
    <m/>
    <n v="0"/>
    <m/>
    <m/>
    <n v="0"/>
    <m/>
    <m/>
    <n v="0"/>
    <n v="0"/>
    <n v="0"/>
    <n v="0"/>
    <n v="0"/>
    <s v=""/>
    <m/>
    <m/>
    <m/>
    <m/>
    <n v="0"/>
    <m/>
    <m/>
    <n v="0"/>
    <m/>
    <m/>
    <n v="0"/>
    <m/>
    <m/>
    <s v=""/>
    <n v="0"/>
    <m/>
    <m/>
    <n v="0"/>
    <m/>
    <n v="424427.97999999992"/>
    <s v="09"/>
    <n v="14"/>
    <s v="D"/>
  </r>
  <r>
    <x v="0"/>
    <m/>
    <x v="143"/>
    <s v="NS 5pm"/>
    <m/>
    <m/>
    <m/>
    <s v=""/>
    <m/>
    <m/>
    <n v="0"/>
    <m/>
    <m/>
    <n v="0"/>
    <m/>
    <m/>
    <n v="0"/>
    <m/>
    <m/>
    <n v="0"/>
    <n v="0"/>
    <n v="0"/>
    <n v="0"/>
    <n v="0"/>
    <s v=""/>
    <m/>
    <m/>
    <m/>
    <m/>
    <n v="0"/>
    <m/>
    <m/>
    <n v="0"/>
    <m/>
    <m/>
    <n v="0"/>
    <m/>
    <m/>
    <s v=""/>
    <n v="0"/>
    <m/>
    <m/>
    <n v="0"/>
    <m/>
    <n v="424427.97999999992"/>
    <s v="09"/>
    <n v="14"/>
    <s v="N"/>
  </r>
  <r>
    <x v="0"/>
    <m/>
    <x v="144"/>
    <s v="DS 5am"/>
    <m/>
    <m/>
    <m/>
    <s v=""/>
    <m/>
    <m/>
    <n v="0"/>
    <m/>
    <m/>
    <n v="0"/>
    <m/>
    <m/>
    <n v="0"/>
    <m/>
    <m/>
    <n v="0"/>
    <n v="0"/>
    <n v="0"/>
    <n v="0"/>
    <n v="0"/>
    <s v=""/>
    <m/>
    <m/>
    <m/>
    <m/>
    <n v="0"/>
    <m/>
    <m/>
    <n v="0"/>
    <m/>
    <m/>
    <n v="0"/>
    <m/>
    <m/>
    <s v=""/>
    <n v="0"/>
    <m/>
    <m/>
    <n v="0"/>
    <m/>
    <n v="424427.97999999992"/>
    <s v="09"/>
    <n v="15"/>
    <s v="D"/>
  </r>
  <r>
    <x v="0"/>
    <m/>
    <x v="145"/>
    <s v="NS 5pm"/>
    <m/>
    <m/>
    <m/>
    <s v=""/>
    <m/>
    <m/>
    <n v="0"/>
    <m/>
    <m/>
    <n v="0"/>
    <m/>
    <m/>
    <n v="0"/>
    <m/>
    <m/>
    <n v="0"/>
    <n v="0"/>
    <n v="0"/>
    <n v="0"/>
    <n v="0"/>
    <s v=""/>
    <m/>
    <m/>
    <m/>
    <m/>
    <n v="0"/>
    <m/>
    <m/>
    <n v="0"/>
    <m/>
    <m/>
    <n v="0"/>
    <m/>
    <m/>
    <s v=""/>
    <n v="0"/>
    <m/>
    <m/>
    <n v="0"/>
    <m/>
    <n v="424427.97999999992"/>
    <s v="09"/>
    <n v="15"/>
    <s v="N"/>
  </r>
  <r>
    <x v="0"/>
    <m/>
    <x v="146"/>
    <s v="DS 5am"/>
    <m/>
    <m/>
    <m/>
    <s v=""/>
    <m/>
    <m/>
    <n v="0"/>
    <m/>
    <m/>
    <n v="0"/>
    <m/>
    <m/>
    <n v="0"/>
    <m/>
    <m/>
    <n v="0"/>
    <n v="0"/>
    <n v="0"/>
    <n v="0"/>
    <n v="0"/>
    <s v=""/>
    <m/>
    <m/>
    <m/>
    <m/>
    <n v="0"/>
    <m/>
    <m/>
    <n v="0"/>
    <m/>
    <m/>
    <n v="0"/>
    <m/>
    <m/>
    <s v=""/>
    <n v="0"/>
    <m/>
    <m/>
    <n v="0"/>
    <m/>
    <n v="424427.97999999992"/>
    <s v="09"/>
    <n v="16"/>
    <s v="D"/>
  </r>
  <r>
    <x v="0"/>
    <m/>
    <x v="147"/>
    <s v="NS 5pm"/>
    <m/>
    <m/>
    <m/>
    <s v=""/>
    <m/>
    <m/>
    <n v="0"/>
    <m/>
    <m/>
    <n v="0"/>
    <m/>
    <m/>
    <n v="0"/>
    <m/>
    <m/>
    <n v="0"/>
    <n v="0"/>
    <n v="0"/>
    <n v="0"/>
    <n v="0"/>
    <s v=""/>
    <m/>
    <m/>
    <m/>
    <m/>
    <n v="0"/>
    <m/>
    <m/>
    <n v="0"/>
    <m/>
    <m/>
    <n v="0"/>
    <m/>
    <m/>
    <s v=""/>
    <n v="0"/>
    <m/>
    <m/>
    <n v="0"/>
    <m/>
    <n v="424427.97999999992"/>
    <s v="09"/>
    <n v="16"/>
    <s v="N"/>
  </r>
  <r>
    <x v="0"/>
    <m/>
    <x v="148"/>
    <s v="DS 5am"/>
    <m/>
    <m/>
    <m/>
    <s v=""/>
    <m/>
    <m/>
    <n v="0"/>
    <m/>
    <m/>
    <n v="0"/>
    <m/>
    <m/>
    <n v="0"/>
    <m/>
    <m/>
    <n v="0"/>
    <n v="0"/>
    <n v="0"/>
    <n v="0"/>
    <n v="0"/>
    <s v=""/>
    <m/>
    <m/>
    <m/>
    <m/>
    <n v="0"/>
    <m/>
    <m/>
    <n v="0"/>
    <m/>
    <m/>
    <n v="0"/>
    <m/>
    <m/>
    <s v=""/>
    <n v="0"/>
    <m/>
    <m/>
    <n v="0"/>
    <m/>
    <n v="424427.97999999992"/>
    <s v="09"/>
    <n v="17"/>
    <s v="D"/>
  </r>
  <r>
    <x v="0"/>
    <m/>
    <x v="149"/>
    <s v="NS 5pm"/>
    <m/>
    <m/>
    <m/>
    <s v=""/>
    <m/>
    <m/>
    <n v="0"/>
    <m/>
    <m/>
    <n v="0"/>
    <m/>
    <m/>
    <n v="0"/>
    <m/>
    <m/>
    <n v="0"/>
    <n v="0"/>
    <n v="0"/>
    <n v="0"/>
    <n v="0"/>
    <s v=""/>
    <m/>
    <m/>
    <m/>
    <m/>
    <n v="0"/>
    <m/>
    <m/>
    <n v="0"/>
    <m/>
    <m/>
    <n v="0"/>
    <m/>
    <m/>
    <s v=""/>
    <n v="0"/>
    <m/>
    <m/>
    <n v="0"/>
    <m/>
    <n v="424427.97999999992"/>
    <s v="09"/>
    <n v="17"/>
    <s v="N"/>
  </r>
  <r>
    <x v="0"/>
    <m/>
    <x v="150"/>
    <s v="DS 5am"/>
    <m/>
    <m/>
    <m/>
    <s v=""/>
    <m/>
    <m/>
    <n v="0"/>
    <m/>
    <m/>
    <n v="0"/>
    <m/>
    <m/>
    <n v="0"/>
    <m/>
    <m/>
    <n v="0"/>
    <n v="0"/>
    <n v="0"/>
    <n v="0"/>
    <n v="0"/>
    <s v=""/>
    <m/>
    <m/>
    <m/>
    <m/>
    <n v="0"/>
    <m/>
    <m/>
    <n v="0"/>
    <m/>
    <m/>
    <n v="0"/>
    <m/>
    <m/>
    <s v=""/>
    <n v="0"/>
    <m/>
    <m/>
    <n v="0"/>
    <m/>
    <n v="424427.97999999992"/>
    <s v="09"/>
    <n v="18"/>
    <s v="D"/>
  </r>
  <r>
    <x v="0"/>
    <m/>
    <x v="151"/>
    <s v="NS 5pm"/>
    <m/>
    <m/>
    <m/>
    <s v=""/>
    <m/>
    <m/>
    <n v="0"/>
    <m/>
    <m/>
    <n v="0"/>
    <m/>
    <m/>
    <n v="0"/>
    <m/>
    <m/>
    <n v="0"/>
    <n v="0"/>
    <n v="0"/>
    <n v="0"/>
    <n v="0"/>
    <s v=""/>
    <m/>
    <m/>
    <m/>
    <m/>
    <n v="0"/>
    <m/>
    <m/>
    <n v="0"/>
    <m/>
    <m/>
    <n v="0"/>
    <m/>
    <m/>
    <s v=""/>
    <n v="0"/>
    <m/>
    <m/>
    <n v="0"/>
    <m/>
    <n v="424427.97999999992"/>
    <s v="09"/>
    <n v="18"/>
    <s v="N"/>
  </r>
  <r>
    <x v="0"/>
    <m/>
    <x v="152"/>
    <s v="DS 5am"/>
    <m/>
    <m/>
    <m/>
    <s v=""/>
    <m/>
    <m/>
    <n v="0"/>
    <m/>
    <m/>
    <n v="0"/>
    <m/>
    <m/>
    <n v="0"/>
    <m/>
    <m/>
    <n v="0"/>
    <n v="0"/>
    <n v="0"/>
    <n v="0"/>
    <n v="0"/>
    <s v=""/>
    <m/>
    <m/>
    <m/>
    <m/>
    <n v="0"/>
    <m/>
    <m/>
    <n v="0"/>
    <m/>
    <m/>
    <n v="0"/>
    <m/>
    <m/>
    <s v=""/>
    <n v="0"/>
    <m/>
    <m/>
    <n v="0"/>
    <m/>
    <n v="424427.97999999992"/>
    <s v="09"/>
    <n v="19"/>
    <s v="D"/>
  </r>
  <r>
    <x v="0"/>
    <m/>
    <x v="153"/>
    <s v="NS 5pm"/>
    <m/>
    <m/>
    <m/>
    <s v=""/>
    <m/>
    <m/>
    <n v="0"/>
    <m/>
    <m/>
    <n v="0"/>
    <m/>
    <m/>
    <n v="0"/>
    <m/>
    <m/>
    <n v="0"/>
    <n v="0"/>
    <n v="0"/>
    <n v="0"/>
    <n v="0"/>
    <s v=""/>
    <m/>
    <m/>
    <m/>
    <m/>
    <n v="0"/>
    <m/>
    <m/>
    <n v="0"/>
    <m/>
    <m/>
    <n v="0"/>
    <m/>
    <m/>
    <s v=""/>
    <n v="0"/>
    <m/>
    <m/>
    <n v="0"/>
    <m/>
    <n v="424427.97999999992"/>
    <s v="09"/>
    <n v="19"/>
    <s v="N"/>
  </r>
  <r>
    <x v="0"/>
    <m/>
    <x v="154"/>
    <s v="DS 5am"/>
    <m/>
    <m/>
    <m/>
    <s v=""/>
    <m/>
    <m/>
    <n v="0"/>
    <m/>
    <m/>
    <n v="0"/>
    <m/>
    <m/>
    <n v="0"/>
    <m/>
    <m/>
    <n v="0"/>
    <n v="0"/>
    <n v="0"/>
    <n v="0"/>
    <n v="0"/>
    <s v=""/>
    <m/>
    <m/>
    <m/>
    <m/>
    <n v="0"/>
    <m/>
    <m/>
    <n v="0"/>
    <m/>
    <m/>
    <n v="0"/>
    <m/>
    <m/>
    <s v=""/>
    <n v="0"/>
    <m/>
    <m/>
    <n v="0"/>
    <m/>
    <n v="424427.97999999992"/>
    <s v="09"/>
    <n v="20"/>
    <s v="D"/>
  </r>
  <r>
    <x v="0"/>
    <m/>
    <x v="155"/>
    <s v="NS 5pm"/>
    <m/>
    <m/>
    <m/>
    <s v=""/>
    <m/>
    <m/>
    <n v="0"/>
    <m/>
    <m/>
    <n v="0"/>
    <m/>
    <m/>
    <n v="0"/>
    <m/>
    <m/>
    <n v="0"/>
    <n v="0"/>
    <n v="0"/>
    <n v="0"/>
    <n v="0"/>
    <s v=""/>
    <m/>
    <m/>
    <m/>
    <m/>
    <n v="0"/>
    <m/>
    <m/>
    <n v="0"/>
    <m/>
    <m/>
    <n v="0"/>
    <m/>
    <m/>
    <s v=""/>
    <n v="0"/>
    <m/>
    <m/>
    <n v="0"/>
    <m/>
    <n v="424427.97999999992"/>
    <s v="09"/>
    <n v="20"/>
    <s v="N"/>
  </r>
  <r>
    <x v="0"/>
    <m/>
    <x v="156"/>
    <s v="DS 5am"/>
    <m/>
    <m/>
    <m/>
    <s v=""/>
    <m/>
    <m/>
    <n v="0"/>
    <m/>
    <m/>
    <n v="0"/>
    <m/>
    <m/>
    <n v="0"/>
    <m/>
    <m/>
    <n v="0"/>
    <n v="0"/>
    <n v="0"/>
    <n v="0"/>
    <n v="0"/>
    <s v=""/>
    <m/>
    <m/>
    <m/>
    <m/>
    <n v="0"/>
    <m/>
    <m/>
    <n v="0"/>
    <m/>
    <m/>
    <n v="0"/>
    <m/>
    <m/>
    <s v=""/>
    <n v="0"/>
    <m/>
    <m/>
    <n v="0"/>
    <m/>
    <n v="424427.97999999992"/>
    <s v="09"/>
    <n v="21"/>
    <s v="D"/>
  </r>
  <r>
    <x v="0"/>
    <m/>
    <x v="157"/>
    <s v="NS 5pm"/>
    <m/>
    <m/>
    <m/>
    <s v=""/>
    <m/>
    <m/>
    <n v="0"/>
    <m/>
    <m/>
    <n v="0"/>
    <m/>
    <m/>
    <n v="0"/>
    <m/>
    <m/>
    <n v="0"/>
    <n v="0"/>
    <n v="0"/>
    <n v="0"/>
    <n v="0"/>
    <s v=""/>
    <m/>
    <m/>
    <m/>
    <m/>
    <n v="0"/>
    <m/>
    <m/>
    <n v="0"/>
    <m/>
    <m/>
    <n v="0"/>
    <m/>
    <m/>
    <s v=""/>
    <n v="0"/>
    <m/>
    <m/>
    <n v="0"/>
    <m/>
    <n v="424427.97999999992"/>
    <s v="09"/>
    <n v="21"/>
    <s v="N"/>
  </r>
  <r>
    <x v="0"/>
    <m/>
    <x v="158"/>
    <s v="DS 5am"/>
    <m/>
    <m/>
    <m/>
    <s v=""/>
    <m/>
    <m/>
    <n v="0"/>
    <m/>
    <m/>
    <n v="0"/>
    <m/>
    <m/>
    <n v="0"/>
    <m/>
    <m/>
    <n v="0"/>
    <n v="0"/>
    <n v="0"/>
    <n v="0"/>
    <n v="0"/>
    <s v=""/>
    <m/>
    <m/>
    <m/>
    <m/>
    <n v="0"/>
    <m/>
    <m/>
    <n v="0"/>
    <m/>
    <m/>
    <n v="0"/>
    <m/>
    <m/>
    <s v=""/>
    <n v="0"/>
    <m/>
    <m/>
    <n v="0"/>
    <m/>
    <n v="424427.97999999992"/>
    <s v="09"/>
    <n v="22"/>
    <s v="D"/>
  </r>
  <r>
    <x v="0"/>
    <m/>
    <x v="159"/>
    <s v="NS 5pm"/>
    <m/>
    <m/>
    <m/>
    <s v=""/>
    <m/>
    <m/>
    <n v="0"/>
    <m/>
    <m/>
    <n v="0"/>
    <m/>
    <m/>
    <n v="0"/>
    <m/>
    <m/>
    <n v="0"/>
    <n v="0"/>
    <n v="0"/>
    <n v="0"/>
    <n v="0"/>
    <s v=""/>
    <m/>
    <m/>
    <m/>
    <m/>
    <n v="0"/>
    <m/>
    <m/>
    <n v="0"/>
    <m/>
    <m/>
    <n v="0"/>
    <m/>
    <m/>
    <s v=""/>
    <n v="0"/>
    <m/>
    <m/>
    <n v="0"/>
    <m/>
    <n v="424427.97999999992"/>
    <s v="09"/>
    <n v="22"/>
    <s v="N"/>
  </r>
  <r>
    <x v="0"/>
    <m/>
    <x v="160"/>
    <s v="DS 5am"/>
    <m/>
    <m/>
    <m/>
    <s v=""/>
    <m/>
    <m/>
    <n v="0"/>
    <m/>
    <m/>
    <n v="0"/>
    <m/>
    <m/>
    <n v="0"/>
    <m/>
    <m/>
    <n v="0"/>
    <n v="0"/>
    <n v="0"/>
    <n v="0"/>
    <n v="0"/>
    <s v=""/>
    <m/>
    <m/>
    <m/>
    <m/>
    <n v="0"/>
    <m/>
    <m/>
    <n v="0"/>
    <m/>
    <m/>
    <n v="0"/>
    <m/>
    <m/>
    <s v=""/>
    <n v="0"/>
    <m/>
    <m/>
    <n v="0"/>
    <m/>
    <n v="424427.97999999992"/>
    <s v="09"/>
    <n v="23"/>
    <s v="D"/>
  </r>
  <r>
    <x v="0"/>
    <m/>
    <x v="161"/>
    <s v="NS 5pm"/>
    <m/>
    <m/>
    <m/>
    <s v=""/>
    <m/>
    <m/>
    <n v="0"/>
    <m/>
    <m/>
    <n v="0"/>
    <m/>
    <m/>
    <n v="0"/>
    <m/>
    <m/>
    <n v="0"/>
    <n v="0"/>
    <n v="0"/>
    <n v="0"/>
    <n v="0"/>
    <s v=""/>
    <m/>
    <m/>
    <m/>
    <m/>
    <n v="0"/>
    <m/>
    <m/>
    <n v="0"/>
    <m/>
    <m/>
    <n v="0"/>
    <m/>
    <m/>
    <s v=""/>
    <n v="0"/>
    <m/>
    <m/>
    <n v="0"/>
    <m/>
    <n v="424427.97999999992"/>
    <s v="09"/>
    <n v="23"/>
    <s v="N"/>
  </r>
  <r>
    <x v="0"/>
    <m/>
    <x v="162"/>
    <s v="DS 5am"/>
    <m/>
    <m/>
    <m/>
    <s v=""/>
    <m/>
    <m/>
    <n v="0"/>
    <m/>
    <m/>
    <n v="0"/>
    <m/>
    <m/>
    <n v="0"/>
    <m/>
    <m/>
    <n v="0"/>
    <n v="0"/>
    <n v="0"/>
    <n v="0"/>
    <n v="0"/>
    <s v=""/>
    <m/>
    <m/>
    <m/>
    <m/>
    <n v="0"/>
    <m/>
    <m/>
    <n v="0"/>
    <m/>
    <m/>
    <n v="0"/>
    <m/>
    <m/>
    <s v=""/>
    <n v="0"/>
    <m/>
    <m/>
    <n v="0"/>
    <m/>
    <n v="424427.97999999992"/>
    <s v="09"/>
    <n v="24"/>
    <s v="D"/>
  </r>
  <r>
    <x v="0"/>
    <m/>
    <x v="163"/>
    <s v="NS 5pm"/>
    <m/>
    <m/>
    <m/>
    <s v=""/>
    <m/>
    <m/>
    <n v="0"/>
    <m/>
    <m/>
    <n v="0"/>
    <m/>
    <m/>
    <n v="0"/>
    <m/>
    <m/>
    <n v="0"/>
    <n v="0"/>
    <n v="0"/>
    <n v="0"/>
    <n v="0"/>
    <s v=""/>
    <m/>
    <m/>
    <m/>
    <m/>
    <n v="0"/>
    <m/>
    <m/>
    <n v="0"/>
    <m/>
    <m/>
    <n v="0"/>
    <m/>
    <m/>
    <s v=""/>
    <n v="0"/>
    <m/>
    <m/>
    <n v="0"/>
    <m/>
    <n v="424427.97999999992"/>
    <s v="09"/>
    <n v="24"/>
    <s v="N"/>
  </r>
  <r>
    <x v="0"/>
    <m/>
    <x v="164"/>
    <s v="DS 5am"/>
    <m/>
    <m/>
    <m/>
    <s v=""/>
    <m/>
    <m/>
    <n v="0"/>
    <m/>
    <m/>
    <n v="0"/>
    <m/>
    <m/>
    <n v="0"/>
    <m/>
    <m/>
    <n v="0"/>
    <n v="0"/>
    <n v="0"/>
    <n v="0"/>
    <n v="0"/>
    <s v=""/>
    <m/>
    <m/>
    <m/>
    <m/>
    <n v="0"/>
    <m/>
    <m/>
    <n v="0"/>
    <m/>
    <m/>
    <n v="0"/>
    <m/>
    <m/>
    <s v=""/>
    <n v="0"/>
    <m/>
    <m/>
    <n v="0"/>
    <m/>
    <n v="424427.97999999992"/>
    <s v="09"/>
    <n v="25"/>
    <s v="D"/>
  </r>
  <r>
    <x v="0"/>
    <m/>
    <x v="165"/>
    <s v="NS 5pm"/>
    <m/>
    <m/>
    <m/>
    <s v=""/>
    <m/>
    <m/>
    <n v="0"/>
    <m/>
    <m/>
    <n v="0"/>
    <m/>
    <m/>
    <n v="0"/>
    <m/>
    <m/>
    <n v="0"/>
    <n v="0"/>
    <n v="0"/>
    <n v="0"/>
    <n v="0"/>
    <s v=""/>
    <m/>
    <m/>
    <m/>
    <m/>
    <n v="0"/>
    <m/>
    <m/>
    <n v="0"/>
    <m/>
    <m/>
    <n v="0"/>
    <m/>
    <m/>
    <s v=""/>
    <n v="0"/>
    <m/>
    <m/>
    <n v="0"/>
    <m/>
    <n v="424427.97999999992"/>
    <s v="09"/>
    <n v="25"/>
    <s v="N"/>
  </r>
  <r>
    <x v="0"/>
    <m/>
    <x v="166"/>
    <s v="DS 5am"/>
    <m/>
    <m/>
    <m/>
    <s v=""/>
    <m/>
    <m/>
    <n v="0"/>
    <m/>
    <m/>
    <n v="0"/>
    <m/>
    <m/>
    <n v="0"/>
    <m/>
    <m/>
    <n v="0"/>
    <n v="0"/>
    <n v="0"/>
    <n v="0"/>
    <n v="0"/>
    <s v=""/>
    <m/>
    <m/>
    <m/>
    <m/>
    <n v="0"/>
    <m/>
    <m/>
    <n v="0"/>
    <m/>
    <m/>
    <n v="0"/>
    <m/>
    <m/>
    <s v=""/>
    <n v="0"/>
    <m/>
    <m/>
    <n v="0"/>
    <m/>
    <n v="424427.97999999992"/>
    <s v="09"/>
    <n v="26"/>
    <s v="D"/>
  </r>
  <r>
    <x v="0"/>
    <m/>
    <x v="167"/>
    <s v="NS 5pm"/>
    <m/>
    <m/>
    <m/>
    <s v=""/>
    <m/>
    <m/>
    <n v="0"/>
    <m/>
    <m/>
    <n v="0"/>
    <m/>
    <m/>
    <n v="0"/>
    <m/>
    <m/>
    <n v="0"/>
    <n v="0"/>
    <n v="0"/>
    <n v="0"/>
    <n v="0"/>
    <s v=""/>
    <m/>
    <m/>
    <m/>
    <m/>
    <n v="0"/>
    <m/>
    <m/>
    <n v="0"/>
    <m/>
    <m/>
    <n v="0"/>
    <m/>
    <m/>
    <s v=""/>
    <n v="0"/>
    <m/>
    <m/>
    <n v="0"/>
    <m/>
    <n v="424427.97999999992"/>
    <s v="09"/>
    <n v="26"/>
    <s v="N"/>
  </r>
  <r>
    <x v="0"/>
    <m/>
    <x v="168"/>
    <s v="DS 5am"/>
    <m/>
    <m/>
    <m/>
    <s v=""/>
    <m/>
    <m/>
    <n v="0"/>
    <m/>
    <m/>
    <n v="0"/>
    <m/>
    <m/>
    <n v="0"/>
    <m/>
    <m/>
    <n v="0"/>
    <n v="0"/>
    <n v="0"/>
    <n v="0"/>
    <n v="0"/>
    <s v=""/>
    <m/>
    <m/>
    <m/>
    <m/>
    <n v="0"/>
    <m/>
    <m/>
    <n v="0"/>
    <m/>
    <m/>
    <n v="0"/>
    <m/>
    <m/>
    <s v=""/>
    <n v="0"/>
    <m/>
    <m/>
    <n v="0"/>
    <m/>
    <n v="424427.97999999992"/>
    <s v="09"/>
    <n v="27"/>
    <s v="D"/>
  </r>
  <r>
    <x v="0"/>
    <m/>
    <x v="169"/>
    <s v="NS 5pm"/>
    <m/>
    <m/>
    <m/>
    <s v=""/>
    <m/>
    <m/>
    <n v="0"/>
    <m/>
    <m/>
    <n v="0"/>
    <m/>
    <m/>
    <n v="0"/>
    <m/>
    <m/>
    <n v="0"/>
    <n v="0"/>
    <n v="0"/>
    <n v="0"/>
    <n v="0"/>
    <s v=""/>
    <m/>
    <m/>
    <m/>
    <m/>
    <n v="0"/>
    <m/>
    <m/>
    <n v="0"/>
    <m/>
    <m/>
    <n v="0"/>
    <m/>
    <m/>
    <s v=""/>
    <n v="0"/>
    <m/>
    <m/>
    <n v="0"/>
    <m/>
    <n v="424427.97999999992"/>
    <s v="09"/>
    <n v="27"/>
    <s v="N"/>
  </r>
  <r>
    <x v="0"/>
    <m/>
    <x v="170"/>
    <s v="DS 5am"/>
    <m/>
    <m/>
    <m/>
    <s v=""/>
    <m/>
    <m/>
    <n v="0"/>
    <m/>
    <m/>
    <n v="0"/>
    <m/>
    <m/>
    <n v="0"/>
    <m/>
    <m/>
    <n v="0"/>
    <n v="0"/>
    <n v="0"/>
    <n v="0"/>
    <n v="0"/>
    <s v=""/>
    <m/>
    <m/>
    <m/>
    <m/>
    <n v="0"/>
    <m/>
    <m/>
    <n v="0"/>
    <m/>
    <m/>
    <n v="0"/>
    <m/>
    <m/>
    <s v=""/>
    <n v="0"/>
    <m/>
    <m/>
    <n v="0"/>
    <m/>
    <n v="424427.97999999992"/>
    <s v="09"/>
    <n v="28"/>
    <s v="D"/>
  </r>
  <r>
    <x v="0"/>
    <m/>
    <x v="171"/>
    <s v="NS 5pm"/>
    <m/>
    <m/>
    <m/>
    <s v=""/>
    <m/>
    <m/>
    <n v="0"/>
    <m/>
    <m/>
    <n v="0"/>
    <m/>
    <m/>
    <n v="0"/>
    <m/>
    <m/>
    <n v="0"/>
    <n v="0"/>
    <n v="0"/>
    <n v="0"/>
    <n v="0"/>
    <s v=""/>
    <m/>
    <m/>
    <m/>
    <m/>
    <n v="0"/>
    <m/>
    <m/>
    <n v="0"/>
    <m/>
    <m/>
    <n v="0"/>
    <m/>
    <m/>
    <s v=""/>
    <n v="0"/>
    <m/>
    <m/>
    <n v="0"/>
    <m/>
    <n v="424427.97999999992"/>
    <s v="09"/>
    <n v="28"/>
    <s v="N"/>
  </r>
  <r>
    <x v="0"/>
    <m/>
    <x v="172"/>
    <s v="DS 5am"/>
    <m/>
    <m/>
    <m/>
    <s v=""/>
    <m/>
    <m/>
    <n v="0"/>
    <m/>
    <m/>
    <n v="0"/>
    <m/>
    <m/>
    <n v="0"/>
    <m/>
    <m/>
    <n v="0"/>
    <n v="0"/>
    <n v="0"/>
    <n v="0"/>
    <n v="0"/>
    <s v=""/>
    <m/>
    <m/>
    <m/>
    <m/>
    <n v="0"/>
    <m/>
    <m/>
    <n v="0"/>
    <m/>
    <m/>
    <n v="0"/>
    <m/>
    <m/>
    <s v=""/>
    <n v="0"/>
    <m/>
    <m/>
    <n v="0"/>
    <m/>
    <n v="424427.97999999992"/>
    <s v="09"/>
    <n v="29"/>
    <s v="D"/>
  </r>
  <r>
    <x v="0"/>
    <m/>
    <x v="173"/>
    <s v="NS 5pm"/>
    <m/>
    <m/>
    <m/>
    <s v=""/>
    <m/>
    <m/>
    <n v="0"/>
    <m/>
    <m/>
    <n v="0"/>
    <m/>
    <m/>
    <n v="0"/>
    <m/>
    <m/>
    <n v="0"/>
    <n v="0"/>
    <n v="0"/>
    <n v="0"/>
    <n v="0"/>
    <s v=""/>
    <m/>
    <m/>
    <m/>
    <m/>
    <n v="0"/>
    <m/>
    <m/>
    <n v="0"/>
    <m/>
    <m/>
    <n v="0"/>
    <m/>
    <m/>
    <s v=""/>
    <n v="0"/>
    <m/>
    <m/>
    <n v="0"/>
    <m/>
    <n v="424427.97999999992"/>
    <s v="09"/>
    <n v="29"/>
    <s v="N"/>
  </r>
  <r>
    <x v="0"/>
    <m/>
    <x v="174"/>
    <s v="DS 5am"/>
    <m/>
    <m/>
    <m/>
    <s v=""/>
    <m/>
    <m/>
    <n v="0"/>
    <m/>
    <m/>
    <n v="0"/>
    <m/>
    <m/>
    <n v="0"/>
    <m/>
    <m/>
    <n v="0"/>
    <n v="0"/>
    <n v="0"/>
    <n v="0"/>
    <n v="0"/>
    <s v=""/>
    <m/>
    <m/>
    <m/>
    <m/>
    <n v="0"/>
    <m/>
    <m/>
    <n v="0"/>
    <m/>
    <m/>
    <n v="0"/>
    <m/>
    <m/>
    <s v=""/>
    <n v="0"/>
    <m/>
    <m/>
    <n v="0"/>
    <m/>
    <n v="424427.97999999992"/>
    <s v="09"/>
    <n v="30"/>
    <s v="D"/>
  </r>
  <r>
    <x v="0"/>
    <m/>
    <x v="175"/>
    <s v="NS 5pm"/>
    <m/>
    <m/>
    <m/>
    <s v=""/>
    <m/>
    <m/>
    <n v="0"/>
    <m/>
    <m/>
    <n v="0"/>
    <m/>
    <m/>
    <n v="0"/>
    <m/>
    <m/>
    <n v="0"/>
    <n v="0"/>
    <n v="0"/>
    <n v="0"/>
    <n v="0"/>
    <s v=""/>
    <m/>
    <m/>
    <m/>
    <m/>
    <n v="0"/>
    <m/>
    <m/>
    <n v="0"/>
    <m/>
    <m/>
    <n v="0"/>
    <m/>
    <m/>
    <s v=""/>
    <n v="0"/>
    <m/>
    <m/>
    <n v="0"/>
    <m/>
    <n v="424427.97999999992"/>
    <s v="09"/>
    <n v="30"/>
    <s v="N"/>
  </r>
  <r>
    <x v="0"/>
    <m/>
    <x v="176"/>
    <s v="DS 5am"/>
    <m/>
    <m/>
    <m/>
    <s v=""/>
    <m/>
    <m/>
    <n v="0"/>
    <m/>
    <m/>
    <n v="0"/>
    <m/>
    <m/>
    <n v="0"/>
    <m/>
    <m/>
    <n v="0"/>
    <n v="0"/>
    <n v="0"/>
    <n v="0"/>
    <n v="0"/>
    <s v=""/>
    <m/>
    <m/>
    <m/>
    <m/>
    <n v="0"/>
    <m/>
    <m/>
    <n v="0"/>
    <m/>
    <m/>
    <n v="0"/>
    <m/>
    <m/>
    <s v=""/>
    <n v="0"/>
    <m/>
    <m/>
    <n v="0"/>
    <m/>
    <n v="424427.97999999992"/>
    <s v="010"/>
    <n v="1"/>
    <s v="D"/>
  </r>
  <r>
    <x v="0"/>
    <m/>
    <x v="177"/>
    <s v="NS 5pm"/>
    <m/>
    <m/>
    <m/>
    <s v=""/>
    <m/>
    <m/>
    <n v="0"/>
    <m/>
    <m/>
    <n v="0"/>
    <m/>
    <m/>
    <n v="0"/>
    <m/>
    <m/>
    <n v="0"/>
    <n v="0"/>
    <n v="0"/>
    <n v="0"/>
    <n v="0"/>
    <s v=""/>
    <m/>
    <m/>
    <m/>
    <m/>
    <n v="0"/>
    <m/>
    <m/>
    <n v="0"/>
    <m/>
    <m/>
    <n v="0"/>
    <m/>
    <m/>
    <s v=""/>
    <n v="0"/>
    <m/>
    <m/>
    <n v="0"/>
    <m/>
    <n v="424427.97999999992"/>
    <s v="010"/>
    <n v="1"/>
    <s v="N"/>
  </r>
  <r>
    <x v="0"/>
    <m/>
    <x v="178"/>
    <s v="DS 5am"/>
    <m/>
    <m/>
    <m/>
    <s v=""/>
    <m/>
    <m/>
    <n v="0"/>
    <m/>
    <m/>
    <n v="0"/>
    <m/>
    <m/>
    <n v="0"/>
    <m/>
    <m/>
    <n v="0"/>
    <n v="0"/>
    <n v="0"/>
    <n v="0"/>
    <n v="0"/>
    <s v=""/>
    <m/>
    <m/>
    <m/>
    <m/>
    <n v="0"/>
    <m/>
    <m/>
    <n v="0"/>
    <m/>
    <m/>
    <n v="0"/>
    <m/>
    <m/>
    <s v=""/>
    <n v="0"/>
    <m/>
    <m/>
    <n v="0"/>
    <m/>
    <n v="424427.97999999992"/>
    <s v="010"/>
    <n v="2"/>
    <s v="D"/>
  </r>
  <r>
    <x v="0"/>
    <m/>
    <x v="179"/>
    <s v="NS 5pm"/>
    <m/>
    <m/>
    <m/>
    <s v=""/>
    <m/>
    <m/>
    <n v="0"/>
    <m/>
    <m/>
    <n v="0"/>
    <m/>
    <m/>
    <n v="0"/>
    <m/>
    <m/>
    <n v="0"/>
    <n v="0"/>
    <n v="0"/>
    <n v="0"/>
    <n v="0"/>
    <s v=""/>
    <m/>
    <m/>
    <m/>
    <m/>
    <n v="0"/>
    <m/>
    <m/>
    <n v="0"/>
    <m/>
    <m/>
    <n v="0"/>
    <m/>
    <m/>
    <s v=""/>
    <n v="0"/>
    <m/>
    <m/>
    <n v="0"/>
    <m/>
    <n v="424427.97999999992"/>
    <s v="010"/>
    <n v="2"/>
    <s v="N"/>
  </r>
  <r>
    <x v="0"/>
    <m/>
    <x v="180"/>
    <s v="DS 5am"/>
    <m/>
    <m/>
    <m/>
    <s v=""/>
    <m/>
    <m/>
    <n v="0"/>
    <m/>
    <m/>
    <n v="0"/>
    <m/>
    <m/>
    <n v="0"/>
    <m/>
    <m/>
    <n v="0"/>
    <n v="0"/>
    <n v="0"/>
    <n v="0"/>
    <n v="0"/>
    <s v=""/>
    <m/>
    <m/>
    <m/>
    <m/>
    <n v="0"/>
    <m/>
    <m/>
    <n v="0"/>
    <m/>
    <m/>
    <n v="0"/>
    <m/>
    <m/>
    <s v=""/>
    <n v="0"/>
    <m/>
    <m/>
    <n v="0"/>
    <m/>
    <n v="424427.97999999992"/>
    <s v="010"/>
    <n v="3"/>
    <s v="D"/>
  </r>
  <r>
    <x v="0"/>
    <m/>
    <x v="181"/>
    <s v="NS 5pm"/>
    <m/>
    <m/>
    <m/>
    <s v=""/>
    <m/>
    <m/>
    <n v="0"/>
    <m/>
    <m/>
    <n v="0"/>
    <m/>
    <m/>
    <n v="0"/>
    <m/>
    <m/>
    <n v="0"/>
    <n v="0"/>
    <n v="0"/>
    <n v="0"/>
    <n v="0"/>
    <s v=""/>
    <m/>
    <m/>
    <m/>
    <m/>
    <n v="0"/>
    <m/>
    <m/>
    <n v="0"/>
    <m/>
    <m/>
    <n v="0"/>
    <m/>
    <m/>
    <s v=""/>
    <n v="0"/>
    <m/>
    <m/>
    <n v="0"/>
    <m/>
    <n v="424427.97999999992"/>
    <s v="010"/>
    <n v="3"/>
    <s v="N"/>
  </r>
  <r>
    <x v="0"/>
    <m/>
    <x v="182"/>
    <s v="DS 5am"/>
    <m/>
    <m/>
    <m/>
    <s v=""/>
    <m/>
    <m/>
    <n v="0"/>
    <m/>
    <m/>
    <n v="0"/>
    <m/>
    <m/>
    <n v="0"/>
    <m/>
    <m/>
    <n v="0"/>
    <n v="0"/>
    <n v="0"/>
    <n v="0"/>
    <n v="0"/>
    <s v=""/>
    <m/>
    <m/>
    <m/>
    <m/>
    <n v="0"/>
    <m/>
    <m/>
    <n v="0"/>
    <m/>
    <m/>
    <n v="0"/>
    <m/>
    <m/>
    <s v=""/>
    <n v="0"/>
    <m/>
    <m/>
    <n v="0"/>
    <m/>
    <n v="424427.97999999992"/>
    <s v="010"/>
    <n v="4"/>
    <s v="D"/>
  </r>
  <r>
    <x v="0"/>
    <m/>
    <x v="183"/>
    <s v="NS 5pm"/>
    <m/>
    <m/>
    <m/>
    <s v=""/>
    <m/>
    <m/>
    <n v="0"/>
    <m/>
    <m/>
    <n v="0"/>
    <m/>
    <m/>
    <n v="0"/>
    <m/>
    <m/>
    <n v="0"/>
    <n v="0"/>
    <n v="0"/>
    <n v="0"/>
    <n v="0"/>
    <s v=""/>
    <m/>
    <m/>
    <m/>
    <m/>
    <n v="0"/>
    <m/>
    <m/>
    <n v="0"/>
    <m/>
    <m/>
    <n v="0"/>
    <m/>
    <m/>
    <s v=""/>
    <n v="0"/>
    <m/>
    <m/>
    <n v="0"/>
    <m/>
    <n v="424427.97999999992"/>
    <s v="010"/>
    <n v="4"/>
    <s v="N"/>
  </r>
  <r>
    <x v="0"/>
    <m/>
    <x v="184"/>
    <s v="DS 5am"/>
    <m/>
    <m/>
    <m/>
    <s v=""/>
    <m/>
    <m/>
    <n v="0"/>
    <m/>
    <m/>
    <n v="0"/>
    <m/>
    <m/>
    <n v="0"/>
    <m/>
    <m/>
    <n v="0"/>
    <n v="0"/>
    <n v="0"/>
    <n v="0"/>
    <n v="0"/>
    <s v=""/>
    <m/>
    <m/>
    <m/>
    <m/>
    <n v="0"/>
    <m/>
    <m/>
    <n v="0"/>
    <m/>
    <m/>
    <n v="0"/>
    <m/>
    <m/>
    <s v=""/>
    <n v="0"/>
    <m/>
    <m/>
    <n v="0"/>
    <m/>
    <n v="424427.97999999992"/>
    <s v="010"/>
    <n v="5"/>
    <s v="D"/>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
  <r>
    <x v="0"/>
    <n v="1"/>
    <n v="2"/>
    <n v="3"/>
    <n v="4"/>
    <n v="5"/>
    <n v="6"/>
    <n v="7"/>
    <n v="8"/>
    <n v="9"/>
    <x v="0"/>
    <n v="11"/>
    <n v="12"/>
    <n v="13"/>
    <n v="14"/>
    <n v="15"/>
    <n v="16"/>
    <n v="17"/>
    <n v="18"/>
    <n v="19"/>
    <m/>
    <n v="20"/>
    <n v="21"/>
    <m/>
    <n v="22"/>
    <n v="23"/>
    <n v="24"/>
    <m/>
    <n v="25"/>
    <n v="26"/>
    <n v="27"/>
    <n v="28"/>
    <n v="29"/>
    <n v="30"/>
    <n v="31"/>
    <n v="32"/>
    <m/>
    <n v="33"/>
    <n v="34"/>
    <n v="35"/>
    <m/>
    <n v="36"/>
    <x v="0"/>
  </r>
  <r>
    <x v="1"/>
    <d v="2025-07-05T05:02:24"/>
    <s v="DS 5am"/>
    <m/>
    <m/>
    <m/>
    <m/>
    <s v=""/>
    <m/>
    <m/>
    <x v="1"/>
    <m/>
    <m/>
    <n v="0"/>
    <m/>
    <m/>
    <n v="0"/>
    <m/>
    <m/>
    <n v="0"/>
    <s v=""/>
    <s v=""/>
    <s v=""/>
    <m/>
    <n v="1"/>
    <n v="1"/>
    <m/>
    <m/>
    <n v="0"/>
    <n v="0"/>
    <m/>
    <n v="3.5"/>
    <m/>
    <s v="Unpacking rig after mobilisation"/>
    <n v="8.5"/>
    <m/>
    <m/>
    <n v="12"/>
    <m/>
    <n v="1260"/>
    <m/>
    <m/>
    <x v="1"/>
  </r>
  <r>
    <x v="1"/>
    <d v="2025-07-05T00:00:00"/>
    <s v="NS 5pm"/>
    <m/>
    <m/>
    <m/>
    <m/>
    <s v=""/>
    <m/>
    <m/>
    <x v="1"/>
    <m/>
    <m/>
    <n v="0"/>
    <m/>
    <m/>
    <n v="0"/>
    <m/>
    <m/>
    <n v="0"/>
    <s v=""/>
    <s v=""/>
    <s v=""/>
    <m/>
    <m/>
    <m/>
    <m/>
    <m/>
    <n v="0"/>
    <n v="0"/>
    <m/>
    <n v="3.5"/>
    <m/>
    <s v="Unpacking rig after mobilisation"/>
    <n v="7.5"/>
    <m/>
    <m/>
    <n v="11"/>
    <m/>
    <n v="1260"/>
    <m/>
    <m/>
    <x v="1"/>
  </r>
  <r>
    <x v="1"/>
    <d v="2025-07-06T05:02:24"/>
    <s v="DS 5am"/>
    <m/>
    <m/>
    <m/>
    <m/>
    <s v=""/>
    <m/>
    <m/>
    <x v="1"/>
    <m/>
    <m/>
    <n v="0"/>
    <m/>
    <m/>
    <n v="0"/>
    <m/>
    <m/>
    <n v="0"/>
    <s v=""/>
    <s v=""/>
    <s v=""/>
    <m/>
    <n v="1"/>
    <n v="1"/>
    <m/>
    <m/>
    <n v="0"/>
    <n v="0"/>
    <m/>
    <n v="3.5"/>
    <m/>
    <s v="Unpacking rig after mobilisation"/>
    <n v="8.5"/>
    <m/>
    <m/>
    <n v="12"/>
    <m/>
    <n v="1260"/>
    <m/>
    <m/>
    <x v="1"/>
  </r>
  <r>
    <x v="1"/>
    <d v="2025-07-06T17:02:24"/>
    <s v="NS 5pm"/>
    <m/>
    <m/>
    <m/>
    <m/>
    <s v=""/>
    <m/>
    <m/>
    <x v="1"/>
    <m/>
    <m/>
    <n v="0"/>
    <m/>
    <m/>
    <n v="0"/>
    <m/>
    <m/>
    <n v="0"/>
    <s v=""/>
    <s v=""/>
    <s v=""/>
    <m/>
    <m/>
    <m/>
    <m/>
    <m/>
    <m/>
    <m/>
    <m/>
    <m/>
    <m/>
    <m/>
    <m/>
    <m/>
    <m/>
    <s v=""/>
    <m/>
    <n v="0"/>
    <m/>
    <m/>
    <x v="2"/>
  </r>
  <r>
    <x v="2"/>
    <d v="2025-07-07T05:02:24"/>
    <s v="DS 5am"/>
    <s v="SF25_DMET023"/>
    <m/>
    <s v="Melville, Dean"/>
    <n v="6"/>
    <n v="780"/>
    <n v="0"/>
    <n v="0"/>
    <x v="2"/>
    <m/>
    <m/>
    <n v="0"/>
    <m/>
    <m/>
    <n v="0"/>
    <m/>
    <m/>
    <n v="0"/>
    <n v="0"/>
    <n v="0"/>
    <n v="0"/>
    <m/>
    <n v="1"/>
    <n v="1"/>
    <n v="13170"/>
    <n v="575"/>
    <n v="0"/>
    <n v="8.25"/>
    <m/>
    <n v="2"/>
    <m/>
    <m/>
    <n v="1.75"/>
    <m/>
    <m/>
    <n v="12"/>
    <m/>
    <n v="4515"/>
    <m/>
    <n v="761"/>
    <x v="3"/>
  </r>
  <r>
    <x v="3"/>
    <d v="2025-07-07T17:02:24"/>
    <s v="NS 5pm"/>
    <m/>
    <m/>
    <m/>
    <m/>
    <s v=""/>
    <m/>
    <m/>
    <x v="1"/>
    <m/>
    <m/>
    <n v="0"/>
    <m/>
    <m/>
    <n v="0"/>
    <m/>
    <m/>
    <n v="0"/>
    <s v=""/>
    <s v=""/>
    <s v=""/>
    <m/>
    <m/>
    <m/>
    <m/>
    <n v="0"/>
    <m/>
    <m/>
    <m/>
    <m/>
    <m/>
    <m/>
    <m/>
    <m/>
    <m/>
    <s v=""/>
    <m/>
    <n v="0"/>
    <m/>
    <m/>
    <x v="2"/>
  </r>
  <r>
    <x v="2"/>
    <d v="2025-07-08T05:02:24"/>
    <s v="DS 5am"/>
    <s v="SF25_DMET023"/>
    <m/>
    <s v="Melville, Dean"/>
    <n v="3"/>
    <n v="390"/>
    <n v="0"/>
    <n v="11"/>
    <x v="3"/>
    <m/>
    <m/>
    <n v="0"/>
    <m/>
    <m/>
    <n v="0"/>
    <m/>
    <m/>
    <n v="0"/>
    <n v="11"/>
    <n v="1925"/>
    <n v="1955"/>
    <m/>
    <n v="1"/>
    <n v="1"/>
    <n v="13170"/>
    <n v="575"/>
    <n v="4.25"/>
    <n v="7"/>
    <m/>
    <n v="0.75"/>
    <m/>
    <m/>
    <m/>
    <m/>
    <m/>
    <n v="12"/>
    <m/>
    <n v="3490"/>
    <m/>
    <n v="686.33999999999992"/>
    <x v="4"/>
  </r>
  <r>
    <x v="2"/>
    <d v="2025-07-08T17:02:24"/>
    <s v="NS 5pm"/>
    <s v="SF25_DMET023"/>
    <m/>
    <s v="Zeke Shackelton"/>
    <n v="3"/>
    <n v="390"/>
    <n v="11"/>
    <n v="26.6"/>
    <x v="4"/>
    <m/>
    <m/>
    <n v="0"/>
    <m/>
    <m/>
    <n v="0"/>
    <m/>
    <m/>
    <n v="0"/>
    <n v="15.600000000000001"/>
    <n v="2730.0000000000005"/>
    <n v="3335"/>
    <m/>
    <m/>
    <m/>
    <m/>
    <n v="0"/>
    <n v="7.25"/>
    <n v="1.5"/>
    <m/>
    <n v="0.25"/>
    <m/>
    <m/>
    <n v="3"/>
    <m/>
    <m/>
    <n v="12"/>
    <m/>
    <n v="780"/>
    <m/>
    <n v="117.93"/>
    <x v="5"/>
  </r>
  <r>
    <x v="2"/>
    <d v="2025-07-09T05:02:24"/>
    <s v="DS 5am"/>
    <s v="SF25_DMET023"/>
    <m/>
    <s v="Matthew Sing"/>
    <n v="3"/>
    <n v="390"/>
    <n v="26.6"/>
    <n v="33.700000000000003"/>
    <x v="5"/>
    <m/>
    <m/>
    <n v="0"/>
    <m/>
    <m/>
    <n v="0"/>
    <m/>
    <m/>
    <n v="0"/>
    <n v="7.1000000000000014"/>
    <n v="1242.5000000000002"/>
    <n v="1380"/>
    <m/>
    <n v="1"/>
    <n v="1"/>
    <n v="13170"/>
    <n v="575"/>
    <n v="3"/>
    <n v="0.25"/>
    <m/>
    <n v="0.25"/>
    <m/>
    <m/>
    <n v="8.5"/>
    <m/>
    <m/>
    <n v="12"/>
    <m/>
    <n v="205"/>
    <m/>
    <n v="0"/>
    <x v="6"/>
  </r>
  <r>
    <x v="2"/>
    <d v="2025-07-09T17:02:24"/>
    <s v="NS 5pm"/>
    <s v="SF25_DMET023"/>
    <m/>
    <s v="Ben Payton"/>
    <n v="3"/>
    <n v="390"/>
    <n v="33.700000000000003"/>
    <n v="63.7"/>
    <x v="6"/>
    <m/>
    <m/>
    <n v="0"/>
    <m/>
    <m/>
    <n v="0"/>
    <m/>
    <m/>
    <n v="0"/>
    <n v="30"/>
    <n v="5250"/>
    <n v="5250"/>
    <m/>
    <m/>
    <m/>
    <m/>
    <n v="0"/>
    <n v="10.75"/>
    <n v="0.75"/>
    <m/>
    <n v="0.5"/>
    <m/>
    <m/>
    <m/>
    <m/>
    <m/>
    <n v="12"/>
    <m/>
    <n v="525"/>
    <m/>
    <n v="117.93"/>
    <x v="7"/>
  </r>
  <r>
    <x v="2"/>
    <d v="2025-07-10T05:02:24"/>
    <s v="DS 5am"/>
    <s v="SF25_DMET023"/>
    <m/>
    <s v="Matthew Sing"/>
    <n v="3"/>
    <n v="390"/>
    <n v="63.7"/>
    <n v="84.1"/>
    <x v="7"/>
    <m/>
    <m/>
    <n v="0"/>
    <m/>
    <m/>
    <n v="0"/>
    <m/>
    <m/>
    <n v="0"/>
    <n v="20.399999999999991"/>
    <n v="3569.9999999999986"/>
    <n v="5060"/>
    <m/>
    <n v="1"/>
    <n v="1"/>
    <n v="13170"/>
    <n v="575"/>
    <n v="11"/>
    <n v="0.5"/>
    <m/>
    <n v="0.5"/>
    <m/>
    <m/>
    <m/>
    <m/>
    <m/>
    <n v="12"/>
    <m/>
    <n v="410"/>
    <m/>
    <n v="427.99"/>
    <x v="8"/>
  </r>
  <r>
    <x v="2"/>
    <d v="2025-07-10T17:02:24"/>
    <s v="NS 5pm"/>
    <s v="SF25_DMET023"/>
    <m/>
    <s v="Ben Payton"/>
    <n v="3"/>
    <n v="390"/>
    <n v="84.1"/>
    <n v="99.7"/>
    <x v="8"/>
    <m/>
    <m/>
    <n v="0"/>
    <m/>
    <m/>
    <n v="0"/>
    <m/>
    <m/>
    <n v="0"/>
    <n v="15.600000000000009"/>
    <n v="2730.0000000000014"/>
    <n v="3105"/>
    <m/>
    <m/>
    <m/>
    <m/>
    <n v="0"/>
    <n v="6.75"/>
    <n v="4.75"/>
    <s v="Change bit - dropped PVC casing down hole."/>
    <n v="0.5"/>
    <m/>
    <m/>
    <m/>
    <m/>
    <m/>
    <n v="12"/>
    <m/>
    <n v="2365"/>
    <m/>
    <n v="776.68000000000006"/>
    <x v="9"/>
  </r>
  <r>
    <x v="2"/>
    <d v="2025-07-11T05:02:24"/>
    <s v="DS 5am"/>
    <s v="SF25_DMET023"/>
    <m/>
    <s v="Matthew Sing"/>
    <n v="3"/>
    <n v="390"/>
    <n v="99.7"/>
    <n v="118.7"/>
    <x v="9"/>
    <m/>
    <m/>
    <n v="0"/>
    <m/>
    <m/>
    <n v="0"/>
    <m/>
    <m/>
    <n v="0"/>
    <n v="19"/>
    <n v="3325"/>
    <n v="3910"/>
    <m/>
    <n v="1"/>
    <n v="1"/>
    <n v="13170"/>
    <n v="575"/>
    <n v="8.5"/>
    <n v="3"/>
    <s v="Move hole "/>
    <n v="0.5"/>
    <m/>
    <m/>
    <m/>
    <m/>
    <m/>
    <n v="12"/>
    <m/>
    <n v="1560"/>
    <m/>
    <m/>
    <x v="10"/>
  </r>
  <r>
    <x v="2"/>
    <d v="2025-07-11T17:02:24"/>
    <s v="NS 5pm"/>
    <s v="SF25_DMET022"/>
    <m/>
    <s v="Ben Payton"/>
    <n v="3"/>
    <n v="390"/>
    <n v="0"/>
    <n v="16.5"/>
    <x v="10"/>
    <m/>
    <m/>
    <n v="0"/>
    <m/>
    <m/>
    <n v="0"/>
    <m/>
    <m/>
    <n v="0"/>
    <n v="16.5"/>
    <n v="2887.5"/>
    <n v="3335"/>
    <m/>
    <m/>
    <m/>
    <m/>
    <n v="0"/>
    <n v="7.25"/>
    <n v="4.25"/>
    <s v="Setting up pad"/>
    <n v="0.5"/>
    <m/>
    <m/>
    <m/>
    <m/>
    <m/>
    <n v="12"/>
    <m/>
    <n v="2135"/>
    <m/>
    <n v="396.12"/>
    <x v="11"/>
  </r>
  <r>
    <x v="2"/>
    <d v="2025-07-12T05:02:24"/>
    <s v="DS 5am"/>
    <s v="SF25_DMET022"/>
    <m/>
    <s v="Matthew Sing"/>
    <n v="3"/>
    <n v="390"/>
    <n v="16.5"/>
    <n v="39.4"/>
    <x v="11"/>
    <m/>
    <m/>
    <n v="0"/>
    <m/>
    <m/>
    <n v="0"/>
    <m/>
    <m/>
    <n v="0"/>
    <n v="22.9"/>
    <n v="4007.4999999999995"/>
    <n v="4945"/>
    <m/>
    <n v="1"/>
    <n v="1"/>
    <n v="13170"/>
    <n v="575"/>
    <n v="10.75"/>
    <n v="0.25"/>
    <m/>
    <n v="0.5"/>
    <m/>
    <m/>
    <n v="0.5"/>
    <m/>
    <m/>
    <n v="12"/>
    <m/>
    <n v="295"/>
    <m/>
    <n v="151.79"/>
    <x v="12"/>
  </r>
  <r>
    <x v="2"/>
    <d v="2025-07-12T17:02:24"/>
    <s v="NS 5pm"/>
    <s v="SF25_DMET022"/>
    <m/>
    <s v="Ben Payton"/>
    <n v="3"/>
    <n v="390"/>
    <n v="39.4"/>
    <n v="60.6"/>
    <x v="12"/>
    <m/>
    <m/>
    <n v="0"/>
    <m/>
    <m/>
    <n v="0"/>
    <m/>
    <m/>
    <n v="0"/>
    <n v="21.200000000000003"/>
    <n v="3710.0000000000005"/>
    <n v="3910"/>
    <m/>
    <m/>
    <m/>
    <m/>
    <n v="0"/>
    <n v="8.5"/>
    <n v="2.5"/>
    <m/>
    <n v="0.5"/>
    <m/>
    <m/>
    <n v="0.5"/>
    <m/>
    <m/>
    <n v="12"/>
    <m/>
    <n v="1330"/>
    <m/>
    <n v="117.93"/>
    <x v="13"/>
  </r>
  <r>
    <x v="2"/>
    <d v="2025-07-13T05:02:24"/>
    <s v="DS 5am"/>
    <s v="SF25_DMET022"/>
    <m/>
    <s v="Matthew Sing"/>
    <n v="3"/>
    <n v="390"/>
    <n v="60.6"/>
    <n v="73.8"/>
    <x v="13"/>
    <m/>
    <m/>
    <n v="0"/>
    <m/>
    <m/>
    <n v="0"/>
    <m/>
    <m/>
    <n v="0"/>
    <n v="13.199999999999996"/>
    <n v="2309.9999999999991"/>
    <n v="4025"/>
    <m/>
    <n v="1"/>
    <n v="1"/>
    <n v="13170"/>
    <n v="575"/>
    <n v="8.75"/>
    <n v="2.75"/>
    <m/>
    <n v="0.5"/>
    <m/>
    <m/>
    <m/>
    <m/>
    <m/>
    <n v="12"/>
    <m/>
    <n v="1445"/>
    <m/>
    <n v="53.23"/>
    <x v="14"/>
  </r>
  <r>
    <x v="2"/>
    <d v="2025-07-13T17:02:24"/>
    <s v="NS 5pm"/>
    <s v="SF25_DMET022"/>
    <m/>
    <s v="Ben Payton"/>
    <n v="3"/>
    <n v="390"/>
    <n v="73.8"/>
    <n v="101.1"/>
    <x v="14"/>
    <m/>
    <m/>
    <n v="0"/>
    <m/>
    <m/>
    <n v="0"/>
    <m/>
    <m/>
    <n v="0"/>
    <n v="27.299999999999997"/>
    <n v="4777.4999999999991"/>
    <n v="5060"/>
    <m/>
    <m/>
    <m/>
    <m/>
    <n v="0"/>
    <n v="11"/>
    <n v="0.5"/>
    <m/>
    <n v="0.5"/>
    <m/>
    <m/>
    <m/>
    <m/>
    <m/>
    <n v="12"/>
    <m/>
    <n v="410"/>
    <m/>
    <n v="117.93"/>
    <x v="15"/>
  </r>
  <r>
    <x v="2"/>
    <d v="2025-07-14T05:02:24"/>
    <s v="DS 5am"/>
    <s v="SF25_DMET022"/>
    <m/>
    <s v="Matthew Sing"/>
    <n v="3"/>
    <n v="390"/>
    <n v="101.1"/>
    <n v="120.7"/>
    <x v="15"/>
    <m/>
    <m/>
    <n v="0"/>
    <m/>
    <m/>
    <n v="0"/>
    <m/>
    <m/>
    <n v="0"/>
    <n v="19.600000000000009"/>
    <n v="3430.0000000000014"/>
    <n v="3680"/>
    <m/>
    <n v="1"/>
    <n v="1"/>
    <n v="13170"/>
    <n v="575"/>
    <n v="8"/>
    <n v="3.5"/>
    <s v="rig move"/>
    <n v="0.5"/>
    <m/>
    <m/>
    <m/>
    <m/>
    <m/>
    <n v="12"/>
    <m/>
    <n v="1790"/>
    <m/>
    <m/>
    <x v="10"/>
  </r>
  <r>
    <x v="2"/>
    <d v="2025-07-14T17:02:24"/>
    <s v="NS 5pm"/>
    <s v="SF25_DMET021"/>
    <m/>
    <s v="Ben Payton"/>
    <n v="3"/>
    <n v="390"/>
    <n v="0"/>
    <n v="20.5"/>
    <x v="16"/>
    <m/>
    <m/>
    <n v="0"/>
    <m/>
    <m/>
    <n v="0"/>
    <m/>
    <m/>
    <n v="0"/>
    <n v="20.5"/>
    <n v="3587.5"/>
    <n v="3795"/>
    <m/>
    <m/>
    <m/>
    <m/>
    <n v="0"/>
    <n v="8.25"/>
    <n v="3.25"/>
    <m/>
    <n v="0.5"/>
    <m/>
    <m/>
    <m/>
    <m/>
    <m/>
    <n v="12"/>
    <m/>
    <n v="1675"/>
    <m/>
    <n v="235.86"/>
    <x v="16"/>
  </r>
  <r>
    <x v="2"/>
    <d v="2025-07-15T05:02:24"/>
    <s v="DS 5am"/>
    <s v="SF25_DMET021"/>
    <m/>
    <s v="Matthew Sing"/>
    <n v="3"/>
    <n v="390"/>
    <n v="20.5"/>
    <n v="50.5"/>
    <x v="6"/>
    <m/>
    <m/>
    <n v="0"/>
    <m/>
    <m/>
    <n v="0"/>
    <m/>
    <m/>
    <n v="0"/>
    <n v="30"/>
    <n v="5250"/>
    <n v="5250"/>
    <m/>
    <n v="1"/>
    <n v="1"/>
    <n v="13170"/>
    <n v="575"/>
    <n v="10.5"/>
    <n v="1"/>
    <m/>
    <n v="0.5"/>
    <m/>
    <m/>
    <m/>
    <m/>
    <m/>
    <n v="12"/>
    <m/>
    <n v="640"/>
    <m/>
    <n v="879.56"/>
    <x v="17"/>
  </r>
  <r>
    <x v="2"/>
    <d v="2025-07-15T17:02:24"/>
    <s v="NS 5pm"/>
    <s v="SF25_DMET021"/>
    <m/>
    <s v="Ben Payton"/>
    <n v="3"/>
    <n v="390"/>
    <n v="50.5"/>
    <n v="80.599999999999994"/>
    <x v="17"/>
    <m/>
    <m/>
    <n v="0"/>
    <m/>
    <m/>
    <n v="0"/>
    <m/>
    <m/>
    <n v="0"/>
    <n v="30.099999999999994"/>
    <n v="5267.4999999999991"/>
    <n v="5267.4999999999991"/>
    <m/>
    <m/>
    <m/>
    <m/>
    <n v="0"/>
    <n v="10.25"/>
    <n v="1.25"/>
    <m/>
    <n v="0.5"/>
    <m/>
    <m/>
    <m/>
    <m/>
    <m/>
    <n v="12"/>
    <m/>
    <n v="755"/>
    <m/>
    <n v="236.49"/>
    <x v="18"/>
  </r>
  <r>
    <x v="2"/>
    <d v="2025-07-16T05:02:24"/>
    <s v="DS 5am"/>
    <s v="SF25_DMET021"/>
    <s v="SF25_DMET020"/>
    <s v="Matthew Sing"/>
    <n v="3"/>
    <n v="390"/>
    <n v="80.599999999999994"/>
    <n v="90.6"/>
    <x v="0"/>
    <m/>
    <m/>
    <n v="0"/>
    <n v="0"/>
    <n v="9"/>
    <n v="9"/>
    <m/>
    <m/>
    <n v="0"/>
    <n v="19"/>
    <n v="3325"/>
    <n v="3325"/>
    <m/>
    <n v="1"/>
    <n v="1"/>
    <n v="13170"/>
    <n v="575"/>
    <n v="6.5"/>
    <n v="4.5"/>
    <m/>
    <n v="1"/>
    <m/>
    <m/>
    <m/>
    <m/>
    <m/>
    <n v="12"/>
    <m/>
    <n v="2430"/>
    <m/>
    <m/>
    <x v="19"/>
  </r>
  <r>
    <x v="2"/>
    <d v="2025-07-16T17:02:24"/>
    <s v="NS 5pm"/>
    <s v="SF25_DMET020"/>
    <m/>
    <s v="Ben Payton"/>
    <n v="3"/>
    <n v="390"/>
    <n v="9"/>
    <n v="30.8"/>
    <x v="18"/>
    <m/>
    <m/>
    <n v="0"/>
    <m/>
    <m/>
    <n v="0"/>
    <m/>
    <m/>
    <n v="0"/>
    <n v="21.8"/>
    <n v="3815"/>
    <n v="4025"/>
    <m/>
    <m/>
    <m/>
    <m/>
    <n v="0"/>
    <n v="8.75"/>
    <n v="2.75"/>
    <m/>
    <n v="0.5"/>
    <m/>
    <m/>
    <m/>
    <m/>
    <m/>
    <n v="12"/>
    <m/>
    <n v="1445"/>
    <m/>
    <n v="396.12"/>
    <x v="11"/>
  </r>
  <r>
    <x v="2"/>
    <d v="2025-07-17T05:02:24"/>
    <s v="DS 5am"/>
    <s v="SF25_DMET020"/>
    <m/>
    <s v="Matthew Sing"/>
    <n v="3"/>
    <n v="390"/>
    <n v="30.8"/>
    <n v="57"/>
    <x v="19"/>
    <m/>
    <m/>
    <n v="0"/>
    <m/>
    <m/>
    <n v="0"/>
    <m/>
    <m/>
    <n v="0"/>
    <n v="26.2"/>
    <n v="4585"/>
    <n v="4715"/>
    <m/>
    <n v="1"/>
    <n v="1"/>
    <n v="13170"/>
    <n v="575"/>
    <n v="10.25"/>
    <n v="1.25"/>
    <m/>
    <n v="0.5"/>
    <m/>
    <m/>
    <m/>
    <m/>
    <m/>
    <n v="12"/>
    <m/>
    <n v="755"/>
    <m/>
    <m/>
    <x v="10"/>
  </r>
  <r>
    <x v="2"/>
    <d v="2025-07-17T17:02:24"/>
    <s v="NS 5pm"/>
    <s v="SF25_DMET020"/>
    <m/>
    <s v="Ben Payton"/>
    <n v="3"/>
    <n v="390"/>
    <n v="57"/>
    <n v="84.7"/>
    <x v="20"/>
    <m/>
    <m/>
    <n v="0"/>
    <m/>
    <m/>
    <n v="0"/>
    <m/>
    <m/>
    <n v="0"/>
    <n v="27.700000000000003"/>
    <n v="4847.5000000000009"/>
    <n v="4847.5000000000009"/>
    <m/>
    <m/>
    <m/>
    <m/>
    <n v="0"/>
    <n v="10"/>
    <n v="1.5"/>
    <m/>
    <n v="0.5"/>
    <m/>
    <m/>
    <m/>
    <m/>
    <m/>
    <n v="12"/>
    <m/>
    <n v="870"/>
    <m/>
    <n v="117.93"/>
    <x v="20"/>
  </r>
  <r>
    <x v="2"/>
    <d v="2025-07-18T05:02:24"/>
    <s v="DS 5am"/>
    <s v="SF25_DMET020"/>
    <m/>
    <s v="Matthew Sing"/>
    <n v="3"/>
    <n v="390"/>
    <n v="84.7"/>
    <n v="90.7"/>
    <x v="21"/>
    <m/>
    <m/>
    <n v="0"/>
    <m/>
    <m/>
    <n v="0"/>
    <m/>
    <m/>
    <n v="0"/>
    <n v="6"/>
    <n v="1050"/>
    <n v="1610"/>
    <m/>
    <n v="1"/>
    <n v="1"/>
    <n v="13170"/>
    <n v="575"/>
    <n v="3.5"/>
    <n v="7.5"/>
    <s v="rig move"/>
    <n v="1"/>
    <m/>
    <m/>
    <m/>
    <m/>
    <m/>
    <n v="12"/>
    <m/>
    <n v="3810"/>
    <m/>
    <m/>
    <x v="21"/>
  </r>
  <r>
    <x v="2"/>
    <d v="2025-07-18T17:02:24"/>
    <s v="NS 5pm"/>
    <s v="SF25_DMET010"/>
    <m/>
    <s v="Ben Payton"/>
    <n v="3"/>
    <n v="390"/>
    <n v="0"/>
    <n v="14.9"/>
    <x v="22"/>
    <m/>
    <m/>
    <n v="0"/>
    <m/>
    <m/>
    <n v="0"/>
    <m/>
    <m/>
    <n v="0"/>
    <n v="14.9"/>
    <n v="2607.5"/>
    <n v="2607.5"/>
    <m/>
    <m/>
    <m/>
    <m/>
    <n v="0"/>
    <n v="5.25"/>
    <n v="3.75"/>
    <m/>
    <n v="0.5"/>
    <n v="2.5"/>
    <m/>
    <m/>
    <m/>
    <m/>
    <n v="12"/>
    <m/>
    <n v="2805"/>
    <m/>
    <n v="514.04999999999995"/>
    <x v="22"/>
  </r>
  <r>
    <x v="2"/>
    <d v="2025-07-19T05:02:24"/>
    <s v="DS 5am"/>
    <s v="SF25_DMET010"/>
    <m/>
    <s v="Matthew Sing"/>
    <n v="3"/>
    <n v="390"/>
    <n v="14.9"/>
    <n v="45.6"/>
    <x v="23"/>
    <m/>
    <m/>
    <n v="0"/>
    <m/>
    <m/>
    <n v="0"/>
    <m/>
    <m/>
    <n v="0"/>
    <n v="30.700000000000003"/>
    <n v="5372.5000000000009"/>
    <n v="5372.5000000000009"/>
    <m/>
    <n v="1"/>
    <n v="1"/>
    <n v="13170"/>
    <n v="575"/>
    <n v="10.75"/>
    <n v="0.75"/>
    <m/>
    <n v="0.5"/>
    <m/>
    <m/>
    <m/>
    <m/>
    <m/>
    <n v="12"/>
    <m/>
    <n v="525"/>
    <m/>
    <m/>
    <x v="23"/>
  </r>
  <r>
    <x v="2"/>
    <d v="2025-07-19T17:02:24"/>
    <s v="NS 5pm"/>
    <s v="SF25_DMET010"/>
    <m/>
    <s v="Ben Payton"/>
    <n v="3"/>
    <n v="390"/>
    <n v="45.6"/>
    <n v="75.599999999999994"/>
    <x v="24"/>
    <m/>
    <m/>
    <n v="0"/>
    <m/>
    <m/>
    <n v="0"/>
    <m/>
    <m/>
    <n v="0"/>
    <n v="29.999999999999993"/>
    <n v="5249.9999999999991"/>
    <n v="5249.9999999999991"/>
    <m/>
    <m/>
    <m/>
    <m/>
    <n v="0"/>
    <n v="10.5"/>
    <n v="1"/>
    <m/>
    <n v="0.5"/>
    <m/>
    <m/>
    <m/>
    <m/>
    <m/>
    <n v="12"/>
    <m/>
    <n v="640"/>
    <m/>
    <n v="117.93"/>
    <x v="24"/>
  </r>
  <r>
    <x v="2"/>
    <d v="2025-07-20T05:02:24"/>
    <s v="DS 5am"/>
    <s v="SF25_DMET010"/>
    <s v="SF25_DDGT012"/>
    <s v="Matthew Sing"/>
    <n v="3"/>
    <n v="390"/>
    <n v="75.599999999999994"/>
    <n v="81.599999999999994"/>
    <x v="21"/>
    <n v="0"/>
    <n v="2.2999999999999998"/>
    <n v="2.2999999999999998"/>
    <m/>
    <m/>
    <n v="0"/>
    <m/>
    <m/>
    <n v="0"/>
    <n v="8.3000000000000007"/>
    <n v="1360.5"/>
    <n v="1495"/>
    <m/>
    <n v="1"/>
    <n v="1"/>
    <n v="13170"/>
    <n v="575"/>
    <n v="3.25"/>
    <n v="7.75"/>
    <s v="rig move"/>
    <n v="0.5"/>
    <m/>
    <m/>
    <n v="0.5"/>
    <m/>
    <m/>
    <n v="12"/>
    <m/>
    <n v="3745"/>
    <m/>
    <m/>
    <x v="25"/>
  </r>
  <r>
    <x v="4"/>
    <d v="2025-07-20T17:02:24"/>
    <s v="NS 5pm"/>
    <s v="SF25_DDGT012"/>
    <m/>
    <s v="Ben Payton"/>
    <n v="3"/>
    <n v="390"/>
    <m/>
    <m/>
    <x v="2"/>
    <n v="2.2999999999999998"/>
    <n v="19.8"/>
    <n v="17.5"/>
    <m/>
    <m/>
    <n v="0"/>
    <m/>
    <m/>
    <n v="0"/>
    <n v="17.5"/>
    <n v="2362.5"/>
    <n v="3335"/>
    <m/>
    <m/>
    <m/>
    <m/>
    <n v="0"/>
    <n v="7.25"/>
    <n v="3.75"/>
    <m/>
    <n v="0.5"/>
    <m/>
    <m/>
    <n v="0.5"/>
    <m/>
    <m/>
    <n v="12"/>
    <m/>
    <n v="1905"/>
    <m/>
    <n v="514.04999999999995"/>
    <x v="26"/>
  </r>
  <r>
    <x v="4"/>
    <d v="2025-07-21T05:02:24"/>
    <s v="DS 5am"/>
    <s v="SF25_DDGT012"/>
    <m/>
    <s v="Matthew Sing"/>
    <n v="3"/>
    <n v="390"/>
    <m/>
    <m/>
    <x v="2"/>
    <n v="19.8"/>
    <n v="41.3"/>
    <n v="21.499999999999996"/>
    <m/>
    <m/>
    <n v="0"/>
    <m/>
    <m/>
    <n v="0"/>
    <n v="21.5"/>
    <n v="2902.4999999999995"/>
    <n v="4945"/>
    <m/>
    <n v="1"/>
    <n v="1"/>
    <n v="13170"/>
    <n v="575"/>
    <n v="10.75"/>
    <n v="0.75"/>
    <m/>
    <n v="0.5"/>
    <m/>
    <m/>
    <m/>
    <m/>
    <m/>
    <n v="12"/>
    <m/>
    <n v="525"/>
    <m/>
    <n v="151.79"/>
    <x v="27"/>
  </r>
  <r>
    <x v="4"/>
    <d v="2025-07-21T17:02:24"/>
    <s v="NS 5pm"/>
    <s v="SF25_DDGT012"/>
    <m/>
    <s v="Ben Payton"/>
    <n v="3"/>
    <n v="390"/>
    <m/>
    <m/>
    <x v="2"/>
    <n v="41.3"/>
    <n v="63.2"/>
    <n v="21.900000000000006"/>
    <m/>
    <m/>
    <n v="0"/>
    <m/>
    <m/>
    <n v="0"/>
    <n v="21.900000000000006"/>
    <n v="2956.5000000000009"/>
    <n v="4945"/>
    <m/>
    <m/>
    <m/>
    <m/>
    <n v="0"/>
    <n v="10.75"/>
    <n v="0.75"/>
    <m/>
    <n v="0.5"/>
    <m/>
    <m/>
    <m/>
    <m/>
    <m/>
    <n v="12"/>
    <m/>
    <n v="525"/>
    <m/>
    <n v="117.93"/>
    <x v="15"/>
  </r>
  <r>
    <x v="4"/>
    <d v="2025-07-22T05:02:24"/>
    <s v="DS 5am"/>
    <s v="SF25_DDGT012"/>
    <s v="SF25_DMET024"/>
    <s v="Matthew Sing"/>
    <n v="3"/>
    <n v="390"/>
    <n v="0"/>
    <n v="3.7"/>
    <x v="25"/>
    <n v="63.2"/>
    <n v="70.5"/>
    <n v="7.2999999999999972"/>
    <m/>
    <m/>
    <n v="0"/>
    <m/>
    <m/>
    <n v="0"/>
    <n v="10.999999999999996"/>
    <n v="1632.9999999999995"/>
    <n v="2875"/>
    <m/>
    <n v="1"/>
    <n v="1"/>
    <n v="13170"/>
    <n v="575"/>
    <n v="6.25"/>
    <n v="5.25"/>
    <m/>
    <n v="0.5"/>
    <m/>
    <m/>
    <m/>
    <m/>
    <m/>
    <n v="12"/>
    <m/>
    <n v="2595"/>
    <m/>
    <m/>
    <x v="10"/>
  </r>
  <r>
    <x v="2"/>
    <d v="2025-07-22T17:02:24"/>
    <s v="NS 5pm"/>
    <s v="SF25_DMET024"/>
    <m/>
    <s v="Ben Payton"/>
    <n v="3"/>
    <n v="390"/>
    <n v="3.7"/>
    <n v="20.100000000000001"/>
    <x v="26"/>
    <m/>
    <m/>
    <n v="0"/>
    <m/>
    <m/>
    <n v="0"/>
    <m/>
    <m/>
    <n v="0"/>
    <n v="16.400000000000002"/>
    <n v="2870.0000000000005"/>
    <n v="2870.0000000000005"/>
    <m/>
    <m/>
    <m/>
    <m/>
    <n v="0"/>
    <n v="5.75"/>
    <n v="2.75"/>
    <m/>
    <n v="0.5"/>
    <m/>
    <m/>
    <n v="3"/>
    <m/>
    <s v="Crew Change"/>
    <n v="12"/>
    <m/>
    <n v="1445"/>
    <m/>
    <n v="514.04999999999995"/>
    <x v="28"/>
  </r>
  <r>
    <x v="2"/>
    <d v="2025-07-23T05:02:24"/>
    <s v="DS 5am"/>
    <s v="SF25_DMET024"/>
    <m/>
    <s v="Zeke Shackelton"/>
    <n v="3"/>
    <n v="390"/>
    <n v="20.100000000000001"/>
    <n v="27.7"/>
    <x v="27"/>
    <m/>
    <m/>
    <n v="0"/>
    <m/>
    <m/>
    <n v="0"/>
    <m/>
    <m/>
    <n v="0"/>
    <n v="7.5999999999999979"/>
    <n v="1329.9999999999995"/>
    <n v="1610"/>
    <m/>
    <n v="1"/>
    <n v="1"/>
    <n v="13170"/>
    <n v="575"/>
    <n v="3.5"/>
    <n v="0.75"/>
    <s v="crew change"/>
    <n v="0.5"/>
    <m/>
    <m/>
    <n v="7.25"/>
    <m/>
    <s v="Crew Change"/>
    <n v="12"/>
    <m/>
    <n v="525"/>
    <m/>
    <m/>
    <x v="29"/>
  </r>
  <r>
    <x v="2"/>
    <d v="2025-07-23T17:02:24"/>
    <s v="NS 5pm"/>
    <s v="SF25_DMET024"/>
    <m/>
    <s v="Matthew Sing"/>
    <n v="3"/>
    <n v="390"/>
    <n v="27.7"/>
    <n v="55.1"/>
    <x v="28"/>
    <m/>
    <m/>
    <n v="0"/>
    <m/>
    <m/>
    <n v="0"/>
    <m/>
    <m/>
    <n v="0"/>
    <n v="27.400000000000002"/>
    <n v="4795"/>
    <n v="4830"/>
    <m/>
    <m/>
    <m/>
    <m/>
    <n v="0"/>
    <n v="10.5"/>
    <n v="1"/>
    <m/>
    <n v="0.5"/>
    <m/>
    <m/>
    <m/>
    <m/>
    <m/>
    <n v="12"/>
    <m/>
    <n v="640"/>
    <m/>
    <m/>
    <x v="30"/>
  </r>
  <r>
    <x v="2"/>
    <d v="2025-07-24T05:02:24"/>
    <s v="DS 5am"/>
    <s v="SF25_DMET024"/>
    <m/>
    <s v="Zeke Shackelton"/>
    <n v="3"/>
    <n v="390"/>
    <n v="55.1"/>
    <n v="84.7"/>
    <x v="29"/>
    <m/>
    <m/>
    <n v="0"/>
    <m/>
    <m/>
    <n v="0"/>
    <m/>
    <m/>
    <n v="0"/>
    <n v="29.6"/>
    <n v="5180"/>
    <n v="5180"/>
    <m/>
    <n v="1"/>
    <n v="1"/>
    <n v="13170"/>
    <n v="575"/>
    <n v="10.5"/>
    <n v="1"/>
    <m/>
    <n v="0.5"/>
    <m/>
    <m/>
    <m/>
    <m/>
    <m/>
    <n v="12"/>
    <m/>
    <n v="640"/>
    <m/>
    <n v="256.06"/>
    <x v="31"/>
  </r>
  <r>
    <x v="2"/>
    <d v="2025-07-24T17:02:24"/>
    <s v="NS 5pm"/>
    <s v="SF25_DMET024"/>
    <m/>
    <s v="Matthew Sing"/>
    <n v="3"/>
    <n v="390"/>
    <n v="84.7"/>
    <n v="101.1"/>
    <x v="30"/>
    <m/>
    <m/>
    <n v="0"/>
    <m/>
    <m/>
    <n v="0"/>
    <m/>
    <m/>
    <n v="0"/>
    <n v="16.399999999999991"/>
    <n v="2869.9999999999986"/>
    <n v="3335"/>
    <m/>
    <m/>
    <m/>
    <m/>
    <n v="0"/>
    <n v="7.25"/>
    <n v="4.25"/>
    <m/>
    <n v="0.5"/>
    <m/>
    <m/>
    <m/>
    <m/>
    <m/>
    <n v="12"/>
    <m/>
    <n v="2135"/>
    <m/>
    <m/>
    <x v="30"/>
  </r>
  <r>
    <x v="4"/>
    <d v="2025-07-25T05:02:24"/>
    <s v="DS 5am"/>
    <s v="SF25_DDGT006"/>
    <m/>
    <s v="Zeke Shackelton"/>
    <n v="3"/>
    <n v="390"/>
    <m/>
    <m/>
    <x v="2"/>
    <m/>
    <m/>
    <n v="0"/>
    <m/>
    <m/>
    <n v="0"/>
    <m/>
    <m/>
    <n v="0"/>
    <n v="0"/>
    <n v="0"/>
    <n v="0"/>
    <m/>
    <n v="1"/>
    <n v="1"/>
    <n v="13170"/>
    <n v="575"/>
    <n v="0"/>
    <n v="7.5"/>
    <s v="delay getting water to rig at TSF"/>
    <n v="4.5"/>
    <m/>
    <s v="delay getting water to rig at TSF"/>
    <m/>
    <m/>
    <m/>
    <n v="12"/>
    <m/>
    <n v="5070"/>
    <m/>
    <n v="256.06"/>
    <x v="32"/>
  </r>
  <r>
    <x v="4"/>
    <d v="2025-07-25T17:02:24"/>
    <s v="NS 5pm"/>
    <s v="SF25_DDGT006"/>
    <m/>
    <s v="Matthew Sing"/>
    <n v="3"/>
    <n v="390"/>
    <m/>
    <m/>
    <x v="2"/>
    <n v="6"/>
    <n v="13.8"/>
    <n v="7.8000000000000007"/>
    <m/>
    <m/>
    <n v="0"/>
    <m/>
    <m/>
    <n v="0"/>
    <n v="7.8000000000000007"/>
    <n v="1053"/>
    <n v="1840"/>
    <m/>
    <m/>
    <m/>
    <m/>
    <n v="0"/>
    <n v="4"/>
    <n v="3"/>
    <s v="delay getting water to rig at TSF"/>
    <n v="5"/>
    <m/>
    <s v="delay getting water to rig at TSF"/>
    <m/>
    <m/>
    <m/>
    <n v="12"/>
    <m/>
    <n v="3180"/>
    <m/>
    <m/>
    <x v="33"/>
  </r>
  <r>
    <x v="4"/>
    <d v="2025-07-26T05:02:24"/>
    <s v="DS 5am"/>
    <s v="SF25_DDGT006"/>
    <s v="SF25_DDGT005"/>
    <s v="Zeke Shackelton"/>
    <n v="3"/>
    <n v="390"/>
    <m/>
    <m/>
    <x v="2"/>
    <n v="13.8"/>
    <n v="15"/>
    <n v="1.1999999999999993"/>
    <m/>
    <m/>
    <n v="0"/>
    <n v="0"/>
    <n v="2"/>
    <n v="2"/>
    <n v="3.1999999999999993"/>
    <n v="431.99999999999989"/>
    <n v="1265"/>
    <m/>
    <n v="1"/>
    <n v="1"/>
    <n v="13170"/>
    <n v="575"/>
    <n v="2.75"/>
    <n v="6.75"/>
    <s v="delay getting water to rig at TSF"/>
    <n v="2.5"/>
    <m/>
    <s v="delay getting water to rig at TSF"/>
    <m/>
    <m/>
    <m/>
    <n v="12"/>
    <m/>
    <n v="4005"/>
    <m/>
    <m/>
    <x v="34"/>
  </r>
  <r>
    <x v="4"/>
    <d v="2025-07-26T17:02:24"/>
    <s v="NS 5pm"/>
    <s v="SF25_DDGT005"/>
    <m/>
    <s v="Matthew Sing"/>
    <n v="3"/>
    <n v="390"/>
    <m/>
    <m/>
    <x v="2"/>
    <n v="2"/>
    <n v="15"/>
    <n v="13"/>
    <m/>
    <m/>
    <n v="0"/>
    <m/>
    <m/>
    <n v="0"/>
    <n v="13"/>
    <n v="1755"/>
    <n v="2300"/>
    <m/>
    <m/>
    <m/>
    <m/>
    <n v="0"/>
    <n v="5"/>
    <n v="2.5"/>
    <s v="delay getting water to rig at TSF"/>
    <n v="4.5"/>
    <m/>
    <s v="hydro rig in the way of moving to next pad"/>
    <m/>
    <m/>
    <m/>
    <n v="12"/>
    <m/>
    <n v="2770"/>
    <m/>
    <m/>
    <x v="35"/>
  </r>
  <r>
    <x v="4"/>
    <d v="2025-07-27T05:02:24"/>
    <s v="DS 5am"/>
    <s v="SF25_DDGT011"/>
    <m/>
    <s v="Zeke Shackelton"/>
    <n v="3"/>
    <n v="390"/>
    <m/>
    <m/>
    <x v="2"/>
    <m/>
    <m/>
    <n v="0"/>
    <m/>
    <m/>
    <n v="0"/>
    <m/>
    <m/>
    <n v="0"/>
    <n v="0"/>
    <n v="0"/>
    <n v="0"/>
    <m/>
    <n v="1"/>
    <n v="1"/>
    <n v="13170"/>
    <n v="575"/>
    <n v="0"/>
    <n v="6"/>
    <s v="standby waiting for hydro rig to move off access point to next pad"/>
    <n v="0.5"/>
    <n v="5"/>
    <s v="hydro rig in the way of moving to next pad"/>
    <n v="0.5"/>
    <m/>
    <m/>
    <n v="12"/>
    <m/>
    <n v="4740"/>
    <m/>
    <m/>
    <x v="36"/>
  </r>
  <r>
    <x v="4"/>
    <d v="2025-07-27T17:02:24"/>
    <s v="NS 5pm"/>
    <s v="SF25_DDGT011"/>
    <m/>
    <s v="Matthew Sing"/>
    <n v="3"/>
    <n v="390"/>
    <m/>
    <m/>
    <x v="2"/>
    <n v="0"/>
    <n v="21.3"/>
    <n v="21.3"/>
    <m/>
    <m/>
    <n v="0"/>
    <m/>
    <m/>
    <n v="0"/>
    <n v="21.3"/>
    <n v="2875.5"/>
    <n v="3335"/>
    <m/>
    <m/>
    <m/>
    <m/>
    <n v="0"/>
    <n v="7.25"/>
    <n v="3.75"/>
    <m/>
    <n v="0.5"/>
    <m/>
    <m/>
    <n v="0.5"/>
    <m/>
    <m/>
    <n v="12"/>
    <m/>
    <n v="1905"/>
    <n v="1076.6100000000001"/>
    <n v="686.61"/>
    <x v="37"/>
  </r>
  <r>
    <x v="4"/>
    <d v="2025-07-28T05:02:24"/>
    <s v="DS 5am"/>
    <s v="SF25_DDGT011"/>
    <m/>
    <s v="Zeke Shackelton"/>
    <n v="3"/>
    <n v="390"/>
    <m/>
    <m/>
    <x v="2"/>
    <n v="21.3"/>
    <n v="51.7"/>
    <n v="30.400000000000002"/>
    <m/>
    <m/>
    <n v="0"/>
    <m/>
    <m/>
    <n v="0"/>
    <n v="30.400000000000002"/>
    <n v="4104"/>
    <n v="5060"/>
    <m/>
    <n v="1"/>
    <n v="1"/>
    <n v="13170"/>
    <n v="575"/>
    <n v="11"/>
    <n v="0.5"/>
    <m/>
    <n v="0.5"/>
    <m/>
    <m/>
    <m/>
    <m/>
    <m/>
    <n v="12"/>
    <m/>
    <n v="410"/>
    <n v="390"/>
    <m/>
    <x v="10"/>
  </r>
  <r>
    <x v="4"/>
    <d v="2025-07-28T17:02:24"/>
    <s v="NS 5pm"/>
    <s v="SF25_DDGT011"/>
    <m/>
    <s v="Matthew Sing"/>
    <n v="3"/>
    <n v="390"/>
    <m/>
    <m/>
    <x v="2"/>
    <n v="51.7"/>
    <n v="78.7"/>
    <n v="27"/>
    <m/>
    <m/>
    <n v="0"/>
    <m/>
    <m/>
    <n v="0"/>
    <n v="27"/>
    <n v="3645"/>
    <n v="4945"/>
    <m/>
    <m/>
    <m/>
    <m/>
    <n v="0"/>
    <n v="10.75"/>
    <n v="0.25"/>
    <m/>
    <n v="0.5"/>
    <m/>
    <m/>
    <m/>
    <n v="0.5"/>
    <s v="Breakdown of hydraulic pump"/>
    <n v="12"/>
    <m/>
    <n v="295"/>
    <n v="390"/>
    <m/>
    <x v="38"/>
  </r>
  <r>
    <x v="4"/>
    <d v="2025-07-29T05:02:24"/>
    <s v="DS 5am"/>
    <s v="SF25_DDGT011"/>
    <m/>
    <s v="Zeke Shackelton"/>
    <n v="3"/>
    <n v="390"/>
    <m/>
    <m/>
    <x v="2"/>
    <n v="78.7"/>
    <n v="92.7"/>
    <n v="14"/>
    <m/>
    <m/>
    <n v="0"/>
    <m/>
    <m/>
    <n v="0"/>
    <n v="14"/>
    <n v="1890"/>
    <n v="2645"/>
    <m/>
    <n v="1"/>
    <n v="1"/>
    <n v="13170"/>
    <n v="575"/>
    <n v="5.75"/>
    <n v="0.25"/>
    <s v="Breakdown - hydraulic pump not"/>
    <n v="0.5"/>
    <m/>
    <m/>
    <m/>
    <n v="5.5"/>
    <s v="Breakdown of hydraulic pump"/>
    <n v="12"/>
    <m/>
    <n v="295"/>
    <n v="390"/>
    <m/>
    <x v="39"/>
  </r>
  <r>
    <x v="4"/>
    <d v="2025-07-29T17:02:24"/>
    <s v="NS 5pm"/>
    <s v="SF25_DDGT011"/>
    <m/>
    <s v="Matthew Sing"/>
    <n v="3"/>
    <n v="390"/>
    <m/>
    <m/>
    <x v="2"/>
    <n v="92.7"/>
    <n v="107.7"/>
    <n v="15"/>
    <m/>
    <m/>
    <n v="0"/>
    <m/>
    <m/>
    <n v="0"/>
    <n v="15"/>
    <n v="2025"/>
    <n v="3680"/>
    <m/>
    <m/>
    <m/>
    <m/>
    <n v="0"/>
    <n v="8"/>
    <n v="0.5"/>
    <s v="Breakdown - hydraulic pump not"/>
    <n v="0.5"/>
    <m/>
    <m/>
    <m/>
    <n v="3"/>
    <s v="Breakdown of hydraulic pump"/>
    <n v="12"/>
    <m/>
    <n v="410"/>
    <n v="527.5"/>
    <n v="137.5"/>
    <x v="40"/>
  </r>
  <r>
    <x v="4"/>
    <d v="2025-07-30T05:02:24"/>
    <s v="DS 5am"/>
    <s v="SF25_DDGT011"/>
    <m/>
    <s v="Zeke Shackelton"/>
    <n v="3"/>
    <n v="390"/>
    <m/>
    <m/>
    <x v="2"/>
    <n v="107.7"/>
    <n v="130"/>
    <n v="22.299999999999997"/>
    <m/>
    <m/>
    <n v="0"/>
    <m/>
    <m/>
    <n v="0"/>
    <n v="22.299999999999997"/>
    <n v="3010.4999999999995"/>
    <n v="4370"/>
    <m/>
    <n v="1"/>
    <n v="1"/>
    <n v="13170"/>
    <n v="575"/>
    <n v="9.5"/>
    <n v="1.5"/>
    <m/>
    <n v="1"/>
    <m/>
    <m/>
    <m/>
    <m/>
    <m/>
    <n v="12"/>
    <m/>
    <n v="1050"/>
    <n v="390"/>
    <m/>
    <x v="21"/>
  </r>
  <r>
    <x v="4"/>
    <d v="2025-07-30T17:02:24"/>
    <s v="NS 5pm"/>
    <s v="SF25_DDGT011"/>
    <s v="SF25_DDGT002"/>
    <s v="Matthew Sing"/>
    <n v="3"/>
    <n v="390"/>
    <m/>
    <m/>
    <x v="2"/>
    <n v="0"/>
    <n v="1.7"/>
    <n v="1.7"/>
    <m/>
    <m/>
    <n v="0"/>
    <m/>
    <m/>
    <n v="0"/>
    <n v="1.7"/>
    <n v="229.5"/>
    <n v="345"/>
    <m/>
    <m/>
    <m/>
    <m/>
    <n v="0"/>
    <n v="0.75"/>
    <n v="6.5"/>
    <m/>
    <n v="4.75"/>
    <m/>
    <m/>
    <m/>
    <m/>
    <m/>
    <n v="12"/>
    <m/>
    <n v="4700"/>
    <n v="390"/>
    <m/>
    <x v="41"/>
  </r>
  <r>
    <x v="4"/>
    <d v="2025-07-31T05:02:24"/>
    <s v="DS 5am"/>
    <s v="SF25_DDGT006"/>
    <m/>
    <s v="Zeke Shackelton"/>
    <n v="3"/>
    <n v="390"/>
    <n v="0"/>
    <n v="6.4"/>
    <x v="31"/>
    <m/>
    <m/>
    <n v="0"/>
    <m/>
    <m/>
    <n v="0"/>
    <m/>
    <m/>
    <n v="0"/>
    <n v="6.4"/>
    <n v="1120"/>
    <n v="1840"/>
    <m/>
    <n v="1"/>
    <n v="1"/>
    <n v="13170"/>
    <n v="575"/>
    <n v="4"/>
    <n v="4.5"/>
    <s v="Slow drilling due to geotech shelby tubing and hole move"/>
    <n v="3.5"/>
    <m/>
    <m/>
    <m/>
    <m/>
    <m/>
    <n v="12"/>
    <m/>
    <n v="3330"/>
    <n v="390"/>
    <m/>
    <x v="42"/>
  </r>
  <r>
    <x v="2"/>
    <d v="2025-07-31T17:02:24"/>
    <s v="NS 5pm"/>
    <s v="SF25_DMET018"/>
    <m/>
    <s v="Matthew Sing"/>
    <n v="3"/>
    <n v="390"/>
    <n v="1.2"/>
    <n v="15.5"/>
    <x v="32"/>
    <m/>
    <m/>
    <n v="0"/>
    <m/>
    <m/>
    <n v="0"/>
    <m/>
    <m/>
    <n v="0"/>
    <n v="14.3"/>
    <n v="2502.5"/>
    <n v="4255"/>
    <m/>
    <m/>
    <m/>
    <m/>
    <n v="0"/>
    <n v="9.25"/>
    <n v="2.25"/>
    <m/>
    <n v="0.5"/>
    <m/>
    <m/>
    <m/>
    <m/>
    <m/>
    <n v="12"/>
    <m/>
    <n v="1215"/>
    <n v="14376.12"/>
    <n v="13986.12"/>
    <x v="43"/>
  </r>
  <r>
    <x v="2"/>
    <d v="2025-08-01T05:02:24"/>
    <s v="DS 5am"/>
    <s v="SF25_DMET018"/>
    <m/>
    <s v="Zeke Shackelton"/>
    <n v="3"/>
    <n v="390"/>
    <n v="15.5"/>
    <n v="45.5"/>
    <x v="6"/>
    <m/>
    <m/>
    <n v="0"/>
    <m/>
    <m/>
    <n v="0"/>
    <m/>
    <m/>
    <n v="0"/>
    <n v="30"/>
    <n v="5250"/>
    <n v="5250"/>
    <n v="1"/>
    <n v="1"/>
    <n v="1"/>
    <n v="13170"/>
    <n v="750"/>
    <n v="11"/>
    <n v="0.5"/>
    <m/>
    <n v="0.5"/>
    <m/>
    <m/>
    <m/>
    <m/>
    <m/>
    <n v="12"/>
    <m/>
    <n v="410"/>
    <n v="390"/>
    <m/>
    <x v="44"/>
  </r>
  <r>
    <x v="2"/>
    <d v="2025-08-01T17:02:24"/>
    <s v="NS 5pm"/>
    <s v="SF25_DMET018"/>
    <m/>
    <s v="Matthew Sing"/>
    <n v="3"/>
    <n v="390"/>
    <n v="45.5"/>
    <n v="50"/>
    <x v="33"/>
    <m/>
    <m/>
    <n v="0"/>
    <m/>
    <m/>
    <n v="0"/>
    <m/>
    <m/>
    <n v="0"/>
    <n v="4.5"/>
    <n v="787.5"/>
    <n v="920"/>
    <m/>
    <m/>
    <m/>
    <m/>
    <n v="0"/>
    <n v="2"/>
    <n v="9.5"/>
    <m/>
    <n v="0.5"/>
    <m/>
    <m/>
    <m/>
    <m/>
    <m/>
    <n v="12"/>
    <m/>
    <n v="4550"/>
    <n v="390"/>
    <m/>
    <x v="30"/>
  </r>
  <r>
    <x v="4"/>
    <d v="2025-08-02T05:02:24"/>
    <s v="DS 5am"/>
    <s v="SF25_DDGT010"/>
    <m/>
    <s v="Zeke Shackelton"/>
    <n v="3"/>
    <n v="390"/>
    <m/>
    <m/>
    <x v="2"/>
    <n v="0"/>
    <n v="15.7"/>
    <n v="15.7"/>
    <m/>
    <m/>
    <n v="0"/>
    <m/>
    <m/>
    <n v="0"/>
    <n v="15.7"/>
    <n v="2119.5"/>
    <n v="2990"/>
    <n v="1"/>
    <n v="1"/>
    <n v="1"/>
    <n v="13170"/>
    <n v="750"/>
    <n v="6.5"/>
    <n v="2"/>
    <s v="Slow drilling  in hard ground. "/>
    <n v="1.5"/>
    <n v="2"/>
    <s v="Cementing collar and waiting pre-drill inspection?"/>
    <m/>
    <m/>
    <m/>
    <n v="12"/>
    <m/>
    <n v="2180"/>
    <n v="880.7"/>
    <n v="490.70000000000005"/>
    <x v="45"/>
  </r>
  <r>
    <x v="4"/>
    <d v="2025-08-02T17:02:24"/>
    <s v="NS 5pm"/>
    <s v="SF25_DDGT010"/>
    <m/>
    <s v="Matthew Sing"/>
    <n v="3"/>
    <n v="390"/>
    <m/>
    <m/>
    <x v="2"/>
    <n v="15.7"/>
    <n v="45.7"/>
    <n v="30.000000000000004"/>
    <m/>
    <m/>
    <n v="0"/>
    <m/>
    <m/>
    <n v="0"/>
    <n v="30.000000000000004"/>
    <n v="4050.0000000000005"/>
    <n v="4945"/>
    <m/>
    <m/>
    <m/>
    <m/>
    <n v="0"/>
    <n v="10.75"/>
    <n v="0.75"/>
    <m/>
    <n v="0.5"/>
    <m/>
    <m/>
    <m/>
    <m/>
    <m/>
    <n v="12"/>
    <m/>
    <n v="525"/>
    <n v="390"/>
    <n v="0"/>
    <x v="30"/>
  </r>
  <r>
    <x v="4"/>
    <d v="2025-08-03T05:02:24"/>
    <s v="DS 5am"/>
    <s v="SF25_DDGT010"/>
    <m/>
    <s v="Zeke Shackelton"/>
    <n v="3"/>
    <n v="390"/>
    <m/>
    <m/>
    <x v="2"/>
    <n v="45.7"/>
    <n v="75.5"/>
    <n v="29.799999999999997"/>
    <m/>
    <m/>
    <n v="0"/>
    <m/>
    <m/>
    <n v="0"/>
    <n v="29.799999999999997"/>
    <n v="4022.9999999999995"/>
    <n v="5060"/>
    <n v="1"/>
    <n v="1"/>
    <n v="1"/>
    <n v="13170"/>
    <n v="750"/>
    <n v="11"/>
    <n v="0.5"/>
    <m/>
    <n v="0.5"/>
    <m/>
    <m/>
    <m/>
    <m/>
    <m/>
    <n v="12"/>
    <m/>
    <n v="410"/>
    <n v="390"/>
    <n v="0"/>
    <x v="46"/>
  </r>
  <r>
    <x v="4"/>
    <d v="2025-08-03T17:02:24"/>
    <s v="NS 5pm"/>
    <s v="SF25_DDGT010"/>
    <m/>
    <s v="Matthew Sing"/>
    <n v="3"/>
    <n v="390"/>
    <m/>
    <m/>
    <x v="2"/>
    <n v="75.5"/>
    <n v="105.7"/>
    <n v="30.200000000000003"/>
    <m/>
    <m/>
    <n v="0"/>
    <m/>
    <m/>
    <n v="0"/>
    <n v="30.200000000000003"/>
    <n v="4077.0000000000005"/>
    <n v="4945"/>
    <m/>
    <m/>
    <m/>
    <m/>
    <n v="0"/>
    <n v="10.75"/>
    <n v="0.25"/>
    <m/>
    <n v="0.5"/>
    <m/>
    <m/>
    <n v="0.5"/>
    <m/>
    <m/>
    <n v="12"/>
    <m/>
    <n v="295"/>
    <n v="390"/>
    <n v="0"/>
    <x v="38"/>
  </r>
  <r>
    <x v="4"/>
    <d v="2025-08-04T05:02:24"/>
    <s v="DS 5am"/>
    <s v="SF25_DDGT010"/>
    <s v="SF25_DMET017"/>
    <s v="Zeke Shackelton"/>
    <n v="3"/>
    <n v="390"/>
    <m/>
    <m/>
    <x v="2"/>
    <n v="105.7"/>
    <n v="110"/>
    <n v="4.2999999999999972"/>
    <n v="0"/>
    <n v="0"/>
    <n v="0"/>
    <m/>
    <m/>
    <n v="0"/>
    <n v="4.2999999999999972"/>
    <n v="580.49999999999966"/>
    <n v="1840"/>
    <n v="1"/>
    <n v="1"/>
    <n v="1"/>
    <n v="13170"/>
    <n v="750"/>
    <n v="4"/>
    <n v="6.5"/>
    <s v="Rig moves- water supply issues"/>
    <n v="0.5"/>
    <n v="1"/>
    <m/>
    <m/>
    <m/>
    <m/>
    <n v="12"/>
    <m/>
    <n v="3530"/>
    <n v="390"/>
    <n v="0"/>
    <x v="47"/>
  </r>
  <r>
    <x v="2"/>
    <d v="2025-08-04T17:02:24"/>
    <s v="NS 5pm"/>
    <s v="SF25_DMET017"/>
    <m/>
    <s v="Matthew Sing"/>
    <n v="3"/>
    <n v="390"/>
    <n v="0"/>
    <n v="17.8"/>
    <x v="34"/>
    <m/>
    <m/>
    <n v="0"/>
    <m/>
    <m/>
    <n v="0"/>
    <m/>
    <m/>
    <n v="0"/>
    <n v="17.8"/>
    <n v="3115"/>
    <n v="3680"/>
    <m/>
    <m/>
    <m/>
    <m/>
    <n v="0"/>
    <n v="8"/>
    <n v="3.5"/>
    <m/>
    <n v="0.5"/>
    <m/>
    <m/>
    <m/>
    <m/>
    <m/>
    <n v="12"/>
    <m/>
    <n v="1790"/>
    <n v="786.12"/>
    <n v="396.12"/>
    <x v="11"/>
  </r>
  <r>
    <x v="2"/>
    <d v="2025-08-05T05:02:24"/>
    <s v="DS 5am"/>
    <s v="SF25_DMET017"/>
    <m/>
    <s v="Zeke Shackelton"/>
    <n v="3"/>
    <n v="390"/>
    <n v="17.8"/>
    <n v="50.1"/>
    <x v="35"/>
    <m/>
    <m/>
    <n v="0"/>
    <m/>
    <m/>
    <n v="0"/>
    <m/>
    <m/>
    <n v="0"/>
    <n v="32.299999999999997"/>
    <n v="5652.4999999999991"/>
    <n v="5652.4999999999991"/>
    <n v="1"/>
    <n v="1"/>
    <n v="1"/>
    <n v="13170"/>
    <n v="750"/>
    <n v="10.75"/>
    <n v="0.75"/>
    <m/>
    <n v="0.5"/>
    <m/>
    <m/>
    <m/>
    <m/>
    <m/>
    <n v="12"/>
    <m/>
    <n v="525"/>
    <n v="390"/>
    <n v="0"/>
    <x v="48"/>
  </r>
  <r>
    <x v="2"/>
    <d v="2025-08-05T17:02:24"/>
    <s v="NS 5pm"/>
    <s v="SF25_DMET019"/>
    <m/>
    <s v="Matthew Sing"/>
    <n v="3"/>
    <n v="390"/>
    <n v="0"/>
    <n v="5.7"/>
    <x v="36"/>
    <m/>
    <m/>
    <n v="0"/>
    <m/>
    <m/>
    <n v="0"/>
    <m/>
    <m/>
    <n v="0"/>
    <n v="5.7"/>
    <n v="997.5"/>
    <n v="997.5"/>
    <m/>
    <m/>
    <m/>
    <m/>
    <n v="0"/>
    <n v="2"/>
    <n v="6.5"/>
    <m/>
    <n v="1.5"/>
    <m/>
    <s v="Establish water supply"/>
    <n v="2"/>
    <m/>
    <m/>
    <n v="12"/>
    <m/>
    <n v="3530"/>
    <n v="390"/>
    <n v="0"/>
    <x v="49"/>
  </r>
  <r>
    <x v="2"/>
    <d v="2025-08-06T05:02:24"/>
    <s v="DS 5am"/>
    <s v="SF25_DMET019"/>
    <m/>
    <s v="Ben Payton"/>
    <n v="3"/>
    <n v="390"/>
    <n v="5.7"/>
    <n v="8.4"/>
    <x v="37"/>
    <m/>
    <m/>
    <n v="0"/>
    <m/>
    <m/>
    <n v="0"/>
    <m/>
    <m/>
    <n v="0"/>
    <n v="2.7"/>
    <n v="472.50000000000006"/>
    <n v="575"/>
    <n v="1"/>
    <n v="1"/>
    <n v="1"/>
    <n v="13170"/>
    <n v="750"/>
    <n v="1.25"/>
    <n v="1.25"/>
    <m/>
    <n v="0.5"/>
    <n v="1"/>
    <m/>
    <n v="8"/>
    <m/>
    <m/>
    <n v="12"/>
    <m/>
    <n v="1115"/>
    <n v="786.12"/>
    <n v="396.12"/>
    <x v="50"/>
  </r>
  <r>
    <x v="2"/>
    <d v="2025-08-06T17:02:24"/>
    <s v="NS 5pm"/>
    <s v="SF25_DMET019"/>
    <m/>
    <s v="Zeke Shackelton"/>
    <n v="3"/>
    <n v="390"/>
    <n v="8.4"/>
    <n v="39.700000000000003"/>
    <x v="38"/>
    <m/>
    <m/>
    <n v="0"/>
    <m/>
    <m/>
    <n v="0"/>
    <m/>
    <m/>
    <n v="0"/>
    <n v="31.300000000000004"/>
    <n v="5477.5000000000009"/>
    <n v="5477.5000000000009"/>
    <m/>
    <m/>
    <m/>
    <m/>
    <n v="0"/>
    <n v="11"/>
    <n v="0.5"/>
    <m/>
    <n v="0.5"/>
    <m/>
    <m/>
    <m/>
    <m/>
    <m/>
    <n v="12"/>
    <m/>
    <n v="410"/>
    <n v="390"/>
    <n v="0"/>
    <x v="51"/>
  </r>
  <r>
    <x v="2"/>
    <d v="2025-08-07T05:02:24"/>
    <s v="DS 5am"/>
    <s v="SF25_DMET019"/>
    <s v="SF25_DDRD001"/>
    <s v="Ben Payton"/>
    <n v="3"/>
    <n v="390"/>
    <n v="39.700000000000003"/>
    <n v="50.4"/>
    <x v="39"/>
    <m/>
    <m/>
    <n v="0"/>
    <m/>
    <m/>
    <n v="0"/>
    <m/>
    <m/>
    <n v="0"/>
    <n v="10.699999999999996"/>
    <n v="1872.4999999999993"/>
    <n v="1872.4999999999993"/>
    <n v="1"/>
    <n v="1"/>
    <n v="1"/>
    <n v="13170"/>
    <n v="750"/>
    <n v="4"/>
    <n v="7.5"/>
    <m/>
    <n v="0.5"/>
    <m/>
    <m/>
    <m/>
    <m/>
    <m/>
    <n v="12"/>
    <m/>
    <n v="3630"/>
    <n v="390"/>
    <n v="0"/>
    <x v="52"/>
  </r>
  <r>
    <x v="5"/>
    <d v="2025-08-07T17:02:24"/>
    <s v="NS 5pm"/>
    <s v="SF25_DDRD001"/>
    <m/>
    <s v="Zeke Shackelton"/>
    <n v="3"/>
    <n v="390"/>
    <n v="0"/>
    <n v="0"/>
    <x v="2"/>
    <m/>
    <m/>
    <n v="0"/>
    <m/>
    <m/>
    <n v="0"/>
    <m/>
    <m/>
    <n v="0"/>
    <n v="0"/>
    <n v="0"/>
    <n v="0"/>
    <m/>
    <m/>
    <m/>
    <m/>
    <n v="0"/>
    <n v="0"/>
    <n v="11.5"/>
    <s v="Establishing water supply-polypipe"/>
    <n v="0.5"/>
    <m/>
    <m/>
    <m/>
    <m/>
    <m/>
    <n v="12"/>
    <m/>
    <n v="5470"/>
    <n v="390"/>
    <n v="0"/>
    <x v="30"/>
  </r>
  <r>
    <x v="5"/>
    <d v="2025-08-08T05:02:24"/>
    <s v="DS 5am"/>
    <s v="SF25_DDRD001"/>
    <m/>
    <s v="Ben Payton"/>
    <n v="3"/>
    <n v="390"/>
    <m/>
    <m/>
    <x v="2"/>
    <n v="0"/>
    <n v="5"/>
    <n v="5"/>
    <m/>
    <m/>
    <n v="0"/>
    <m/>
    <m/>
    <n v="0"/>
    <n v="5"/>
    <n v="675"/>
    <n v="920"/>
    <n v="1"/>
    <n v="1"/>
    <n v="1"/>
    <n v="13170"/>
    <n v="750"/>
    <n v="2"/>
    <n v="0"/>
    <s v="Establishing water supply-polypipe"/>
    <n v="0.5"/>
    <n v="9.5"/>
    <s v="Town trip for polypipe &amp; fittings - running poly"/>
    <m/>
    <m/>
    <m/>
    <n v="12"/>
    <m/>
    <n v="3600"/>
    <n v="5458"/>
    <n v="5068"/>
    <x v="53"/>
  </r>
  <r>
    <x v="5"/>
    <d v="2025-08-08T17:02:24"/>
    <s v="NS 5pm"/>
    <s v="SF25_DDRD001"/>
    <m/>
    <s v="Zeke Shackelton"/>
    <n v="3"/>
    <n v="390"/>
    <m/>
    <m/>
    <x v="2"/>
    <n v="5"/>
    <n v="22"/>
    <n v="17"/>
    <m/>
    <m/>
    <n v="0"/>
    <m/>
    <m/>
    <n v="0"/>
    <n v="17"/>
    <n v="2295"/>
    <n v="4025"/>
    <m/>
    <m/>
    <m/>
    <m/>
    <n v="0"/>
    <n v="8.75"/>
    <n v="2.75"/>
    <s v="Establishing water supply-polypipe"/>
    <n v="0.5"/>
    <m/>
    <m/>
    <m/>
    <m/>
    <m/>
    <n v="12"/>
    <m/>
    <n v="1445"/>
    <n v="738.56"/>
    <n v="348.55999999999995"/>
    <x v="54"/>
  </r>
  <r>
    <x v="5"/>
    <d v="2025-08-09T05:02:24"/>
    <s v="DS 5am"/>
    <s v="SF25_DDRD001"/>
    <m/>
    <s v="Ben Payton"/>
    <n v="3"/>
    <n v="390"/>
    <m/>
    <m/>
    <x v="2"/>
    <n v="22"/>
    <n v="57.8"/>
    <n v="35.799999999999997"/>
    <m/>
    <m/>
    <n v="0"/>
    <m/>
    <m/>
    <n v="0"/>
    <n v="35.799999999999997"/>
    <n v="4833"/>
    <n v="5060"/>
    <n v="1"/>
    <n v="1"/>
    <n v="1"/>
    <n v="13170"/>
    <n v="750"/>
    <n v="11"/>
    <n v="0.5"/>
    <m/>
    <n v="0.5"/>
    <m/>
    <m/>
    <m/>
    <m/>
    <m/>
    <n v="12"/>
    <m/>
    <n v="410"/>
    <n v="390"/>
    <n v="0"/>
    <x v="46"/>
  </r>
  <r>
    <x v="5"/>
    <d v="2025-08-09T17:02:24"/>
    <s v="NS 5pm"/>
    <s v="SF25_DDRD001"/>
    <m/>
    <s v="Zeke Shackelton"/>
    <n v="3"/>
    <n v="390"/>
    <m/>
    <m/>
    <x v="2"/>
    <n v="57.8"/>
    <n v="84.6"/>
    <n v="26.799999999999997"/>
    <m/>
    <m/>
    <n v="0"/>
    <m/>
    <m/>
    <n v="0"/>
    <n v="26.799999999999997"/>
    <n v="3617.9999999999995"/>
    <n v="3617.9999999999995"/>
    <m/>
    <m/>
    <m/>
    <m/>
    <n v="0"/>
    <n v="7"/>
    <n v="0.25"/>
    <m/>
    <n v="0.5"/>
    <n v="4.25"/>
    <s v="lost water returns pumped 4 plugs down tried to get the water back no return, had to wait for sumps to fill two times"/>
    <m/>
    <m/>
    <m/>
    <n v="12"/>
    <m/>
    <n v="1825"/>
    <n v="527.5"/>
    <n v="137.5"/>
    <x v="55"/>
  </r>
  <r>
    <x v="5"/>
    <d v="2025-08-10T05:02:24"/>
    <s v="DS 5am"/>
    <s v="SF25_DDRD001"/>
    <s v="SF25_DDGT001"/>
    <s v="Ben Payton"/>
    <n v="3"/>
    <n v="390"/>
    <m/>
    <m/>
    <x v="2"/>
    <n v="84.6"/>
    <n v="90.6"/>
    <n v="6"/>
    <m/>
    <m/>
    <n v="0"/>
    <n v="0"/>
    <n v="0"/>
    <n v="0"/>
    <n v="6"/>
    <n v="810"/>
    <n v="810"/>
    <n v="1"/>
    <n v="1"/>
    <n v="1"/>
    <n v="13170"/>
    <n v="750"/>
    <n v="1.75"/>
    <n v="9.25"/>
    <m/>
    <n v="0.5"/>
    <m/>
    <m/>
    <n v="0.5"/>
    <m/>
    <s v="Toolbox"/>
    <n v="12"/>
    <m/>
    <n v="4435"/>
    <n v="390"/>
    <n v="0"/>
    <x v="21"/>
  </r>
  <r>
    <x v="4"/>
    <d v="2025-08-10T17:02:24"/>
    <s v="NS 5pm"/>
    <s v="SF25_DDGT001"/>
    <m/>
    <s v="Zeke Shackelton"/>
    <n v="3"/>
    <n v="390"/>
    <m/>
    <m/>
    <x v="2"/>
    <n v="0"/>
    <n v="21.7"/>
    <n v="21.7"/>
    <m/>
    <m/>
    <n v="0"/>
    <m/>
    <m/>
    <n v="0"/>
    <n v="21.7"/>
    <n v="2929.5"/>
    <n v="4600"/>
    <m/>
    <m/>
    <m/>
    <m/>
    <n v="0"/>
    <n v="10"/>
    <n v="1"/>
    <m/>
    <n v="0.5"/>
    <m/>
    <m/>
    <n v="0.5"/>
    <m/>
    <s v="Toolbox"/>
    <n v="12"/>
    <m/>
    <n v="640"/>
    <n v="786.12"/>
    <n v="396.12"/>
    <x v="56"/>
  </r>
  <r>
    <x v="4"/>
    <d v="2025-08-11T05:02:24"/>
    <s v="DS 5am"/>
    <s v="SF25_DDGT001"/>
    <m/>
    <s v="Ben Payton"/>
    <n v="3"/>
    <n v="390"/>
    <m/>
    <m/>
    <x v="2"/>
    <n v="21.7"/>
    <n v="57.7"/>
    <n v="36"/>
    <m/>
    <m/>
    <n v="0"/>
    <m/>
    <m/>
    <n v="0"/>
    <n v="36"/>
    <n v="4860"/>
    <n v="4945"/>
    <n v="1"/>
    <n v="1"/>
    <n v="1"/>
    <n v="13170"/>
    <n v="750"/>
    <n v="10.75"/>
    <n v="0.75"/>
    <m/>
    <n v="0.5"/>
    <m/>
    <m/>
    <m/>
    <m/>
    <m/>
    <n v="12"/>
    <m/>
    <n v="525"/>
    <n v="1268.9299999999998"/>
    <n v="878.92999999999984"/>
    <x v="57"/>
  </r>
  <r>
    <x v="4"/>
    <d v="2025-08-11T17:02:24"/>
    <s v="NS 5pm"/>
    <s v="SF25_DDGT001"/>
    <m/>
    <s v="Zeke Shackelton"/>
    <n v="3"/>
    <n v="390"/>
    <m/>
    <m/>
    <x v="2"/>
    <n v="57.7"/>
    <n v="93.7"/>
    <n v="36"/>
    <m/>
    <m/>
    <n v="0"/>
    <m/>
    <m/>
    <n v="0"/>
    <n v="36"/>
    <n v="4860"/>
    <n v="5060"/>
    <m/>
    <m/>
    <m/>
    <m/>
    <n v="0"/>
    <n v="11"/>
    <n v="0.5"/>
    <m/>
    <n v="0.5"/>
    <m/>
    <m/>
    <m/>
    <m/>
    <m/>
    <n v="12"/>
    <m/>
    <n v="410"/>
    <n v="390"/>
    <n v="0"/>
    <x v="30"/>
  </r>
  <r>
    <x v="4"/>
    <d v="2025-08-12T05:02:24"/>
    <s v="DS 5am"/>
    <s v="SF25_DDGT001"/>
    <m/>
    <s v="Ben Payton"/>
    <n v="3"/>
    <n v="390"/>
    <m/>
    <m/>
    <x v="2"/>
    <n v="93.7"/>
    <n v="100.2"/>
    <n v="6.5"/>
    <m/>
    <m/>
    <n v="0"/>
    <m/>
    <m/>
    <n v="0"/>
    <n v="6.5"/>
    <n v="877.5"/>
    <n v="1150"/>
    <n v="1"/>
    <n v="1"/>
    <n v="1"/>
    <n v="13170"/>
    <n v="750"/>
    <n v="2.5"/>
    <n v="8.5"/>
    <m/>
    <n v="1"/>
    <m/>
    <m/>
    <m/>
    <m/>
    <m/>
    <n v="12"/>
    <m/>
    <n v="4270"/>
    <n v="390"/>
    <n v="0"/>
    <x v="58"/>
  </r>
  <r>
    <x v="5"/>
    <d v="2025-08-12T17:02:24"/>
    <s v="NS 5pm"/>
    <s v="SF25_DDRD002"/>
    <m/>
    <s v="Zeke Shackelton"/>
    <n v="3"/>
    <n v="390"/>
    <m/>
    <m/>
    <x v="2"/>
    <n v="0"/>
    <n v="18.2"/>
    <n v="18.2"/>
    <m/>
    <m/>
    <n v="0"/>
    <m/>
    <m/>
    <n v="0"/>
    <n v="18.2"/>
    <n v="2457"/>
    <n v="3680"/>
    <m/>
    <m/>
    <m/>
    <m/>
    <n v="0"/>
    <n v="8"/>
    <n v="3.5"/>
    <m/>
    <n v="0.5"/>
    <m/>
    <m/>
    <m/>
    <m/>
    <m/>
    <n v="12"/>
    <m/>
    <n v="1790"/>
    <n v="833.68"/>
    <n v="443.67999999999995"/>
    <x v="59"/>
  </r>
  <r>
    <x v="1"/>
    <d v="2025-08-13T05:02:24"/>
    <s v="DS 5am"/>
    <m/>
    <m/>
    <m/>
    <m/>
    <s v=""/>
    <m/>
    <m/>
    <x v="2"/>
    <m/>
    <m/>
    <n v="0"/>
    <m/>
    <m/>
    <n v="0"/>
    <m/>
    <m/>
    <n v="0"/>
    <n v="0"/>
    <n v="0"/>
    <s v=""/>
    <m/>
    <m/>
    <m/>
    <m/>
    <n v="0"/>
    <m/>
    <m/>
    <m/>
    <m/>
    <m/>
    <m/>
    <m/>
    <m/>
    <m/>
    <s v=""/>
    <m/>
    <n v="0"/>
    <m/>
    <m/>
    <x v="2"/>
  </r>
  <r>
    <x v="1"/>
    <d v="2025-08-13T17:02:24"/>
    <s v="NS 5pm"/>
    <m/>
    <m/>
    <m/>
    <m/>
    <s v=""/>
    <m/>
    <m/>
    <x v="2"/>
    <m/>
    <m/>
    <n v="0"/>
    <m/>
    <m/>
    <n v="0"/>
    <m/>
    <m/>
    <n v="0"/>
    <n v="0"/>
    <n v="0"/>
    <s v=""/>
    <m/>
    <m/>
    <m/>
    <m/>
    <n v="0"/>
    <m/>
    <m/>
    <m/>
    <m/>
    <m/>
    <m/>
    <m/>
    <m/>
    <m/>
    <s v=""/>
    <m/>
    <n v="0"/>
    <m/>
    <m/>
    <x v="2"/>
  </r>
  <r>
    <x v="1"/>
    <d v="2025-08-14T05:02:24"/>
    <s v="DS 5am"/>
    <m/>
    <m/>
    <m/>
    <m/>
    <s v=""/>
    <m/>
    <m/>
    <x v="2"/>
    <m/>
    <m/>
    <n v="0"/>
    <m/>
    <m/>
    <n v="0"/>
    <m/>
    <m/>
    <n v="0"/>
    <n v="0"/>
    <n v="0"/>
    <s v=""/>
    <m/>
    <m/>
    <m/>
    <m/>
    <n v="0"/>
    <m/>
    <m/>
    <m/>
    <m/>
    <m/>
    <m/>
    <m/>
    <m/>
    <m/>
    <s v=""/>
    <m/>
    <n v="0"/>
    <m/>
    <m/>
    <x v="2"/>
  </r>
  <r>
    <x v="1"/>
    <d v="2025-08-14T17:02:24"/>
    <s v="NS 5pm"/>
    <m/>
    <m/>
    <m/>
    <m/>
    <s v=""/>
    <m/>
    <m/>
    <x v="2"/>
    <m/>
    <m/>
    <n v="0"/>
    <m/>
    <m/>
    <n v="0"/>
    <m/>
    <m/>
    <n v="0"/>
    <n v="0"/>
    <n v="0"/>
    <s v=""/>
    <m/>
    <m/>
    <m/>
    <m/>
    <n v="0"/>
    <m/>
    <m/>
    <m/>
    <m/>
    <m/>
    <m/>
    <m/>
    <m/>
    <m/>
    <s v=""/>
    <m/>
    <n v="0"/>
    <m/>
    <m/>
    <x v="2"/>
  </r>
  <r>
    <x v="1"/>
    <d v="2025-08-15T05:02:24"/>
    <s v="DS 5am"/>
    <m/>
    <m/>
    <m/>
    <m/>
    <s v=""/>
    <m/>
    <m/>
    <x v="2"/>
    <m/>
    <m/>
    <n v="0"/>
    <m/>
    <m/>
    <n v="0"/>
    <m/>
    <m/>
    <n v="0"/>
    <n v="0"/>
    <n v="0"/>
    <s v=""/>
    <m/>
    <m/>
    <m/>
    <m/>
    <n v="0"/>
    <m/>
    <m/>
    <m/>
    <m/>
    <m/>
    <m/>
    <m/>
    <m/>
    <m/>
    <s v=""/>
    <m/>
    <n v="0"/>
    <m/>
    <m/>
    <x v="2"/>
  </r>
  <r>
    <x v="1"/>
    <d v="2025-08-15T17:02:24"/>
    <s v="NS 5pm"/>
    <m/>
    <m/>
    <m/>
    <m/>
    <s v=""/>
    <m/>
    <m/>
    <x v="2"/>
    <m/>
    <m/>
    <n v="0"/>
    <m/>
    <m/>
    <n v="0"/>
    <m/>
    <m/>
    <n v="0"/>
    <n v="0"/>
    <n v="0"/>
    <s v=""/>
    <m/>
    <m/>
    <m/>
    <m/>
    <n v="0"/>
    <m/>
    <m/>
    <m/>
    <m/>
    <m/>
    <m/>
    <m/>
    <m/>
    <m/>
    <s v=""/>
    <m/>
    <n v="0"/>
    <m/>
    <m/>
    <x v="2"/>
  </r>
  <r>
    <x v="1"/>
    <d v="2025-08-16T05:02:24"/>
    <s v="DS 5am"/>
    <m/>
    <m/>
    <m/>
    <m/>
    <s v=""/>
    <m/>
    <m/>
    <x v="2"/>
    <m/>
    <m/>
    <n v="0"/>
    <m/>
    <m/>
    <n v="0"/>
    <m/>
    <m/>
    <n v="0"/>
    <n v="0"/>
    <n v="0"/>
    <s v=""/>
    <m/>
    <m/>
    <m/>
    <m/>
    <n v="0"/>
    <m/>
    <m/>
    <m/>
    <m/>
    <m/>
    <m/>
    <m/>
    <m/>
    <m/>
    <s v=""/>
    <m/>
    <n v="0"/>
    <m/>
    <m/>
    <x v="2"/>
  </r>
  <r>
    <x v="1"/>
    <d v="2025-08-16T17:02:24"/>
    <s v="NS 5pm"/>
    <m/>
    <m/>
    <m/>
    <m/>
    <s v=""/>
    <m/>
    <m/>
    <x v="2"/>
    <m/>
    <m/>
    <n v="0"/>
    <m/>
    <m/>
    <n v="0"/>
    <m/>
    <m/>
    <n v="0"/>
    <n v="0"/>
    <n v="0"/>
    <s v=""/>
    <m/>
    <m/>
    <m/>
    <m/>
    <n v="0"/>
    <m/>
    <m/>
    <m/>
    <m/>
    <m/>
    <m/>
    <m/>
    <m/>
    <m/>
    <s v=""/>
    <m/>
    <n v="0"/>
    <m/>
    <m/>
    <x v="2"/>
  </r>
  <r>
    <x v="1"/>
    <d v="2025-08-17T05:02:24"/>
    <s v="DS 5am"/>
    <m/>
    <m/>
    <m/>
    <m/>
    <s v=""/>
    <m/>
    <m/>
    <x v="2"/>
    <m/>
    <m/>
    <n v="0"/>
    <m/>
    <m/>
    <n v="0"/>
    <m/>
    <m/>
    <n v="0"/>
    <n v="0"/>
    <n v="0"/>
    <s v=""/>
    <m/>
    <m/>
    <m/>
    <m/>
    <n v="0"/>
    <m/>
    <m/>
    <m/>
    <m/>
    <m/>
    <m/>
    <m/>
    <m/>
    <m/>
    <s v=""/>
    <m/>
    <n v="0"/>
    <m/>
    <m/>
    <x v="2"/>
  </r>
  <r>
    <x v="1"/>
    <d v="2025-08-17T17:02:24"/>
    <s v="NS 5pm"/>
    <m/>
    <m/>
    <m/>
    <m/>
    <s v=""/>
    <m/>
    <m/>
    <x v="2"/>
    <m/>
    <m/>
    <n v="0"/>
    <m/>
    <m/>
    <n v="0"/>
    <m/>
    <m/>
    <n v="0"/>
    <n v="0"/>
    <n v="0"/>
    <s v=""/>
    <m/>
    <m/>
    <m/>
    <m/>
    <n v="0"/>
    <m/>
    <m/>
    <m/>
    <m/>
    <m/>
    <m/>
    <m/>
    <m/>
    <m/>
    <s v=""/>
    <m/>
    <n v="0"/>
    <m/>
    <m/>
    <x v="2"/>
  </r>
  <r>
    <x v="1"/>
    <d v="2025-08-18T05:02:24"/>
    <s v="DS 5am"/>
    <m/>
    <m/>
    <m/>
    <m/>
    <s v=""/>
    <m/>
    <m/>
    <x v="2"/>
    <m/>
    <m/>
    <n v="0"/>
    <m/>
    <m/>
    <n v="0"/>
    <m/>
    <m/>
    <n v="0"/>
    <n v="0"/>
    <n v="0"/>
    <s v=""/>
    <m/>
    <m/>
    <m/>
    <m/>
    <n v="0"/>
    <m/>
    <m/>
    <m/>
    <m/>
    <m/>
    <m/>
    <m/>
    <m/>
    <m/>
    <s v=""/>
    <m/>
    <n v="0"/>
    <m/>
    <m/>
    <x v="2"/>
  </r>
  <r>
    <x v="1"/>
    <d v="2025-08-18T17:02:24"/>
    <s v="NS 5pm"/>
    <m/>
    <m/>
    <m/>
    <m/>
    <s v=""/>
    <m/>
    <m/>
    <x v="2"/>
    <m/>
    <m/>
    <n v="0"/>
    <m/>
    <m/>
    <n v="0"/>
    <m/>
    <m/>
    <n v="0"/>
    <n v="0"/>
    <n v="0"/>
    <s v=""/>
    <m/>
    <m/>
    <m/>
    <m/>
    <n v="0"/>
    <m/>
    <m/>
    <m/>
    <m/>
    <m/>
    <m/>
    <m/>
    <m/>
    <m/>
    <s v=""/>
    <m/>
    <n v="0"/>
    <m/>
    <m/>
    <x v="2"/>
  </r>
  <r>
    <x v="1"/>
    <d v="2025-08-19T05:02:24"/>
    <s v="DS 5am"/>
    <m/>
    <m/>
    <m/>
    <m/>
    <s v=""/>
    <m/>
    <m/>
    <x v="2"/>
    <m/>
    <m/>
    <n v="0"/>
    <m/>
    <m/>
    <n v="0"/>
    <m/>
    <m/>
    <n v="0"/>
    <n v="0"/>
    <n v="0"/>
    <s v=""/>
    <m/>
    <m/>
    <m/>
    <m/>
    <n v="0"/>
    <m/>
    <m/>
    <m/>
    <m/>
    <m/>
    <m/>
    <m/>
    <m/>
    <m/>
    <s v=""/>
    <m/>
    <n v="0"/>
    <m/>
    <m/>
    <x v="2"/>
  </r>
  <r>
    <x v="1"/>
    <d v="2025-08-19T17:02:24"/>
    <s v="NS 5pm"/>
    <m/>
    <m/>
    <m/>
    <m/>
    <s v=""/>
    <m/>
    <m/>
    <x v="2"/>
    <m/>
    <m/>
    <n v="0"/>
    <m/>
    <m/>
    <n v="0"/>
    <m/>
    <m/>
    <n v="0"/>
    <n v="0"/>
    <n v="0"/>
    <s v=""/>
    <m/>
    <m/>
    <m/>
    <m/>
    <n v="0"/>
    <m/>
    <m/>
    <m/>
    <m/>
    <m/>
    <m/>
    <m/>
    <m/>
    <m/>
    <s v=""/>
    <m/>
    <n v="0"/>
    <m/>
    <m/>
    <x v="2"/>
  </r>
  <r>
    <x v="1"/>
    <d v="2025-08-20T05:02:24"/>
    <s v="DS 5am"/>
    <m/>
    <m/>
    <m/>
    <m/>
    <s v=""/>
    <m/>
    <m/>
    <x v="2"/>
    <m/>
    <m/>
    <n v="0"/>
    <m/>
    <m/>
    <n v="0"/>
    <m/>
    <m/>
    <n v="0"/>
    <n v="0"/>
    <n v="0"/>
    <s v=""/>
    <m/>
    <m/>
    <m/>
    <m/>
    <n v="0"/>
    <m/>
    <m/>
    <m/>
    <m/>
    <m/>
    <m/>
    <m/>
    <m/>
    <m/>
    <s v=""/>
    <m/>
    <n v="0"/>
    <m/>
    <m/>
    <x v="2"/>
  </r>
  <r>
    <x v="1"/>
    <d v="2025-08-20T17:02:24"/>
    <s v="NS 5pm"/>
    <m/>
    <m/>
    <m/>
    <m/>
    <s v=""/>
    <m/>
    <m/>
    <x v="2"/>
    <m/>
    <m/>
    <n v="0"/>
    <m/>
    <m/>
    <n v="0"/>
    <m/>
    <m/>
    <n v="0"/>
    <n v="0"/>
    <n v="0"/>
    <s v=""/>
    <m/>
    <m/>
    <m/>
    <m/>
    <n v="0"/>
    <m/>
    <m/>
    <m/>
    <m/>
    <m/>
    <m/>
    <m/>
    <m/>
    <m/>
    <s v=""/>
    <m/>
    <n v="0"/>
    <m/>
    <m/>
    <x v="2"/>
  </r>
  <r>
    <x v="1"/>
    <d v="2025-08-21T05:02:24"/>
    <s v="DS 5am"/>
    <m/>
    <m/>
    <m/>
    <m/>
    <s v=""/>
    <m/>
    <m/>
    <x v="2"/>
    <m/>
    <m/>
    <n v="0"/>
    <m/>
    <m/>
    <n v="0"/>
    <m/>
    <m/>
    <n v="0"/>
    <n v="0"/>
    <n v="0"/>
    <s v=""/>
    <m/>
    <m/>
    <m/>
    <m/>
    <n v="0"/>
    <m/>
    <m/>
    <m/>
    <m/>
    <m/>
    <m/>
    <m/>
    <m/>
    <m/>
    <s v=""/>
    <m/>
    <n v="0"/>
    <m/>
    <m/>
    <x v="2"/>
  </r>
  <r>
    <x v="1"/>
    <d v="2025-08-21T17:02:24"/>
    <s v="NS 5pm"/>
    <m/>
    <m/>
    <m/>
    <m/>
    <s v=""/>
    <m/>
    <m/>
    <x v="2"/>
    <m/>
    <m/>
    <n v="0"/>
    <m/>
    <m/>
    <n v="0"/>
    <m/>
    <m/>
    <n v="0"/>
    <n v="0"/>
    <n v="0"/>
    <s v=""/>
    <m/>
    <m/>
    <m/>
    <m/>
    <n v="0"/>
    <m/>
    <m/>
    <m/>
    <m/>
    <m/>
    <m/>
    <m/>
    <m/>
    <m/>
    <s v=""/>
    <m/>
    <n v="0"/>
    <m/>
    <m/>
    <x v="2"/>
  </r>
  <r>
    <x v="1"/>
    <d v="2025-08-22T05:02:24"/>
    <s v="DS 5am"/>
    <m/>
    <m/>
    <m/>
    <m/>
    <s v=""/>
    <m/>
    <m/>
    <x v="2"/>
    <m/>
    <m/>
    <n v="0"/>
    <m/>
    <m/>
    <n v="0"/>
    <m/>
    <m/>
    <n v="0"/>
    <n v="0"/>
    <n v="0"/>
    <s v=""/>
    <m/>
    <m/>
    <m/>
    <m/>
    <n v="0"/>
    <m/>
    <m/>
    <m/>
    <m/>
    <m/>
    <m/>
    <m/>
    <m/>
    <m/>
    <s v=""/>
    <m/>
    <n v="0"/>
    <m/>
    <m/>
    <x v="2"/>
  </r>
  <r>
    <x v="1"/>
    <d v="2025-08-22T17:02:24"/>
    <s v="NS 5pm"/>
    <m/>
    <m/>
    <m/>
    <m/>
    <s v=""/>
    <m/>
    <m/>
    <x v="2"/>
    <m/>
    <m/>
    <n v="0"/>
    <m/>
    <m/>
    <n v="0"/>
    <m/>
    <m/>
    <n v="0"/>
    <n v="0"/>
    <n v="0"/>
    <s v=""/>
    <m/>
    <m/>
    <m/>
    <m/>
    <n v="0"/>
    <m/>
    <m/>
    <m/>
    <m/>
    <m/>
    <m/>
    <m/>
    <m/>
    <m/>
    <s v=""/>
    <m/>
    <n v="0"/>
    <m/>
    <m/>
    <x v="2"/>
  </r>
  <r>
    <x v="1"/>
    <d v="2025-08-23T05:02:24"/>
    <s v="DS 5am"/>
    <m/>
    <m/>
    <m/>
    <m/>
    <s v=""/>
    <m/>
    <m/>
    <x v="2"/>
    <m/>
    <m/>
    <n v="0"/>
    <m/>
    <m/>
    <n v="0"/>
    <m/>
    <m/>
    <n v="0"/>
    <n v="0"/>
    <n v="0"/>
    <s v=""/>
    <m/>
    <m/>
    <m/>
    <m/>
    <n v="0"/>
    <m/>
    <m/>
    <m/>
    <m/>
    <m/>
    <m/>
    <m/>
    <m/>
    <m/>
    <s v=""/>
    <m/>
    <n v="0"/>
    <m/>
    <m/>
    <x v="2"/>
  </r>
  <r>
    <x v="1"/>
    <d v="2025-08-23T17:02:24"/>
    <s v="NS 5pm"/>
    <m/>
    <m/>
    <m/>
    <m/>
    <s v=""/>
    <m/>
    <m/>
    <x v="2"/>
    <m/>
    <m/>
    <n v="0"/>
    <m/>
    <m/>
    <n v="0"/>
    <m/>
    <m/>
    <n v="0"/>
    <n v="0"/>
    <n v="0"/>
    <s v=""/>
    <m/>
    <m/>
    <m/>
    <m/>
    <n v="0"/>
    <m/>
    <m/>
    <m/>
    <m/>
    <m/>
    <m/>
    <m/>
    <m/>
    <m/>
    <s v=""/>
    <m/>
    <n v="0"/>
    <m/>
    <m/>
    <x v="2"/>
  </r>
  <r>
    <x v="1"/>
    <d v="2025-08-24T05:02:24"/>
    <s v="DS 5am"/>
    <m/>
    <m/>
    <m/>
    <m/>
    <s v=""/>
    <m/>
    <m/>
    <x v="2"/>
    <m/>
    <m/>
    <n v="0"/>
    <m/>
    <m/>
    <n v="0"/>
    <m/>
    <m/>
    <n v="0"/>
    <n v="0"/>
    <n v="0"/>
    <s v=""/>
    <m/>
    <m/>
    <m/>
    <m/>
    <n v="0"/>
    <m/>
    <m/>
    <m/>
    <m/>
    <m/>
    <m/>
    <m/>
    <m/>
    <m/>
    <s v=""/>
    <m/>
    <n v="0"/>
    <m/>
    <m/>
    <x v="2"/>
  </r>
  <r>
    <x v="1"/>
    <d v="2025-08-24T17:02:24"/>
    <s v="NS 5pm"/>
    <m/>
    <m/>
    <m/>
    <m/>
    <s v=""/>
    <m/>
    <m/>
    <x v="2"/>
    <m/>
    <m/>
    <n v="0"/>
    <m/>
    <m/>
    <n v="0"/>
    <m/>
    <m/>
    <n v="0"/>
    <n v="0"/>
    <n v="0"/>
    <s v=""/>
    <m/>
    <m/>
    <m/>
    <m/>
    <n v="0"/>
    <m/>
    <m/>
    <m/>
    <m/>
    <m/>
    <m/>
    <m/>
    <m/>
    <m/>
    <s v=""/>
    <m/>
    <n v="0"/>
    <m/>
    <m/>
    <x v="2"/>
  </r>
  <r>
    <x v="1"/>
    <d v="2025-08-25T05:02:24"/>
    <s v="DS 5am"/>
    <m/>
    <m/>
    <m/>
    <m/>
    <s v=""/>
    <m/>
    <m/>
    <x v="2"/>
    <m/>
    <m/>
    <n v="0"/>
    <m/>
    <m/>
    <n v="0"/>
    <m/>
    <m/>
    <n v="0"/>
    <n v="0"/>
    <n v="0"/>
    <s v=""/>
    <m/>
    <m/>
    <m/>
    <m/>
    <n v="0"/>
    <m/>
    <m/>
    <m/>
    <m/>
    <m/>
    <m/>
    <m/>
    <m/>
    <m/>
    <s v=""/>
    <m/>
    <n v="0"/>
    <m/>
    <m/>
    <x v="2"/>
  </r>
  <r>
    <x v="1"/>
    <d v="2025-08-25T17:02:24"/>
    <s v="NS 5pm"/>
    <m/>
    <m/>
    <m/>
    <m/>
    <s v=""/>
    <m/>
    <m/>
    <x v="2"/>
    <m/>
    <m/>
    <n v="0"/>
    <m/>
    <m/>
    <n v="0"/>
    <m/>
    <m/>
    <n v="0"/>
    <n v="0"/>
    <n v="0"/>
    <s v=""/>
    <m/>
    <m/>
    <m/>
    <m/>
    <n v="0"/>
    <m/>
    <m/>
    <m/>
    <m/>
    <m/>
    <m/>
    <m/>
    <m/>
    <m/>
    <s v=""/>
    <m/>
    <n v="0"/>
    <m/>
    <m/>
    <x v="2"/>
  </r>
  <r>
    <x v="1"/>
    <d v="2025-08-26T05:02:24"/>
    <s v="DS 5am"/>
    <m/>
    <m/>
    <m/>
    <m/>
    <s v=""/>
    <m/>
    <m/>
    <x v="2"/>
    <m/>
    <m/>
    <n v="0"/>
    <m/>
    <m/>
    <n v="0"/>
    <m/>
    <m/>
    <n v="0"/>
    <n v="0"/>
    <n v="0"/>
    <s v=""/>
    <m/>
    <m/>
    <m/>
    <m/>
    <n v="0"/>
    <m/>
    <m/>
    <m/>
    <m/>
    <m/>
    <m/>
    <m/>
    <m/>
    <m/>
    <s v=""/>
    <m/>
    <n v="0"/>
    <m/>
    <m/>
    <x v="2"/>
  </r>
  <r>
    <x v="1"/>
    <d v="2025-08-26T17:02:24"/>
    <s v="NS 5pm"/>
    <m/>
    <m/>
    <m/>
    <m/>
    <s v=""/>
    <m/>
    <m/>
    <x v="2"/>
    <m/>
    <m/>
    <n v="0"/>
    <m/>
    <m/>
    <n v="0"/>
    <m/>
    <m/>
    <n v="0"/>
    <n v="0"/>
    <n v="0"/>
    <s v=""/>
    <m/>
    <m/>
    <m/>
    <m/>
    <n v="0"/>
    <m/>
    <m/>
    <m/>
    <m/>
    <m/>
    <m/>
    <m/>
    <m/>
    <m/>
    <s v=""/>
    <m/>
    <n v="0"/>
    <m/>
    <m/>
    <x v="2"/>
  </r>
  <r>
    <x v="1"/>
    <d v="2025-08-27T05:02:24"/>
    <s v="DS 5am"/>
    <m/>
    <m/>
    <m/>
    <m/>
    <s v=""/>
    <m/>
    <m/>
    <x v="2"/>
    <m/>
    <m/>
    <n v="0"/>
    <m/>
    <m/>
    <n v="0"/>
    <m/>
    <m/>
    <n v="0"/>
    <n v="0"/>
    <n v="0"/>
    <s v=""/>
    <m/>
    <m/>
    <m/>
    <m/>
    <n v="0"/>
    <m/>
    <m/>
    <m/>
    <m/>
    <m/>
    <m/>
    <m/>
    <m/>
    <m/>
    <s v=""/>
    <m/>
    <n v="0"/>
    <m/>
    <m/>
    <x v="2"/>
  </r>
  <r>
    <x v="1"/>
    <d v="2025-08-27T17:02:24"/>
    <s v="NS 5pm"/>
    <m/>
    <m/>
    <m/>
    <m/>
    <s v=""/>
    <m/>
    <m/>
    <x v="2"/>
    <m/>
    <m/>
    <n v="0"/>
    <m/>
    <m/>
    <n v="0"/>
    <m/>
    <m/>
    <n v="0"/>
    <n v="0"/>
    <n v="0"/>
    <s v=""/>
    <m/>
    <m/>
    <m/>
    <m/>
    <n v="0"/>
    <m/>
    <m/>
    <m/>
    <m/>
    <m/>
    <m/>
    <m/>
    <m/>
    <m/>
    <s v=""/>
    <m/>
    <n v="0"/>
    <m/>
    <m/>
    <x v="2"/>
  </r>
  <r>
    <x v="1"/>
    <d v="2025-08-28T05:02:24"/>
    <s v="DS 5am"/>
    <m/>
    <m/>
    <m/>
    <m/>
    <s v=""/>
    <m/>
    <m/>
    <x v="2"/>
    <m/>
    <m/>
    <n v="0"/>
    <m/>
    <m/>
    <n v="0"/>
    <m/>
    <m/>
    <n v="0"/>
    <n v="0"/>
    <n v="0"/>
    <s v=""/>
    <m/>
    <m/>
    <m/>
    <m/>
    <n v="0"/>
    <m/>
    <m/>
    <m/>
    <m/>
    <m/>
    <m/>
    <m/>
    <m/>
    <m/>
    <s v=""/>
    <m/>
    <n v="0"/>
    <m/>
    <m/>
    <x v="2"/>
  </r>
  <r>
    <x v="1"/>
    <d v="2025-08-28T17:02:24"/>
    <s v="NS 5pm"/>
    <m/>
    <m/>
    <m/>
    <m/>
    <s v=""/>
    <m/>
    <m/>
    <x v="2"/>
    <m/>
    <m/>
    <n v="0"/>
    <m/>
    <m/>
    <n v="0"/>
    <m/>
    <m/>
    <n v="0"/>
    <n v="0"/>
    <n v="0"/>
    <s v=""/>
    <m/>
    <m/>
    <m/>
    <m/>
    <n v="0"/>
    <m/>
    <m/>
    <m/>
    <m/>
    <m/>
    <m/>
    <m/>
    <m/>
    <m/>
    <s v=""/>
    <m/>
    <n v="0"/>
    <m/>
    <m/>
    <x v="2"/>
  </r>
  <r>
    <x v="1"/>
    <d v="2025-08-29T05:02:24"/>
    <s v="DS 5am"/>
    <m/>
    <m/>
    <m/>
    <m/>
    <s v=""/>
    <m/>
    <m/>
    <x v="2"/>
    <m/>
    <m/>
    <n v="0"/>
    <m/>
    <m/>
    <n v="0"/>
    <m/>
    <m/>
    <n v="0"/>
    <n v="0"/>
    <n v="0"/>
    <s v=""/>
    <m/>
    <m/>
    <m/>
    <m/>
    <n v="0"/>
    <m/>
    <m/>
    <m/>
    <m/>
    <m/>
    <m/>
    <m/>
    <m/>
    <m/>
    <s v=""/>
    <m/>
    <n v="0"/>
    <m/>
    <m/>
    <x v="2"/>
  </r>
  <r>
    <x v="1"/>
    <d v="2025-08-29T17:02:24"/>
    <s v="NS 5pm"/>
    <m/>
    <m/>
    <m/>
    <m/>
    <s v=""/>
    <m/>
    <m/>
    <x v="2"/>
    <m/>
    <m/>
    <n v="0"/>
    <m/>
    <m/>
    <n v="0"/>
    <m/>
    <m/>
    <n v="0"/>
    <n v="0"/>
    <n v="0"/>
    <s v=""/>
    <m/>
    <m/>
    <m/>
    <m/>
    <n v="0"/>
    <m/>
    <m/>
    <m/>
    <m/>
    <m/>
    <m/>
    <m/>
    <m/>
    <m/>
    <s v=""/>
    <m/>
    <n v="0"/>
    <m/>
    <m/>
    <x v="2"/>
  </r>
  <r>
    <x v="1"/>
    <d v="2025-08-30T05:02:24"/>
    <s v="DS 5am"/>
    <m/>
    <m/>
    <m/>
    <m/>
    <s v=""/>
    <m/>
    <m/>
    <x v="2"/>
    <m/>
    <m/>
    <n v="0"/>
    <m/>
    <m/>
    <n v="0"/>
    <m/>
    <m/>
    <n v="0"/>
    <n v="0"/>
    <n v="0"/>
    <s v=""/>
    <m/>
    <m/>
    <m/>
    <m/>
    <n v="0"/>
    <m/>
    <m/>
    <m/>
    <m/>
    <m/>
    <m/>
    <m/>
    <m/>
    <m/>
    <s v=""/>
    <m/>
    <n v="0"/>
    <m/>
    <m/>
    <x v="2"/>
  </r>
  <r>
    <x v="1"/>
    <d v="2025-08-30T17:02:24"/>
    <s v="NS 5pm"/>
    <m/>
    <m/>
    <m/>
    <m/>
    <s v=""/>
    <m/>
    <m/>
    <x v="2"/>
    <m/>
    <m/>
    <n v="0"/>
    <m/>
    <m/>
    <n v="0"/>
    <m/>
    <m/>
    <n v="0"/>
    <n v="0"/>
    <n v="0"/>
    <s v=""/>
    <m/>
    <m/>
    <m/>
    <m/>
    <n v="0"/>
    <m/>
    <m/>
    <m/>
    <m/>
    <m/>
    <m/>
    <m/>
    <m/>
    <m/>
    <s v=""/>
    <m/>
    <n v="0"/>
    <m/>
    <m/>
    <x v="2"/>
  </r>
  <r>
    <x v="1"/>
    <d v="2025-08-31T05:02:24"/>
    <s v="DS 5am"/>
    <m/>
    <m/>
    <m/>
    <m/>
    <s v=""/>
    <m/>
    <m/>
    <x v="2"/>
    <m/>
    <m/>
    <n v="0"/>
    <m/>
    <m/>
    <n v="0"/>
    <m/>
    <m/>
    <n v="0"/>
    <n v="0"/>
    <n v="0"/>
    <s v=""/>
    <m/>
    <m/>
    <m/>
    <m/>
    <n v="0"/>
    <m/>
    <m/>
    <m/>
    <m/>
    <m/>
    <m/>
    <m/>
    <m/>
    <m/>
    <s v=""/>
    <m/>
    <n v="0"/>
    <m/>
    <m/>
    <x v="2"/>
  </r>
  <r>
    <x v="1"/>
    <d v="2025-08-31T17:02:24"/>
    <s v="NS 5pm"/>
    <m/>
    <m/>
    <m/>
    <m/>
    <s v=""/>
    <m/>
    <m/>
    <x v="2"/>
    <m/>
    <m/>
    <n v="0"/>
    <m/>
    <m/>
    <n v="0"/>
    <m/>
    <m/>
    <n v="0"/>
    <n v="0"/>
    <n v="0"/>
    <s v=""/>
    <m/>
    <m/>
    <m/>
    <m/>
    <n v="0"/>
    <m/>
    <m/>
    <m/>
    <m/>
    <m/>
    <m/>
    <m/>
    <m/>
    <m/>
    <s v=""/>
    <m/>
    <n v="0"/>
    <m/>
    <m/>
    <x v="2"/>
  </r>
  <r>
    <x v="1"/>
    <d v="2025-09-01T05:02:24"/>
    <s v="DS 5am"/>
    <m/>
    <m/>
    <m/>
    <m/>
    <s v=""/>
    <m/>
    <m/>
    <x v="2"/>
    <m/>
    <m/>
    <n v="0"/>
    <m/>
    <m/>
    <n v="0"/>
    <m/>
    <m/>
    <n v="0"/>
    <n v="0"/>
    <n v="0"/>
    <s v=""/>
    <m/>
    <m/>
    <m/>
    <m/>
    <n v="0"/>
    <m/>
    <m/>
    <m/>
    <m/>
    <m/>
    <m/>
    <m/>
    <m/>
    <m/>
    <s v=""/>
    <m/>
    <n v="0"/>
    <m/>
    <m/>
    <x v="2"/>
  </r>
  <r>
    <x v="1"/>
    <d v="2025-09-01T17:02:24"/>
    <s v="NS 5pm"/>
    <m/>
    <m/>
    <m/>
    <m/>
    <s v=""/>
    <m/>
    <m/>
    <x v="2"/>
    <m/>
    <m/>
    <n v="0"/>
    <m/>
    <m/>
    <n v="0"/>
    <m/>
    <m/>
    <n v="0"/>
    <n v="0"/>
    <n v="0"/>
    <s v=""/>
    <m/>
    <m/>
    <m/>
    <m/>
    <n v="0"/>
    <m/>
    <m/>
    <m/>
    <m/>
    <m/>
    <m/>
    <m/>
    <m/>
    <m/>
    <s v=""/>
    <m/>
    <n v="0"/>
    <m/>
    <m/>
    <x v="2"/>
  </r>
  <r>
    <x v="1"/>
    <d v="2025-09-02T05:02:24"/>
    <s v="DS 5am"/>
    <m/>
    <m/>
    <m/>
    <m/>
    <s v=""/>
    <m/>
    <m/>
    <x v="2"/>
    <m/>
    <m/>
    <n v="0"/>
    <m/>
    <m/>
    <n v="0"/>
    <m/>
    <m/>
    <n v="0"/>
    <n v="0"/>
    <n v="0"/>
    <s v=""/>
    <m/>
    <m/>
    <m/>
    <m/>
    <n v="0"/>
    <m/>
    <m/>
    <m/>
    <m/>
    <m/>
    <m/>
    <m/>
    <m/>
    <m/>
    <s v=""/>
    <m/>
    <n v="0"/>
    <m/>
    <m/>
    <x v="2"/>
  </r>
  <r>
    <x v="1"/>
    <d v="2025-09-02T17:02:24"/>
    <s v="NS 5pm"/>
    <m/>
    <m/>
    <m/>
    <m/>
    <s v=""/>
    <m/>
    <m/>
    <x v="2"/>
    <m/>
    <m/>
    <n v="0"/>
    <m/>
    <m/>
    <n v="0"/>
    <m/>
    <m/>
    <n v="0"/>
    <n v="0"/>
    <n v="0"/>
    <s v=""/>
    <m/>
    <m/>
    <m/>
    <m/>
    <n v="0"/>
    <m/>
    <m/>
    <m/>
    <m/>
    <m/>
    <m/>
    <m/>
    <m/>
    <m/>
    <s v=""/>
    <m/>
    <n v="0"/>
    <m/>
    <m/>
    <x v="2"/>
  </r>
  <r>
    <x v="1"/>
    <d v="2025-09-03T05:02:24"/>
    <s v="DS 5am"/>
    <m/>
    <m/>
    <m/>
    <m/>
    <s v=""/>
    <m/>
    <m/>
    <x v="2"/>
    <m/>
    <m/>
    <n v="0"/>
    <m/>
    <m/>
    <n v="0"/>
    <m/>
    <m/>
    <n v="0"/>
    <n v="0"/>
    <n v="0"/>
    <s v=""/>
    <m/>
    <m/>
    <m/>
    <m/>
    <n v="0"/>
    <m/>
    <m/>
    <m/>
    <m/>
    <m/>
    <m/>
    <m/>
    <m/>
    <m/>
    <s v=""/>
    <m/>
    <n v="0"/>
    <m/>
    <m/>
    <x v="2"/>
  </r>
  <r>
    <x v="1"/>
    <d v="2025-09-03T17:02:24"/>
    <s v="NS 5pm"/>
    <m/>
    <m/>
    <m/>
    <m/>
    <s v=""/>
    <m/>
    <m/>
    <x v="2"/>
    <m/>
    <m/>
    <n v="0"/>
    <m/>
    <m/>
    <n v="0"/>
    <m/>
    <m/>
    <n v="0"/>
    <n v="0"/>
    <n v="0"/>
    <s v=""/>
    <m/>
    <m/>
    <m/>
    <m/>
    <n v="0"/>
    <m/>
    <m/>
    <m/>
    <m/>
    <m/>
    <m/>
    <m/>
    <m/>
    <m/>
    <s v=""/>
    <m/>
    <n v="0"/>
    <m/>
    <m/>
    <x v="2"/>
  </r>
  <r>
    <x v="1"/>
    <d v="2025-09-04T05:02:24"/>
    <s v="DS 5am"/>
    <m/>
    <m/>
    <m/>
    <m/>
    <s v=""/>
    <m/>
    <m/>
    <x v="2"/>
    <m/>
    <m/>
    <n v="0"/>
    <m/>
    <m/>
    <n v="0"/>
    <m/>
    <m/>
    <n v="0"/>
    <n v="0"/>
    <n v="0"/>
    <s v=""/>
    <m/>
    <m/>
    <m/>
    <m/>
    <n v="0"/>
    <m/>
    <m/>
    <m/>
    <m/>
    <m/>
    <m/>
    <m/>
    <m/>
    <m/>
    <s v=""/>
    <m/>
    <n v="0"/>
    <m/>
    <m/>
    <x v="2"/>
  </r>
  <r>
    <x v="1"/>
    <d v="2025-09-04T17:02:24"/>
    <s v="NS 5pm"/>
    <m/>
    <m/>
    <m/>
    <m/>
    <s v=""/>
    <m/>
    <m/>
    <x v="2"/>
    <m/>
    <m/>
    <n v="0"/>
    <m/>
    <m/>
    <n v="0"/>
    <m/>
    <m/>
    <n v="0"/>
    <n v="0"/>
    <n v="0"/>
    <s v=""/>
    <m/>
    <m/>
    <m/>
    <m/>
    <n v="0"/>
    <m/>
    <m/>
    <m/>
    <m/>
    <m/>
    <m/>
    <m/>
    <m/>
    <m/>
    <s v=""/>
    <m/>
    <n v="0"/>
    <m/>
    <m/>
    <x v="2"/>
  </r>
  <r>
    <x v="1"/>
    <d v="2025-09-05T05:02:24"/>
    <s v="DS 5am"/>
    <m/>
    <m/>
    <m/>
    <m/>
    <s v=""/>
    <m/>
    <m/>
    <x v="2"/>
    <m/>
    <m/>
    <n v="0"/>
    <m/>
    <m/>
    <n v="0"/>
    <m/>
    <m/>
    <n v="0"/>
    <n v="0"/>
    <n v="0"/>
    <s v=""/>
    <m/>
    <m/>
    <m/>
    <m/>
    <n v="0"/>
    <m/>
    <m/>
    <m/>
    <m/>
    <m/>
    <m/>
    <m/>
    <m/>
    <m/>
    <s v=""/>
    <m/>
    <n v="0"/>
    <m/>
    <m/>
    <x v="2"/>
  </r>
  <r>
    <x v="1"/>
    <d v="2025-09-05T17:02:24"/>
    <s v="NS 5pm"/>
    <m/>
    <m/>
    <m/>
    <m/>
    <s v=""/>
    <m/>
    <m/>
    <x v="2"/>
    <m/>
    <m/>
    <n v="0"/>
    <m/>
    <m/>
    <n v="0"/>
    <m/>
    <m/>
    <n v="0"/>
    <n v="0"/>
    <n v="0"/>
    <s v=""/>
    <m/>
    <m/>
    <m/>
    <m/>
    <n v="0"/>
    <m/>
    <m/>
    <m/>
    <m/>
    <m/>
    <m/>
    <m/>
    <m/>
    <m/>
    <s v=""/>
    <m/>
    <n v="0"/>
    <m/>
    <m/>
    <x v="2"/>
  </r>
  <r>
    <x v="1"/>
    <d v="2025-09-06T05:02:24"/>
    <s v="DS 5am"/>
    <m/>
    <m/>
    <m/>
    <m/>
    <s v=""/>
    <m/>
    <m/>
    <x v="2"/>
    <m/>
    <m/>
    <n v="0"/>
    <m/>
    <m/>
    <n v="0"/>
    <m/>
    <m/>
    <n v="0"/>
    <n v="0"/>
    <n v="0"/>
    <s v=""/>
    <m/>
    <m/>
    <m/>
    <m/>
    <n v="0"/>
    <m/>
    <m/>
    <m/>
    <m/>
    <m/>
    <m/>
    <m/>
    <m/>
    <m/>
    <s v=""/>
    <m/>
    <n v="0"/>
    <m/>
    <m/>
    <x v="2"/>
  </r>
  <r>
    <x v="1"/>
    <d v="2025-09-06T17:02:24"/>
    <s v="NS 5pm"/>
    <m/>
    <m/>
    <m/>
    <m/>
    <s v=""/>
    <m/>
    <m/>
    <x v="2"/>
    <m/>
    <m/>
    <n v="0"/>
    <m/>
    <m/>
    <n v="0"/>
    <m/>
    <m/>
    <n v="0"/>
    <n v="0"/>
    <n v="0"/>
    <s v=""/>
    <m/>
    <m/>
    <m/>
    <m/>
    <n v="0"/>
    <m/>
    <m/>
    <m/>
    <m/>
    <m/>
    <m/>
    <m/>
    <m/>
    <m/>
    <s v=""/>
    <m/>
    <n v="0"/>
    <m/>
    <m/>
    <x v="2"/>
  </r>
  <r>
    <x v="1"/>
    <d v="2025-09-07T05:02:24"/>
    <s v="DS 5am"/>
    <m/>
    <m/>
    <m/>
    <m/>
    <s v=""/>
    <m/>
    <m/>
    <x v="2"/>
    <m/>
    <m/>
    <n v="0"/>
    <m/>
    <m/>
    <n v="0"/>
    <m/>
    <m/>
    <n v="0"/>
    <n v="0"/>
    <n v="0"/>
    <s v=""/>
    <m/>
    <m/>
    <m/>
    <m/>
    <n v="0"/>
    <m/>
    <m/>
    <m/>
    <m/>
    <m/>
    <m/>
    <m/>
    <m/>
    <m/>
    <s v=""/>
    <m/>
    <n v="0"/>
    <m/>
    <m/>
    <x v="2"/>
  </r>
  <r>
    <x v="1"/>
    <d v="2025-09-07T17:02:24"/>
    <s v="NS 5pm"/>
    <m/>
    <m/>
    <m/>
    <m/>
    <s v=""/>
    <m/>
    <m/>
    <x v="2"/>
    <m/>
    <m/>
    <n v="0"/>
    <m/>
    <m/>
    <n v="0"/>
    <m/>
    <m/>
    <n v="0"/>
    <n v="0"/>
    <n v="0"/>
    <s v=""/>
    <m/>
    <m/>
    <m/>
    <m/>
    <n v="0"/>
    <m/>
    <m/>
    <m/>
    <m/>
    <m/>
    <m/>
    <m/>
    <m/>
    <m/>
    <s v=""/>
    <m/>
    <n v="0"/>
    <m/>
    <m/>
    <x v="2"/>
  </r>
  <r>
    <x v="1"/>
    <d v="2025-09-08T05:02:24"/>
    <s v="DS 5am"/>
    <m/>
    <m/>
    <m/>
    <m/>
    <s v=""/>
    <m/>
    <m/>
    <x v="2"/>
    <m/>
    <m/>
    <n v="0"/>
    <m/>
    <m/>
    <n v="0"/>
    <m/>
    <m/>
    <n v="0"/>
    <n v="0"/>
    <n v="0"/>
    <s v=""/>
    <m/>
    <m/>
    <m/>
    <m/>
    <n v="0"/>
    <m/>
    <m/>
    <m/>
    <m/>
    <m/>
    <m/>
    <m/>
    <m/>
    <m/>
    <s v=""/>
    <m/>
    <n v="0"/>
    <m/>
    <m/>
    <x v="2"/>
  </r>
  <r>
    <x v="1"/>
    <d v="2025-09-08T17:02:24"/>
    <s v="NS 5pm"/>
    <m/>
    <m/>
    <m/>
    <m/>
    <s v=""/>
    <m/>
    <m/>
    <x v="2"/>
    <m/>
    <m/>
    <n v="0"/>
    <m/>
    <m/>
    <n v="0"/>
    <m/>
    <m/>
    <n v="0"/>
    <n v="0"/>
    <n v="0"/>
    <s v=""/>
    <m/>
    <m/>
    <m/>
    <m/>
    <n v="0"/>
    <m/>
    <m/>
    <m/>
    <m/>
    <m/>
    <m/>
    <m/>
    <m/>
    <m/>
    <s v=""/>
    <m/>
    <n v="0"/>
    <m/>
    <m/>
    <x v="2"/>
  </r>
  <r>
    <x v="1"/>
    <d v="2025-09-09T05:02:24"/>
    <s v="DS 5am"/>
    <m/>
    <m/>
    <m/>
    <m/>
    <s v=""/>
    <m/>
    <m/>
    <x v="2"/>
    <m/>
    <m/>
    <n v="0"/>
    <m/>
    <m/>
    <n v="0"/>
    <m/>
    <m/>
    <n v="0"/>
    <n v="0"/>
    <n v="0"/>
    <s v=""/>
    <m/>
    <m/>
    <m/>
    <m/>
    <n v="0"/>
    <m/>
    <m/>
    <m/>
    <m/>
    <m/>
    <m/>
    <m/>
    <m/>
    <m/>
    <s v=""/>
    <m/>
    <n v="0"/>
    <m/>
    <m/>
    <x v="2"/>
  </r>
  <r>
    <x v="1"/>
    <d v="2025-09-09T17:02:24"/>
    <s v="NS 5pm"/>
    <m/>
    <m/>
    <m/>
    <m/>
    <s v=""/>
    <m/>
    <m/>
    <x v="2"/>
    <m/>
    <m/>
    <n v="0"/>
    <m/>
    <m/>
    <n v="0"/>
    <m/>
    <m/>
    <n v="0"/>
    <n v="0"/>
    <n v="0"/>
    <s v=""/>
    <m/>
    <m/>
    <m/>
    <m/>
    <n v="0"/>
    <m/>
    <m/>
    <m/>
    <m/>
    <m/>
    <m/>
    <m/>
    <m/>
    <m/>
    <s v=""/>
    <m/>
    <n v="0"/>
    <m/>
    <m/>
    <x v="2"/>
  </r>
  <r>
    <x v="1"/>
    <d v="2025-09-10T05:02:24"/>
    <s v="DS 5am"/>
    <m/>
    <m/>
    <m/>
    <m/>
    <s v=""/>
    <m/>
    <m/>
    <x v="2"/>
    <m/>
    <m/>
    <n v="0"/>
    <m/>
    <m/>
    <n v="0"/>
    <m/>
    <m/>
    <n v="0"/>
    <n v="0"/>
    <n v="0"/>
    <s v=""/>
    <m/>
    <m/>
    <m/>
    <m/>
    <n v="0"/>
    <m/>
    <m/>
    <m/>
    <m/>
    <m/>
    <m/>
    <m/>
    <m/>
    <m/>
    <s v=""/>
    <m/>
    <n v="0"/>
    <m/>
    <m/>
    <x v="2"/>
  </r>
  <r>
    <x v="1"/>
    <d v="2025-09-10T17:02:24"/>
    <s v="NS 5pm"/>
    <m/>
    <m/>
    <m/>
    <m/>
    <s v=""/>
    <m/>
    <m/>
    <x v="2"/>
    <m/>
    <m/>
    <n v="0"/>
    <m/>
    <m/>
    <n v="0"/>
    <m/>
    <m/>
    <n v="0"/>
    <n v="0"/>
    <n v="0"/>
    <s v=""/>
    <m/>
    <m/>
    <m/>
    <m/>
    <n v="0"/>
    <m/>
    <m/>
    <m/>
    <m/>
    <m/>
    <m/>
    <m/>
    <m/>
    <m/>
    <s v=""/>
    <m/>
    <n v="0"/>
    <m/>
    <m/>
    <x v="2"/>
  </r>
  <r>
    <x v="1"/>
    <d v="2025-09-11T05:02:24"/>
    <s v="DS 5am"/>
    <m/>
    <m/>
    <m/>
    <m/>
    <s v=""/>
    <m/>
    <m/>
    <x v="2"/>
    <m/>
    <m/>
    <n v="0"/>
    <m/>
    <m/>
    <n v="0"/>
    <m/>
    <m/>
    <n v="0"/>
    <n v="0"/>
    <n v="0"/>
    <s v=""/>
    <m/>
    <m/>
    <m/>
    <m/>
    <n v="0"/>
    <m/>
    <m/>
    <m/>
    <m/>
    <m/>
    <m/>
    <m/>
    <m/>
    <m/>
    <s v=""/>
    <m/>
    <n v="0"/>
    <m/>
    <m/>
    <x v="2"/>
  </r>
  <r>
    <x v="1"/>
    <d v="2025-09-11T17:02:24"/>
    <s v="NS 5pm"/>
    <m/>
    <m/>
    <m/>
    <m/>
    <s v=""/>
    <m/>
    <m/>
    <x v="2"/>
    <m/>
    <m/>
    <n v="0"/>
    <m/>
    <m/>
    <n v="0"/>
    <m/>
    <m/>
    <n v="0"/>
    <n v="0"/>
    <n v="0"/>
    <s v=""/>
    <m/>
    <m/>
    <m/>
    <m/>
    <n v="0"/>
    <m/>
    <m/>
    <m/>
    <m/>
    <m/>
    <m/>
    <m/>
    <m/>
    <m/>
    <s v=""/>
    <m/>
    <n v="0"/>
    <m/>
    <m/>
    <x v="2"/>
  </r>
  <r>
    <x v="1"/>
    <d v="2025-09-12T05:02:24"/>
    <s v="DS 5am"/>
    <m/>
    <m/>
    <m/>
    <m/>
    <s v=""/>
    <m/>
    <m/>
    <x v="2"/>
    <m/>
    <m/>
    <n v="0"/>
    <m/>
    <m/>
    <n v="0"/>
    <m/>
    <m/>
    <n v="0"/>
    <n v="0"/>
    <n v="0"/>
    <s v=""/>
    <m/>
    <m/>
    <m/>
    <m/>
    <n v="0"/>
    <m/>
    <m/>
    <m/>
    <m/>
    <m/>
    <m/>
    <m/>
    <m/>
    <m/>
    <s v=""/>
    <m/>
    <n v="0"/>
    <m/>
    <m/>
    <x v="2"/>
  </r>
  <r>
    <x v="1"/>
    <d v="2025-09-12T17:02:24"/>
    <s v="NS 5pm"/>
    <m/>
    <m/>
    <m/>
    <m/>
    <s v=""/>
    <m/>
    <m/>
    <x v="2"/>
    <m/>
    <m/>
    <n v="0"/>
    <m/>
    <m/>
    <n v="0"/>
    <m/>
    <m/>
    <n v="0"/>
    <n v="0"/>
    <n v="0"/>
    <s v=""/>
    <m/>
    <m/>
    <m/>
    <m/>
    <n v="0"/>
    <m/>
    <m/>
    <m/>
    <m/>
    <m/>
    <m/>
    <m/>
    <m/>
    <m/>
    <s v=""/>
    <m/>
    <n v="0"/>
    <m/>
    <m/>
    <x v="2"/>
  </r>
  <r>
    <x v="1"/>
    <d v="2025-09-13T05:02:24"/>
    <s v="DS 5am"/>
    <m/>
    <m/>
    <m/>
    <m/>
    <s v=""/>
    <m/>
    <m/>
    <x v="2"/>
    <m/>
    <m/>
    <n v="0"/>
    <m/>
    <m/>
    <n v="0"/>
    <m/>
    <m/>
    <n v="0"/>
    <n v="0"/>
    <n v="0"/>
    <s v=""/>
    <m/>
    <m/>
    <m/>
    <m/>
    <n v="0"/>
    <m/>
    <m/>
    <m/>
    <m/>
    <m/>
    <m/>
    <m/>
    <m/>
    <m/>
    <s v=""/>
    <m/>
    <n v="0"/>
    <m/>
    <m/>
    <x v="2"/>
  </r>
  <r>
    <x v="1"/>
    <d v="2025-09-13T17:02:24"/>
    <s v="NS 5pm"/>
    <m/>
    <m/>
    <m/>
    <m/>
    <s v=""/>
    <m/>
    <m/>
    <x v="2"/>
    <m/>
    <m/>
    <n v="0"/>
    <m/>
    <m/>
    <n v="0"/>
    <m/>
    <m/>
    <n v="0"/>
    <n v="0"/>
    <n v="0"/>
    <s v=""/>
    <m/>
    <m/>
    <m/>
    <m/>
    <n v="0"/>
    <m/>
    <m/>
    <m/>
    <m/>
    <m/>
    <m/>
    <m/>
    <m/>
    <m/>
    <s v=""/>
    <m/>
    <n v="0"/>
    <m/>
    <m/>
    <x v="2"/>
  </r>
  <r>
    <x v="1"/>
    <d v="2025-09-14T05:02:24"/>
    <s v="DS 5am"/>
    <m/>
    <m/>
    <m/>
    <m/>
    <s v=""/>
    <m/>
    <m/>
    <x v="2"/>
    <m/>
    <m/>
    <n v="0"/>
    <m/>
    <m/>
    <n v="0"/>
    <m/>
    <m/>
    <n v="0"/>
    <n v="0"/>
    <n v="0"/>
    <s v=""/>
    <m/>
    <m/>
    <m/>
    <m/>
    <n v="0"/>
    <m/>
    <m/>
    <m/>
    <m/>
    <m/>
    <m/>
    <m/>
    <m/>
    <m/>
    <s v=""/>
    <m/>
    <n v="0"/>
    <m/>
    <m/>
    <x v="2"/>
  </r>
  <r>
    <x v="1"/>
    <d v="2025-09-14T17:02:24"/>
    <s v="NS 5pm"/>
    <m/>
    <m/>
    <m/>
    <m/>
    <s v=""/>
    <m/>
    <m/>
    <x v="2"/>
    <m/>
    <m/>
    <n v="0"/>
    <m/>
    <m/>
    <n v="0"/>
    <m/>
    <m/>
    <n v="0"/>
    <n v="0"/>
    <n v="0"/>
    <s v=""/>
    <m/>
    <m/>
    <m/>
    <m/>
    <n v="0"/>
    <m/>
    <m/>
    <m/>
    <m/>
    <m/>
    <m/>
    <m/>
    <m/>
    <m/>
    <s v=""/>
    <m/>
    <n v="0"/>
    <m/>
    <m/>
    <x v="2"/>
  </r>
  <r>
    <x v="1"/>
    <d v="2025-09-15T05:02:24"/>
    <s v="DS 5am"/>
    <m/>
    <m/>
    <m/>
    <m/>
    <s v=""/>
    <m/>
    <m/>
    <x v="2"/>
    <m/>
    <m/>
    <n v="0"/>
    <m/>
    <m/>
    <n v="0"/>
    <m/>
    <m/>
    <n v="0"/>
    <n v="0"/>
    <n v="0"/>
    <s v=""/>
    <m/>
    <m/>
    <m/>
    <m/>
    <n v="0"/>
    <m/>
    <m/>
    <m/>
    <m/>
    <m/>
    <m/>
    <m/>
    <m/>
    <m/>
    <s v=""/>
    <m/>
    <n v="0"/>
    <m/>
    <m/>
    <x v="2"/>
  </r>
  <r>
    <x v="1"/>
    <d v="2025-09-15T17:02:24"/>
    <s v="NS 5pm"/>
    <m/>
    <m/>
    <m/>
    <m/>
    <s v=""/>
    <m/>
    <m/>
    <x v="2"/>
    <m/>
    <m/>
    <n v="0"/>
    <m/>
    <m/>
    <n v="0"/>
    <m/>
    <m/>
    <n v="0"/>
    <n v="0"/>
    <n v="0"/>
    <s v=""/>
    <m/>
    <m/>
    <m/>
    <m/>
    <n v="0"/>
    <m/>
    <m/>
    <m/>
    <m/>
    <m/>
    <m/>
    <m/>
    <m/>
    <m/>
    <s v=""/>
    <m/>
    <n v="0"/>
    <m/>
    <m/>
    <x v="2"/>
  </r>
  <r>
    <x v="1"/>
    <d v="2025-09-16T05:02:24"/>
    <s v="DS 5am"/>
    <m/>
    <m/>
    <m/>
    <m/>
    <s v=""/>
    <m/>
    <m/>
    <x v="2"/>
    <m/>
    <m/>
    <n v="0"/>
    <m/>
    <m/>
    <n v="0"/>
    <m/>
    <m/>
    <n v="0"/>
    <n v="0"/>
    <n v="0"/>
    <s v=""/>
    <m/>
    <m/>
    <m/>
    <m/>
    <n v="0"/>
    <m/>
    <m/>
    <m/>
    <m/>
    <m/>
    <m/>
    <m/>
    <m/>
    <m/>
    <s v=""/>
    <m/>
    <n v="0"/>
    <m/>
    <m/>
    <x v="2"/>
  </r>
  <r>
    <x v="1"/>
    <d v="2025-09-16T17:02:24"/>
    <s v="NS 5pm"/>
    <m/>
    <m/>
    <m/>
    <m/>
    <s v=""/>
    <m/>
    <m/>
    <x v="2"/>
    <m/>
    <m/>
    <n v="0"/>
    <m/>
    <m/>
    <n v="0"/>
    <m/>
    <m/>
    <n v="0"/>
    <n v="0"/>
    <n v="0"/>
    <s v=""/>
    <m/>
    <m/>
    <m/>
    <m/>
    <n v="0"/>
    <m/>
    <m/>
    <m/>
    <m/>
    <m/>
    <m/>
    <m/>
    <m/>
    <m/>
    <s v=""/>
    <m/>
    <n v="0"/>
    <m/>
    <m/>
    <x v="2"/>
  </r>
  <r>
    <x v="1"/>
    <d v="2025-09-17T05:02:24"/>
    <s v="DS 5am"/>
    <m/>
    <m/>
    <m/>
    <m/>
    <s v=""/>
    <m/>
    <m/>
    <x v="2"/>
    <m/>
    <m/>
    <n v="0"/>
    <m/>
    <m/>
    <n v="0"/>
    <m/>
    <m/>
    <n v="0"/>
    <n v="0"/>
    <n v="0"/>
    <s v=""/>
    <m/>
    <m/>
    <m/>
    <m/>
    <n v="0"/>
    <m/>
    <m/>
    <m/>
    <m/>
    <m/>
    <m/>
    <m/>
    <m/>
    <m/>
    <s v=""/>
    <m/>
    <n v="0"/>
    <m/>
    <m/>
    <x v="2"/>
  </r>
  <r>
    <x v="1"/>
    <d v="2025-09-17T17:02:24"/>
    <s v="NS 5pm"/>
    <m/>
    <m/>
    <m/>
    <m/>
    <s v=""/>
    <m/>
    <m/>
    <x v="2"/>
    <m/>
    <m/>
    <n v="0"/>
    <m/>
    <m/>
    <n v="0"/>
    <m/>
    <m/>
    <n v="0"/>
    <n v="0"/>
    <n v="0"/>
    <s v=""/>
    <m/>
    <m/>
    <m/>
    <m/>
    <n v="0"/>
    <m/>
    <m/>
    <m/>
    <m/>
    <m/>
    <m/>
    <m/>
    <m/>
    <m/>
    <s v=""/>
    <m/>
    <n v="0"/>
    <m/>
    <m/>
    <x v="2"/>
  </r>
  <r>
    <x v="1"/>
    <d v="2025-09-18T05:02:24"/>
    <s v="DS 5am"/>
    <m/>
    <m/>
    <m/>
    <m/>
    <s v=""/>
    <m/>
    <m/>
    <x v="2"/>
    <m/>
    <m/>
    <n v="0"/>
    <m/>
    <m/>
    <n v="0"/>
    <m/>
    <m/>
    <n v="0"/>
    <n v="0"/>
    <n v="0"/>
    <s v=""/>
    <m/>
    <m/>
    <m/>
    <m/>
    <n v="0"/>
    <m/>
    <m/>
    <m/>
    <m/>
    <m/>
    <m/>
    <m/>
    <m/>
    <m/>
    <s v=""/>
    <m/>
    <n v="0"/>
    <m/>
    <m/>
    <x v="2"/>
  </r>
  <r>
    <x v="1"/>
    <d v="2025-09-18T17:02:24"/>
    <s v="NS 5pm"/>
    <m/>
    <m/>
    <m/>
    <m/>
    <s v=""/>
    <m/>
    <m/>
    <x v="2"/>
    <m/>
    <m/>
    <n v="0"/>
    <m/>
    <m/>
    <n v="0"/>
    <m/>
    <m/>
    <n v="0"/>
    <n v="0"/>
    <n v="0"/>
    <s v=""/>
    <m/>
    <m/>
    <m/>
    <m/>
    <n v="0"/>
    <m/>
    <m/>
    <m/>
    <m/>
    <m/>
    <m/>
    <m/>
    <m/>
    <m/>
    <s v=""/>
    <m/>
    <n v="0"/>
    <m/>
    <m/>
    <x v="2"/>
  </r>
  <r>
    <x v="1"/>
    <d v="2025-09-19T05:02:24"/>
    <s v="DS 5am"/>
    <m/>
    <m/>
    <m/>
    <m/>
    <s v=""/>
    <m/>
    <m/>
    <x v="2"/>
    <m/>
    <m/>
    <n v="0"/>
    <m/>
    <m/>
    <n v="0"/>
    <m/>
    <m/>
    <n v="0"/>
    <n v="0"/>
    <n v="0"/>
    <s v=""/>
    <m/>
    <m/>
    <m/>
    <m/>
    <n v="0"/>
    <m/>
    <m/>
    <m/>
    <m/>
    <m/>
    <m/>
    <m/>
    <m/>
    <m/>
    <s v=""/>
    <m/>
    <n v="0"/>
    <m/>
    <m/>
    <x v="2"/>
  </r>
  <r>
    <x v="1"/>
    <d v="2025-09-19T17:02:24"/>
    <s v="NS 5pm"/>
    <m/>
    <m/>
    <m/>
    <m/>
    <s v=""/>
    <m/>
    <m/>
    <x v="2"/>
    <m/>
    <m/>
    <n v="0"/>
    <m/>
    <m/>
    <n v="0"/>
    <m/>
    <m/>
    <n v="0"/>
    <n v="0"/>
    <n v="0"/>
    <s v=""/>
    <m/>
    <m/>
    <m/>
    <m/>
    <n v="0"/>
    <m/>
    <m/>
    <m/>
    <m/>
    <m/>
    <m/>
    <m/>
    <m/>
    <m/>
    <s v=""/>
    <m/>
    <n v="0"/>
    <m/>
    <m/>
    <x v="2"/>
  </r>
  <r>
    <x v="1"/>
    <d v="2025-09-20T05:02:24"/>
    <s v="DS 5am"/>
    <m/>
    <m/>
    <m/>
    <m/>
    <s v=""/>
    <m/>
    <m/>
    <x v="2"/>
    <m/>
    <m/>
    <n v="0"/>
    <m/>
    <m/>
    <n v="0"/>
    <m/>
    <m/>
    <n v="0"/>
    <n v="0"/>
    <n v="0"/>
    <s v=""/>
    <m/>
    <m/>
    <m/>
    <m/>
    <n v="0"/>
    <m/>
    <m/>
    <m/>
    <m/>
    <m/>
    <m/>
    <m/>
    <m/>
    <m/>
    <s v=""/>
    <m/>
    <n v="0"/>
    <m/>
    <m/>
    <x v="2"/>
  </r>
  <r>
    <x v="1"/>
    <d v="2025-09-20T17:02:24"/>
    <s v="NS 5pm"/>
    <m/>
    <m/>
    <m/>
    <m/>
    <s v=""/>
    <m/>
    <m/>
    <x v="2"/>
    <m/>
    <m/>
    <n v="0"/>
    <m/>
    <m/>
    <n v="0"/>
    <m/>
    <m/>
    <n v="0"/>
    <n v="0"/>
    <n v="0"/>
    <s v=""/>
    <m/>
    <m/>
    <m/>
    <m/>
    <n v="0"/>
    <m/>
    <m/>
    <m/>
    <m/>
    <m/>
    <m/>
    <m/>
    <m/>
    <m/>
    <s v=""/>
    <m/>
    <n v="0"/>
    <m/>
    <m/>
    <x v="2"/>
  </r>
  <r>
    <x v="1"/>
    <d v="2025-09-21T05:02:24"/>
    <s v="DS 5am"/>
    <m/>
    <m/>
    <m/>
    <m/>
    <s v=""/>
    <m/>
    <m/>
    <x v="2"/>
    <m/>
    <m/>
    <n v="0"/>
    <m/>
    <m/>
    <n v="0"/>
    <m/>
    <m/>
    <n v="0"/>
    <n v="0"/>
    <n v="0"/>
    <s v=""/>
    <m/>
    <m/>
    <m/>
    <m/>
    <n v="0"/>
    <m/>
    <m/>
    <m/>
    <m/>
    <m/>
    <m/>
    <m/>
    <m/>
    <m/>
    <s v=""/>
    <m/>
    <n v="0"/>
    <m/>
    <m/>
    <x v="2"/>
  </r>
  <r>
    <x v="1"/>
    <d v="2025-09-21T17:02:24"/>
    <s v="NS 5pm"/>
    <m/>
    <m/>
    <m/>
    <m/>
    <s v=""/>
    <m/>
    <m/>
    <x v="2"/>
    <m/>
    <m/>
    <n v="0"/>
    <m/>
    <m/>
    <n v="0"/>
    <m/>
    <m/>
    <n v="0"/>
    <n v="0"/>
    <n v="0"/>
    <s v=""/>
    <m/>
    <m/>
    <m/>
    <m/>
    <n v="0"/>
    <m/>
    <m/>
    <m/>
    <m/>
    <m/>
    <m/>
    <m/>
    <m/>
    <m/>
    <s v=""/>
    <m/>
    <n v="0"/>
    <m/>
    <m/>
    <x v="2"/>
  </r>
  <r>
    <x v="1"/>
    <d v="2025-09-22T05:02:24"/>
    <s v="DS 5am"/>
    <m/>
    <m/>
    <m/>
    <m/>
    <s v=""/>
    <m/>
    <m/>
    <x v="2"/>
    <m/>
    <m/>
    <n v="0"/>
    <m/>
    <m/>
    <n v="0"/>
    <m/>
    <m/>
    <n v="0"/>
    <n v="0"/>
    <n v="0"/>
    <s v=""/>
    <m/>
    <m/>
    <m/>
    <m/>
    <n v="0"/>
    <m/>
    <m/>
    <m/>
    <m/>
    <m/>
    <m/>
    <m/>
    <m/>
    <m/>
    <s v=""/>
    <m/>
    <n v="0"/>
    <m/>
    <m/>
    <x v="2"/>
  </r>
  <r>
    <x v="1"/>
    <d v="2025-09-22T17:02:24"/>
    <s v="NS 5pm"/>
    <m/>
    <m/>
    <m/>
    <m/>
    <s v=""/>
    <m/>
    <m/>
    <x v="2"/>
    <m/>
    <m/>
    <n v="0"/>
    <m/>
    <m/>
    <n v="0"/>
    <m/>
    <m/>
    <n v="0"/>
    <n v="0"/>
    <n v="0"/>
    <s v=""/>
    <m/>
    <m/>
    <m/>
    <m/>
    <n v="0"/>
    <m/>
    <m/>
    <m/>
    <m/>
    <m/>
    <m/>
    <m/>
    <m/>
    <m/>
    <s v=""/>
    <m/>
    <n v="0"/>
    <m/>
    <m/>
    <x v="2"/>
  </r>
  <r>
    <x v="1"/>
    <d v="2025-09-23T05:02:24"/>
    <s v="DS 5am"/>
    <m/>
    <m/>
    <m/>
    <m/>
    <s v=""/>
    <m/>
    <m/>
    <x v="2"/>
    <m/>
    <m/>
    <n v="0"/>
    <m/>
    <m/>
    <n v="0"/>
    <m/>
    <m/>
    <n v="0"/>
    <n v="0"/>
    <n v="0"/>
    <s v=""/>
    <m/>
    <m/>
    <m/>
    <m/>
    <n v="0"/>
    <m/>
    <m/>
    <m/>
    <m/>
    <m/>
    <m/>
    <m/>
    <m/>
    <m/>
    <s v=""/>
    <m/>
    <n v="0"/>
    <m/>
    <m/>
    <x v="2"/>
  </r>
  <r>
    <x v="1"/>
    <d v="2025-09-23T17:02:24"/>
    <s v="NS 5pm"/>
    <m/>
    <m/>
    <m/>
    <m/>
    <s v=""/>
    <m/>
    <m/>
    <x v="2"/>
    <m/>
    <m/>
    <n v="0"/>
    <m/>
    <m/>
    <n v="0"/>
    <m/>
    <m/>
    <n v="0"/>
    <n v="0"/>
    <n v="0"/>
    <s v=""/>
    <m/>
    <m/>
    <m/>
    <m/>
    <n v="0"/>
    <m/>
    <m/>
    <m/>
    <m/>
    <m/>
    <m/>
    <m/>
    <m/>
    <m/>
    <s v=""/>
    <m/>
    <n v="0"/>
    <m/>
    <m/>
    <x v="2"/>
  </r>
  <r>
    <x v="1"/>
    <d v="2025-09-24T05:02:24"/>
    <s v="DS 5am"/>
    <m/>
    <m/>
    <m/>
    <m/>
    <s v=""/>
    <m/>
    <m/>
    <x v="2"/>
    <m/>
    <m/>
    <n v="0"/>
    <m/>
    <m/>
    <n v="0"/>
    <m/>
    <m/>
    <n v="0"/>
    <n v="0"/>
    <n v="0"/>
    <s v=""/>
    <m/>
    <m/>
    <m/>
    <m/>
    <n v="0"/>
    <m/>
    <m/>
    <m/>
    <m/>
    <m/>
    <m/>
    <m/>
    <m/>
    <m/>
    <s v=""/>
    <m/>
    <n v="0"/>
    <m/>
    <m/>
    <x v="2"/>
  </r>
  <r>
    <x v="1"/>
    <d v="2025-09-24T17:02:24"/>
    <s v="NS 5pm"/>
    <m/>
    <m/>
    <m/>
    <m/>
    <s v=""/>
    <m/>
    <m/>
    <x v="2"/>
    <m/>
    <m/>
    <n v="0"/>
    <m/>
    <m/>
    <n v="0"/>
    <m/>
    <m/>
    <n v="0"/>
    <n v="0"/>
    <n v="0"/>
    <s v=""/>
    <m/>
    <m/>
    <m/>
    <m/>
    <n v="0"/>
    <m/>
    <m/>
    <m/>
    <m/>
    <m/>
    <m/>
    <m/>
    <m/>
    <m/>
    <s v=""/>
    <m/>
    <n v="0"/>
    <m/>
    <m/>
    <x v="2"/>
  </r>
  <r>
    <x v="1"/>
    <d v="2025-09-25T05:02:24"/>
    <s v="DS 5am"/>
    <m/>
    <m/>
    <m/>
    <m/>
    <s v=""/>
    <m/>
    <m/>
    <x v="2"/>
    <m/>
    <m/>
    <n v="0"/>
    <m/>
    <m/>
    <n v="0"/>
    <m/>
    <m/>
    <n v="0"/>
    <n v="0"/>
    <n v="0"/>
    <s v=""/>
    <m/>
    <m/>
    <m/>
    <m/>
    <n v="0"/>
    <m/>
    <m/>
    <m/>
    <m/>
    <m/>
    <m/>
    <m/>
    <m/>
    <m/>
    <s v=""/>
    <m/>
    <n v="0"/>
    <m/>
    <m/>
    <x v="2"/>
  </r>
  <r>
    <x v="1"/>
    <d v="2025-09-25T17:02:24"/>
    <s v="NS 5pm"/>
    <m/>
    <m/>
    <m/>
    <m/>
    <s v=""/>
    <m/>
    <m/>
    <x v="2"/>
    <m/>
    <m/>
    <n v="0"/>
    <m/>
    <m/>
    <n v="0"/>
    <m/>
    <m/>
    <n v="0"/>
    <n v="0"/>
    <n v="0"/>
    <s v=""/>
    <m/>
    <m/>
    <m/>
    <m/>
    <n v="0"/>
    <m/>
    <m/>
    <m/>
    <m/>
    <m/>
    <m/>
    <m/>
    <m/>
    <m/>
    <s v=""/>
    <m/>
    <n v="0"/>
    <m/>
    <m/>
    <x v="2"/>
  </r>
  <r>
    <x v="1"/>
    <d v="2025-09-26T05:02:24"/>
    <s v="DS 5am"/>
    <m/>
    <m/>
    <m/>
    <m/>
    <s v=""/>
    <m/>
    <m/>
    <x v="2"/>
    <m/>
    <m/>
    <n v="0"/>
    <m/>
    <m/>
    <n v="0"/>
    <m/>
    <m/>
    <n v="0"/>
    <n v="0"/>
    <n v="0"/>
    <s v=""/>
    <m/>
    <m/>
    <m/>
    <m/>
    <n v="0"/>
    <m/>
    <m/>
    <m/>
    <m/>
    <m/>
    <m/>
    <m/>
    <m/>
    <m/>
    <s v=""/>
    <m/>
    <n v="0"/>
    <m/>
    <m/>
    <x v="2"/>
  </r>
  <r>
    <x v="1"/>
    <d v="2025-09-26T17:02:24"/>
    <s v="NS 5pm"/>
    <m/>
    <m/>
    <m/>
    <m/>
    <s v=""/>
    <m/>
    <m/>
    <x v="2"/>
    <m/>
    <m/>
    <n v="0"/>
    <m/>
    <m/>
    <n v="0"/>
    <m/>
    <m/>
    <n v="0"/>
    <n v="0"/>
    <n v="0"/>
    <s v=""/>
    <m/>
    <m/>
    <m/>
    <m/>
    <n v="0"/>
    <m/>
    <m/>
    <m/>
    <m/>
    <m/>
    <m/>
    <m/>
    <m/>
    <m/>
    <s v=""/>
    <m/>
    <n v="0"/>
    <m/>
    <m/>
    <x v="2"/>
  </r>
  <r>
    <x v="1"/>
    <d v="2025-09-27T05:02:24"/>
    <s v="DS 5am"/>
    <m/>
    <m/>
    <m/>
    <m/>
    <s v=""/>
    <m/>
    <m/>
    <x v="2"/>
    <m/>
    <m/>
    <n v="0"/>
    <m/>
    <m/>
    <n v="0"/>
    <m/>
    <m/>
    <n v="0"/>
    <n v="0"/>
    <n v="0"/>
    <s v=""/>
    <m/>
    <m/>
    <m/>
    <m/>
    <n v="0"/>
    <m/>
    <m/>
    <m/>
    <m/>
    <m/>
    <m/>
    <m/>
    <m/>
    <m/>
    <s v=""/>
    <m/>
    <n v="0"/>
    <m/>
    <m/>
    <x v="2"/>
  </r>
  <r>
    <x v="1"/>
    <d v="2025-09-27T17:02:24"/>
    <s v="NS 5pm"/>
    <m/>
    <m/>
    <m/>
    <m/>
    <s v=""/>
    <m/>
    <m/>
    <x v="2"/>
    <m/>
    <m/>
    <n v="0"/>
    <m/>
    <m/>
    <n v="0"/>
    <m/>
    <m/>
    <n v="0"/>
    <n v="0"/>
    <n v="0"/>
    <s v=""/>
    <m/>
    <m/>
    <m/>
    <m/>
    <n v="0"/>
    <m/>
    <m/>
    <m/>
    <m/>
    <m/>
    <m/>
    <m/>
    <m/>
    <m/>
    <s v=""/>
    <m/>
    <n v="0"/>
    <m/>
    <m/>
    <x v="2"/>
  </r>
  <r>
    <x v="1"/>
    <d v="2025-09-28T05:02:24"/>
    <s v="DS 5am"/>
    <m/>
    <m/>
    <m/>
    <m/>
    <s v=""/>
    <m/>
    <m/>
    <x v="2"/>
    <m/>
    <m/>
    <n v="0"/>
    <m/>
    <m/>
    <n v="0"/>
    <m/>
    <m/>
    <n v="0"/>
    <n v="0"/>
    <n v="0"/>
    <s v=""/>
    <m/>
    <m/>
    <m/>
    <m/>
    <n v="0"/>
    <m/>
    <m/>
    <m/>
    <m/>
    <m/>
    <m/>
    <m/>
    <m/>
    <m/>
    <s v=""/>
    <m/>
    <n v="0"/>
    <m/>
    <m/>
    <x v="2"/>
  </r>
  <r>
    <x v="1"/>
    <d v="2025-09-28T17:02:24"/>
    <s v="NS 5pm"/>
    <m/>
    <m/>
    <m/>
    <m/>
    <s v=""/>
    <m/>
    <m/>
    <x v="2"/>
    <m/>
    <m/>
    <n v="0"/>
    <m/>
    <m/>
    <n v="0"/>
    <m/>
    <m/>
    <n v="0"/>
    <n v="0"/>
    <n v="0"/>
    <s v=""/>
    <m/>
    <m/>
    <m/>
    <m/>
    <n v="0"/>
    <m/>
    <m/>
    <m/>
    <m/>
    <m/>
    <m/>
    <m/>
    <m/>
    <m/>
    <s v=""/>
    <m/>
    <n v="0"/>
    <m/>
    <m/>
    <x v="2"/>
  </r>
  <r>
    <x v="1"/>
    <d v="2025-09-29T05:02:24"/>
    <s v="DS 5am"/>
    <m/>
    <m/>
    <m/>
    <m/>
    <s v=""/>
    <m/>
    <m/>
    <x v="2"/>
    <m/>
    <m/>
    <n v="0"/>
    <m/>
    <m/>
    <n v="0"/>
    <m/>
    <m/>
    <n v="0"/>
    <n v="0"/>
    <n v="0"/>
    <s v=""/>
    <m/>
    <m/>
    <m/>
    <m/>
    <n v="0"/>
    <m/>
    <m/>
    <m/>
    <m/>
    <m/>
    <m/>
    <m/>
    <m/>
    <m/>
    <s v=""/>
    <m/>
    <n v="0"/>
    <m/>
    <m/>
    <x v="2"/>
  </r>
  <r>
    <x v="1"/>
    <d v="2025-09-29T17:02:24"/>
    <s v="NS 5pm"/>
    <m/>
    <m/>
    <m/>
    <m/>
    <s v=""/>
    <m/>
    <m/>
    <x v="2"/>
    <m/>
    <m/>
    <n v="0"/>
    <m/>
    <m/>
    <n v="0"/>
    <m/>
    <m/>
    <n v="0"/>
    <n v="0"/>
    <n v="0"/>
    <s v=""/>
    <m/>
    <m/>
    <m/>
    <m/>
    <n v="0"/>
    <m/>
    <m/>
    <m/>
    <m/>
    <m/>
    <m/>
    <m/>
    <m/>
    <m/>
    <s v=""/>
    <m/>
    <n v="0"/>
    <m/>
    <m/>
    <x v="2"/>
  </r>
  <r>
    <x v="1"/>
    <d v="2025-09-30T05:02:24"/>
    <s v="DS 5am"/>
    <m/>
    <m/>
    <m/>
    <m/>
    <s v=""/>
    <m/>
    <m/>
    <x v="2"/>
    <m/>
    <m/>
    <n v="0"/>
    <m/>
    <m/>
    <n v="0"/>
    <m/>
    <m/>
    <n v="0"/>
    <n v="0"/>
    <n v="0"/>
    <s v=""/>
    <m/>
    <m/>
    <m/>
    <m/>
    <n v="0"/>
    <m/>
    <m/>
    <m/>
    <m/>
    <m/>
    <m/>
    <m/>
    <m/>
    <m/>
    <s v=""/>
    <m/>
    <n v="0"/>
    <m/>
    <m/>
    <x v="2"/>
  </r>
  <r>
    <x v="1"/>
    <d v="2025-09-30T17:02:24"/>
    <s v="NS 5pm"/>
    <m/>
    <m/>
    <m/>
    <m/>
    <s v=""/>
    <m/>
    <m/>
    <x v="2"/>
    <m/>
    <m/>
    <n v="0"/>
    <m/>
    <m/>
    <n v="0"/>
    <m/>
    <m/>
    <n v="0"/>
    <n v="0"/>
    <n v="0"/>
    <s v=""/>
    <m/>
    <m/>
    <m/>
    <m/>
    <n v="0"/>
    <m/>
    <m/>
    <m/>
    <m/>
    <m/>
    <m/>
    <m/>
    <m/>
    <m/>
    <s v=""/>
    <m/>
    <n v="0"/>
    <m/>
    <m/>
    <x v="2"/>
  </r>
  <r>
    <x v="1"/>
    <d v="2025-10-01T05:02:24"/>
    <s v="DS 5am"/>
    <m/>
    <m/>
    <m/>
    <m/>
    <s v=""/>
    <m/>
    <m/>
    <x v="2"/>
    <m/>
    <m/>
    <n v="0"/>
    <m/>
    <m/>
    <n v="0"/>
    <m/>
    <m/>
    <n v="0"/>
    <n v="0"/>
    <n v="0"/>
    <s v=""/>
    <m/>
    <m/>
    <m/>
    <m/>
    <n v="0"/>
    <m/>
    <m/>
    <m/>
    <m/>
    <m/>
    <m/>
    <m/>
    <m/>
    <m/>
    <s v=""/>
    <m/>
    <n v="0"/>
    <m/>
    <m/>
    <x v="2"/>
  </r>
  <r>
    <x v="1"/>
    <d v="2025-10-01T17:02:24"/>
    <s v="NS 5pm"/>
    <m/>
    <m/>
    <m/>
    <m/>
    <s v=""/>
    <m/>
    <m/>
    <x v="2"/>
    <m/>
    <m/>
    <n v="0"/>
    <m/>
    <m/>
    <n v="0"/>
    <m/>
    <m/>
    <n v="0"/>
    <n v="0"/>
    <n v="0"/>
    <s v=""/>
    <m/>
    <m/>
    <m/>
    <m/>
    <n v="0"/>
    <m/>
    <m/>
    <m/>
    <m/>
    <m/>
    <m/>
    <m/>
    <m/>
    <m/>
    <s v=""/>
    <m/>
    <n v="0"/>
    <m/>
    <m/>
    <x v="2"/>
  </r>
  <r>
    <x v="1"/>
    <d v="2025-10-02T05:02:24"/>
    <s v="DS 5am"/>
    <m/>
    <m/>
    <m/>
    <m/>
    <s v=""/>
    <m/>
    <m/>
    <x v="2"/>
    <m/>
    <m/>
    <n v="0"/>
    <m/>
    <m/>
    <n v="0"/>
    <m/>
    <m/>
    <n v="0"/>
    <n v="0"/>
    <n v="0"/>
    <s v=""/>
    <m/>
    <m/>
    <m/>
    <m/>
    <n v="0"/>
    <m/>
    <m/>
    <m/>
    <m/>
    <m/>
    <m/>
    <m/>
    <m/>
    <m/>
    <s v=""/>
    <m/>
    <n v="0"/>
    <m/>
    <m/>
    <x v="2"/>
  </r>
  <r>
    <x v="1"/>
    <d v="2025-10-02T17:02:24"/>
    <s v="NS 5pm"/>
    <m/>
    <m/>
    <m/>
    <m/>
    <s v=""/>
    <m/>
    <m/>
    <x v="2"/>
    <m/>
    <m/>
    <n v="0"/>
    <m/>
    <m/>
    <n v="0"/>
    <m/>
    <m/>
    <n v="0"/>
    <n v="0"/>
    <n v="0"/>
    <s v=""/>
    <m/>
    <m/>
    <m/>
    <m/>
    <n v="0"/>
    <m/>
    <m/>
    <m/>
    <m/>
    <m/>
    <m/>
    <m/>
    <m/>
    <m/>
    <s v=""/>
    <m/>
    <n v="0"/>
    <m/>
    <m/>
    <x v="2"/>
  </r>
  <r>
    <x v="1"/>
    <d v="2025-10-03T05:02:24"/>
    <s v="DS 5am"/>
    <m/>
    <m/>
    <m/>
    <m/>
    <s v=""/>
    <m/>
    <m/>
    <x v="2"/>
    <m/>
    <m/>
    <n v="0"/>
    <m/>
    <m/>
    <n v="0"/>
    <m/>
    <m/>
    <n v="0"/>
    <n v="0"/>
    <n v="0"/>
    <s v=""/>
    <m/>
    <m/>
    <m/>
    <m/>
    <n v="0"/>
    <m/>
    <m/>
    <m/>
    <m/>
    <m/>
    <m/>
    <m/>
    <m/>
    <m/>
    <s v=""/>
    <m/>
    <n v="0"/>
    <m/>
    <m/>
    <x v="2"/>
  </r>
  <r>
    <x v="1"/>
    <d v="2025-10-03T17:02:24"/>
    <s v="NS 5pm"/>
    <m/>
    <m/>
    <m/>
    <m/>
    <s v=""/>
    <m/>
    <m/>
    <x v="2"/>
    <m/>
    <m/>
    <n v="0"/>
    <m/>
    <m/>
    <n v="0"/>
    <m/>
    <m/>
    <n v="0"/>
    <n v="0"/>
    <n v="0"/>
    <s v=""/>
    <m/>
    <m/>
    <m/>
    <m/>
    <n v="0"/>
    <m/>
    <m/>
    <m/>
    <m/>
    <m/>
    <m/>
    <m/>
    <m/>
    <m/>
    <s v=""/>
    <m/>
    <n v="0"/>
    <m/>
    <m/>
    <x v="2"/>
  </r>
  <r>
    <x v="1"/>
    <d v="2025-10-04T05:02:24"/>
    <s v="DS 5am"/>
    <m/>
    <m/>
    <m/>
    <m/>
    <s v=""/>
    <m/>
    <m/>
    <x v="2"/>
    <m/>
    <m/>
    <n v="0"/>
    <m/>
    <m/>
    <n v="0"/>
    <m/>
    <m/>
    <n v="0"/>
    <n v="0"/>
    <n v="0"/>
    <s v=""/>
    <m/>
    <m/>
    <m/>
    <m/>
    <n v="0"/>
    <m/>
    <m/>
    <m/>
    <m/>
    <m/>
    <m/>
    <m/>
    <m/>
    <m/>
    <s v=""/>
    <m/>
    <n v="0"/>
    <m/>
    <m/>
    <x v="2"/>
  </r>
  <r>
    <x v="1"/>
    <d v="2025-10-04T17:02:24"/>
    <s v="NS 5pm"/>
    <m/>
    <m/>
    <m/>
    <m/>
    <s v=""/>
    <m/>
    <m/>
    <x v="2"/>
    <m/>
    <m/>
    <n v="0"/>
    <m/>
    <m/>
    <n v="0"/>
    <m/>
    <m/>
    <n v="0"/>
    <n v="0"/>
    <n v="0"/>
    <s v=""/>
    <m/>
    <m/>
    <m/>
    <m/>
    <n v="0"/>
    <m/>
    <m/>
    <m/>
    <m/>
    <m/>
    <m/>
    <m/>
    <m/>
    <m/>
    <s v=""/>
    <m/>
    <n v="0"/>
    <m/>
    <m/>
    <x v="2"/>
  </r>
  <r>
    <x v="1"/>
    <d v="2025-10-05T05:02:24"/>
    <s v="DS 5am"/>
    <m/>
    <m/>
    <m/>
    <m/>
    <s v=""/>
    <m/>
    <m/>
    <x v="2"/>
    <m/>
    <m/>
    <n v="0"/>
    <m/>
    <m/>
    <n v="0"/>
    <m/>
    <m/>
    <n v="0"/>
    <n v="0"/>
    <n v="0"/>
    <s v=""/>
    <m/>
    <m/>
    <m/>
    <m/>
    <n v="0"/>
    <m/>
    <m/>
    <m/>
    <m/>
    <m/>
    <m/>
    <m/>
    <m/>
    <m/>
    <s v=""/>
    <m/>
    <n v="0"/>
    <m/>
    <m/>
    <x v="2"/>
  </r>
  <r>
    <x v="1"/>
    <d v="2025-10-05T17:02:24"/>
    <s v="NS 5pm"/>
    <m/>
    <m/>
    <m/>
    <m/>
    <m/>
    <m/>
    <m/>
    <x v="40"/>
    <m/>
    <m/>
    <m/>
    <m/>
    <m/>
    <m/>
    <m/>
    <m/>
    <m/>
    <n v="0"/>
    <n v="0"/>
    <s v=""/>
    <m/>
    <m/>
    <m/>
    <m/>
    <n v="0"/>
    <m/>
    <m/>
    <m/>
    <m/>
    <m/>
    <m/>
    <m/>
    <m/>
    <m/>
    <m/>
    <m/>
    <m/>
    <m/>
    <m/>
    <x v="60"/>
  </r>
  <r>
    <x v="1"/>
    <d v="2025-10-06T05:02:24"/>
    <s v="DS 5am"/>
    <m/>
    <m/>
    <m/>
    <m/>
    <m/>
    <m/>
    <m/>
    <x v="40"/>
    <m/>
    <m/>
    <m/>
    <m/>
    <m/>
    <m/>
    <m/>
    <m/>
    <m/>
    <n v="0"/>
    <n v="0"/>
    <s v=""/>
    <m/>
    <m/>
    <m/>
    <m/>
    <n v="0"/>
    <m/>
    <m/>
    <m/>
    <m/>
    <m/>
    <m/>
    <m/>
    <m/>
    <m/>
    <m/>
    <m/>
    <m/>
    <m/>
    <m/>
    <x v="60"/>
  </r>
  <r>
    <x v="1"/>
    <d v="2025-10-06T17:02:24"/>
    <s v="NS 5pm"/>
    <m/>
    <m/>
    <m/>
    <m/>
    <m/>
    <m/>
    <m/>
    <x v="40"/>
    <m/>
    <m/>
    <m/>
    <m/>
    <m/>
    <m/>
    <m/>
    <m/>
    <m/>
    <n v="0"/>
    <n v="0"/>
    <s v=""/>
    <m/>
    <m/>
    <m/>
    <m/>
    <n v="0"/>
    <m/>
    <m/>
    <m/>
    <m/>
    <m/>
    <m/>
    <m/>
    <m/>
    <m/>
    <m/>
    <m/>
    <m/>
    <m/>
    <m/>
    <x v="60"/>
  </r>
  <r>
    <x v="1"/>
    <d v="2025-10-07T05:02:24"/>
    <s v="DS 5am"/>
    <m/>
    <m/>
    <m/>
    <m/>
    <m/>
    <m/>
    <m/>
    <x v="40"/>
    <m/>
    <m/>
    <m/>
    <m/>
    <m/>
    <m/>
    <m/>
    <m/>
    <m/>
    <n v="0"/>
    <n v="0"/>
    <s v=""/>
    <m/>
    <m/>
    <m/>
    <m/>
    <n v="0"/>
    <m/>
    <m/>
    <m/>
    <m/>
    <m/>
    <m/>
    <m/>
    <m/>
    <m/>
    <m/>
    <m/>
    <m/>
    <m/>
    <m/>
    <x v="60"/>
  </r>
  <r>
    <x v="1"/>
    <d v="2025-10-07T17:02:24"/>
    <s v="NS 5pm"/>
    <m/>
    <m/>
    <m/>
    <m/>
    <m/>
    <m/>
    <m/>
    <x v="40"/>
    <m/>
    <m/>
    <m/>
    <m/>
    <m/>
    <m/>
    <m/>
    <m/>
    <m/>
    <n v="0"/>
    <n v="0"/>
    <s v=""/>
    <m/>
    <m/>
    <m/>
    <m/>
    <n v="0"/>
    <m/>
    <m/>
    <m/>
    <m/>
    <m/>
    <m/>
    <m/>
    <m/>
    <m/>
    <m/>
    <m/>
    <m/>
    <m/>
    <m/>
    <x v="60"/>
  </r>
  <r>
    <x v="1"/>
    <d v="2025-10-08T05:02:24"/>
    <s v="DS 5am"/>
    <m/>
    <m/>
    <m/>
    <m/>
    <m/>
    <m/>
    <m/>
    <x v="40"/>
    <m/>
    <m/>
    <m/>
    <m/>
    <m/>
    <m/>
    <m/>
    <m/>
    <m/>
    <n v="0"/>
    <n v="0"/>
    <s v=""/>
    <m/>
    <m/>
    <m/>
    <m/>
    <n v="0"/>
    <m/>
    <m/>
    <m/>
    <m/>
    <m/>
    <m/>
    <m/>
    <m/>
    <m/>
    <m/>
    <m/>
    <m/>
    <m/>
    <m/>
    <x v="60"/>
  </r>
  <r>
    <x v="1"/>
    <d v="2025-10-08T17:02:24"/>
    <s v="NS 5pm"/>
    <m/>
    <m/>
    <m/>
    <m/>
    <m/>
    <m/>
    <m/>
    <x v="40"/>
    <m/>
    <m/>
    <m/>
    <m/>
    <m/>
    <m/>
    <m/>
    <m/>
    <m/>
    <n v="0"/>
    <n v="0"/>
    <s v=""/>
    <m/>
    <m/>
    <m/>
    <m/>
    <n v="0"/>
    <m/>
    <m/>
    <m/>
    <m/>
    <m/>
    <m/>
    <m/>
    <m/>
    <m/>
    <m/>
    <m/>
    <m/>
    <m/>
    <m/>
    <x v="60"/>
  </r>
  <r>
    <x v="1"/>
    <d v="2025-10-09T05:02:24"/>
    <s v="DS 5am"/>
    <m/>
    <m/>
    <m/>
    <m/>
    <m/>
    <m/>
    <m/>
    <x v="40"/>
    <m/>
    <m/>
    <m/>
    <m/>
    <m/>
    <m/>
    <m/>
    <m/>
    <m/>
    <n v="0"/>
    <n v="0"/>
    <s v=""/>
    <m/>
    <m/>
    <m/>
    <m/>
    <n v="0"/>
    <m/>
    <m/>
    <m/>
    <m/>
    <m/>
    <m/>
    <m/>
    <m/>
    <m/>
    <m/>
    <m/>
    <m/>
    <m/>
    <m/>
    <x v="60"/>
  </r>
  <r>
    <x v="1"/>
    <d v="2025-10-09T17:02:24"/>
    <s v="NS 5pm"/>
    <m/>
    <m/>
    <m/>
    <m/>
    <m/>
    <m/>
    <m/>
    <x v="40"/>
    <m/>
    <m/>
    <m/>
    <m/>
    <m/>
    <m/>
    <m/>
    <m/>
    <m/>
    <n v="0"/>
    <n v="0"/>
    <s v=""/>
    <m/>
    <m/>
    <m/>
    <m/>
    <n v="0"/>
    <m/>
    <m/>
    <m/>
    <m/>
    <m/>
    <m/>
    <m/>
    <m/>
    <m/>
    <m/>
    <m/>
    <m/>
    <m/>
    <m/>
    <x v="60"/>
  </r>
  <r>
    <x v="1"/>
    <d v="2025-10-10T05:02:24"/>
    <s v="DS 5am"/>
    <m/>
    <m/>
    <m/>
    <m/>
    <m/>
    <m/>
    <m/>
    <x v="40"/>
    <m/>
    <m/>
    <m/>
    <m/>
    <m/>
    <m/>
    <m/>
    <m/>
    <m/>
    <n v="0"/>
    <n v="0"/>
    <s v=""/>
    <m/>
    <m/>
    <m/>
    <m/>
    <n v="0"/>
    <m/>
    <m/>
    <m/>
    <m/>
    <m/>
    <m/>
    <m/>
    <m/>
    <m/>
    <m/>
    <m/>
    <m/>
    <m/>
    <m/>
    <x v="60"/>
  </r>
  <r>
    <x v="1"/>
    <d v="2025-10-10T17:02:24"/>
    <s v="NS 5pm"/>
    <m/>
    <m/>
    <m/>
    <m/>
    <m/>
    <m/>
    <m/>
    <x v="40"/>
    <m/>
    <m/>
    <m/>
    <m/>
    <m/>
    <m/>
    <m/>
    <m/>
    <m/>
    <n v="0"/>
    <n v="0"/>
    <s v=""/>
    <m/>
    <m/>
    <m/>
    <m/>
    <n v="0"/>
    <m/>
    <m/>
    <m/>
    <m/>
    <m/>
    <m/>
    <m/>
    <m/>
    <m/>
    <m/>
    <m/>
    <m/>
    <m/>
    <m/>
    <x v="60"/>
  </r>
  <r>
    <x v="1"/>
    <d v="2025-10-11T05:02:24"/>
    <s v="DS 5am"/>
    <m/>
    <m/>
    <m/>
    <m/>
    <m/>
    <m/>
    <m/>
    <x v="40"/>
    <m/>
    <m/>
    <m/>
    <m/>
    <m/>
    <m/>
    <m/>
    <m/>
    <m/>
    <n v="0"/>
    <n v="0"/>
    <s v=""/>
    <m/>
    <m/>
    <m/>
    <m/>
    <n v="0"/>
    <m/>
    <m/>
    <m/>
    <m/>
    <m/>
    <m/>
    <m/>
    <m/>
    <m/>
    <m/>
    <m/>
    <m/>
    <m/>
    <m/>
    <x v="60"/>
  </r>
  <r>
    <x v="1"/>
    <d v="2025-10-11T17:02:24"/>
    <s v="NS 5pm"/>
    <m/>
    <m/>
    <m/>
    <m/>
    <m/>
    <m/>
    <m/>
    <x v="40"/>
    <m/>
    <m/>
    <m/>
    <m/>
    <m/>
    <m/>
    <m/>
    <m/>
    <m/>
    <n v="0"/>
    <n v="0"/>
    <s v=""/>
    <m/>
    <m/>
    <m/>
    <m/>
    <n v="0"/>
    <m/>
    <m/>
    <m/>
    <m/>
    <m/>
    <m/>
    <m/>
    <m/>
    <m/>
    <m/>
    <m/>
    <m/>
    <m/>
    <m/>
    <x v="60"/>
  </r>
  <r>
    <x v="1"/>
    <d v="2025-10-12T05:02:24"/>
    <s v="DS 5am"/>
    <m/>
    <m/>
    <m/>
    <m/>
    <m/>
    <m/>
    <m/>
    <x v="40"/>
    <m/>
    <m/>
    <m/>
    <m/>
    <m/>
    <m/>
    <m/>
    <m/>
    <m/>
    <n v="0"/>
    <n v="0"/>
    <s v=""/>
    <m/>
    <m/>
    <m/>
    <m/>
    <n v="0"/>
    <m/>
    <m/>
    <m/>
    <m/>
    <m/>
    <m/>
    <m/>
    <m/>
    <m/>
    <m/>
    <m/>
    <m/>
    <m/>
    <m/>
    <x v="60"/>
  </r>
  <r>
    <x v="1"/>
    <d v="2025-10-12T17:02:24"/>
    <s v="NS 5pm"/>
    <m/>
    <m/>
    <m/>
    <m/>
    <m/>
    <m/>
    <m/>
    <x v="40"/>
    <m/>
    <m/>
    <m/>
    <m/>
    <m/>
    <m/>
    <m/>
    <m/>
    <m/>
    <n v="0"/>
    <n v="0"/>
    <s v=""/>
    <m/>
    <m/>
    <m/>
    <m/>
    <n v="0"/>
    <m/>
    <m/>
    <m/>
    <m/>
    <m/>
    <m/>
    <m/>
    <m/>
    <m/>
    <m/>
    <m/>
    <m/>
    <m/>
    <m/>
    <x v="60"/>
  </r>
  <r>
    <x v="1"/>
    <d v="2025-10-13T05:02:24"/>
    <s v="DS 5am"/>
    <m/>
    <m/>
    <m/>
    <m/>
    <m/>
    <m/>
    <m/>
    <x v="40"/>
    <m/>
    <m/>
    <m/>
    <m/>
    <m/>
    <m/>
    <m/>
    <m/>
    <m/>
    <n v="0"/>
    <n v="0"/>
    <s v=""/>
    <m/>
    <m/>
    <m/>
    <m/>
    <n v="0"/>
    <m/>
    <m/>
    <m/>
    <m/>
    <m/>
    <m/>
    <m/>
    <m/>
    <m/>
    <m/>
    <m/>
    <m/>
    <m/>
    <m/>
    <x v="60"/>
  </r>
  <r>
    <x v="1"/>
    <d v="2025-10-13T17:02:24"/>
    <s v="NS 5pm"/>
    <m/>
    <m/>
    <m/>
    <m/>
    <m/>
    <m/>
    <m/>
    <x v="40"/>
    <m/>
    <m/>
    <m/>
    <m/>
    <m/>
    <m/>
    <m/>
    <m/>
    <m/>
    <n v="0"/>
    <n v="0"/>
    <s v=""/>
    <m/>
    <m/>
    <m/>
    <m/>
    <n v="0"/>
    <m/>
    <m/>
    <m/>
    <m/>
    <m/>
    <m/>
    <m/>
    <m/>
    <m/>
    <m/>
    <m/>
    <m/>
    <m/>
    <m/>
    <x v="60"/>
  </r>
  <r>
    <x v="1"/>
    <d v="2025-10-14T05:02:24"/>
    <s v="DS 5am"/>
    <m/>
    <m/>
    <m/>
    <m/>
    <m/>
    <m/>
    <m/>
    <x v="40"/>
    <m/>
    <m/>
    <m/>
    <m/>
    <m/>
    <m/>
    <m/>
    <m/>
    <m/>
    <n v="0"/>
    <n v="0"/>
    <s v=""/>
    <m/>
    <m/>
    <m/>
    <m/>
    <n v="0"/>
    <m/>
    <m/>
    <m/>
    <m/>
    <m/>
    <m/>
    <m/>
    <m/>
    <m/>
    <m/>
    <m/>
    <m/>
    <m/>
    <m/>
    <x v="60"/>
  </r>
  <r>
    <x v="1"/>
    <d v="2025-10-14T17:02:24"/>
    <s v="NS 5pm"/>
    <m/>
    <m/>
    <m/>
    <m/>
    <m/>
    <m/>
    <m/>
    <x v="40"/>
    <m/>
    <m/>
    <m/>
    <m/>
    <m/>
    <m/>
    <m/>
    <m/>
    <m/>
    <n v="0"/>
    <n v="0"/>
    <s v=""/>
    <m/>
    <m/>
    <m/>
    <m/>
    <n v="0"/>
    <m/>
    <m/>
    <m/>
    <m/>
    <m/>
    <m/>
    <m/>
    <m/>
    <m/>
    <m/>
    <m/>
    <m/>
    <m/>
    <m/>
    <x v="60"/>
  </r>
  <r>
    <x v="1"/>
    <d v="2025-10-15T05:02:24"/>
    <s v="DS 5am"/>
    <m/>
    <m/>
    <m/>
    <m/>
    <m/>
    <m/>
    <m/>
    <x v="40"/>
    <m/>
    <m/>
    <m/>
    <m/>
    <m/>
    <m/>
    <m/>
    <m/>
    <m/>
    <n v="0"/>
    <n v="0"/>
    <s v=""/>
    <m/>
    <m/>
    <m/>
    <m/>
    <n v="0"/>
    <m/>
    <m/>
    <m/>
    <m/>
    <m/>
    <m/>
    <m/>
    <m/>
    <m/>
    <m/>
    <m/>
    <m/>
    <m/>
    <m/>
    <x v="60"/>
  </r>
  <r>
    <x v="1"/>
    <d v="2025-10-15T17:02:24"/>
    <s v="NS 5pm"/>
    <m/>
    <m/>
    <m/>
    <m/>
    <m/>
    <m/>
    <m/>
    <x v="40"/>
    <m/>
    <m/>
    <m/>
    <m/>
    <m/>
    <m/>
    <m/>
    <m/>
    <m/>
    <n v="0"/>
    <n v="0"/>
    <s v=""/>
    <m/>
    <m/>
    <m/>
    <m/>
    <n v="0"/>
    <m/>
    <m/>
    <m/>
    <m/>
    <m/>
    <m/>
    <m/>
    <m/>
    <m/>
    <m/>
    <m/>
    <m/>
    <m/>
    <m/>
    <x v="60"/>
  </r>
  <r>
    <x v="1"/>
    <d v="2025-10-16T05:02:24"/>
    <s v="DS 5am"/>
    <m/>
    <m/>
    <m/>
    <m/>
    <m/>
    <m/>
    <m/>
    <x v="40"/>
    <m/>
    <m/>
    <m/>
    <m/>
    <m/>
    <m/>
    <m/>
    <m/>
    <m/>
    <n v="0"/>
    <n v="0"/>
    <s v=""/>
    <m/>
    <m/>
    <m/>
    <m/>
    <n v="0"/>
    <m/>
    <m/>
    <m/>
    <m/>
    <m/>
    <m/>
    <m/>
    <m/>
    <m/>
    <m/>
    <m/>
    <m/>
    <m/>
    <m/>
    <x v="60"/>
  </r>
  <r>
    <x v="1"/>
    <d v="2025-10-16T17:02:24"/>
    <s v="NS 5pm"/>
    <m/>
    <m/>
    <m/>
    <m/>
    <m/>
    <m/>
    <m/>
    <x v="40"/>
    <m/>
    <m/>
    <m/>
    <m/>
    <m/>
    <m/>
    <m/>
    <m/>
    <m/>
    <n v="0"/>
    <n v="0"/>
    <s v=""/>
    <m/>
    <m/>
    <m/>
    <m/>
    <n v="0"/>
    <m/>
    <m/>
    <m/>
    <m/>
    <m/>
    <m/>
    <m/>
    <m/>
    <m/>
    <m/>
    <m/>
    <m/>
    <m/>
    <m/>
    <x v="60"/>
  </r>
  <r>
    <x v="1"/>
    <d v="2025-10-17T05:02:24"/>
    <s v="DS 5am"/>
    <m/>
    <m/>
    <m/>
    <m/>
    <m/>
    <m/>
    <m/>
    <x v="40"/>
    <m/>
    <m/>
    <m/>
    <m/>
    <m/>
    <m/>
    <m/>
    <m/>
    <m/>
    <n v="0"/>
    <n v="0"/>
    <s v=""/>
    <m/>
    <m/>
    <m/>
    <m/>
    <n v="0"/>
    <m/>
    <m/>
    <m/>
    <m/>
    <m/>
    <m/>
    <m/>
    <m/>
    <m/>
    <m/>
    <m/>
    <m/>
    <m/>
    <m/>
    <x v="60"/>
  </r>
  <r>
    <x v="1"/>
    <d v="2025-10-17T17:02:24"/>
    <s v="NS 5pm"/>
    <m/>
    <m/>
    <m/>
    <m/>
    <m/>
    <m/>
    <m/>
    <x v="40"/>
    <m/>
    <m/>
    <m/>
    <m/>
    <m/>
    <m/>
    <m/>
    <m/>
    <m/>
    <n v="0"/>
    <n v="0"/>
    <s v=""/>
    <m/>
    <m/>
    <m/>
    <m/>
    <n v="0"/>
    <m/>
    <m/>
    <m/>
    <m/>
    <m/>
    <m/>
    <m/>
    <m/>
    <m/>
    <m/>
    <m/>
    <m/>
    <m/>
    <m/>
    <x v="60"/>
  </r>
  <r>
    <x v="1"/>
    <d v="2025-10-18T05:02:24"/>
    <s v="DS 5am"/>
    <m/>
    <m/>
    <m/>
    <m/>
    <m/>
    <m/>
    <m/>
    <x v="40"/>
    <m/>
    <m/>
    <m/>
    <m/>
    <m/>
    <m/>
    <m/>
    <m/>
    <m/>
    <n v="0"/>
    <n v="0"/>
    <s v=""/>
    <m/>
    <m/>
    <m/>
    <m/>
    <n v="0"/>
    <m/>
    <m/>
    <m/>
    <m/>
    <m/>
    <m/>
    <m/>
    <m/>
    <m/>
    <m/>
    <m/>
    <m/>
    <m/>
    <m/>
    <x v="60"/>
  </r>
  <r>
    <x v="1"/>
    <d v="2025-10-18T17:02:24"/>
    <s v="NS 5pm"/>
    <m/>
    <m/>
    <m/>
    <m/>
    <m/>
    <m/>
    <m/>
    <x v="40"/>
    <m/>
    <m/>
    <m/>
    <m/>
    <m/>
    <m/>
    <m/>
    <m/>
    <m/>
    <n v="0"/>
    <n v="0"/>
    <s v=""/>
    <m/>
    <m/>
    <m/>
    <m/>
    <n v="0"/>
    <m/>
    <m/>
    <m/>
    <m/>
    <m/>
    <m/>
    <m/>
    <m/>
    <m/>
    <m/>
    <m/>
    <m/>
    <m/>
    <m/>
    <x v="60"/>
  </r>
  <r>
    <x v="1"/>
    <d v="2025-10-19T05:02:24"/>
    <s v="DS 5am"/>
    <m/>
    <m/>
    <m/>
    <m/>
    <m/>
    <m/>
    <m/>
    <x v="40"/>
    <m/>
    <m/>
    <m/>
    <m/>
    <m/>
    <m/>
    <m/>
    <m/>
    <m/>
    <n v="0"/>
    <n v="0"/>
    <s v=""/>
    <m/>
    <m/>
    <m/>
    <m/>
    <n v="0"/>
    <m/>
    <m/>
    <m/>
    <m/>
    <m/>
    <m/>
    <m/>
    <m/>
    <m/>
    <m/>
    <m/>
    <m/>
    <m/>
    <m/>
    <x v="60"/>
  </r>
  <r>
    <x v="1"/>
    <d v="2025-10-19T17:02:24"/>
    <s v="NS 5pm"/>
    <m/>
    <m/>
    <m/>
    <m/>
    <m/>
    <m/>
    <m/>
    <x v="40"/>
    <m/>
    <m/>
    <m/>
    <m/>
    <m/>
    <m/>
    <m/>
    <m/>
    <m/>
    <n v="0"/>
    <n v="0"/>
    <s v=""/>
    <m/>
    <m/>
    <m/>
    <m/>
    <n v="0"/>
    <m/>
    <m/>
    <m/>
    <m/>
    <m/>
    <m/>
    <m/>
    <m/>
    <m/>
    <m/>
    <m/>
    <m/>
    <m/>
    <m/>
    <x v="60"/>
  </r>
  <r>
    <x v="1"/>
    <d v="2025-10-20T05:02:24"/>
    <s v="DS 5am"/>
    <m/>
    <m/>
    <m/>
    <m/>
    <m/>
    <m/>
    <m/>
    <x v="40"/>
    <m/>
    <m/>
    <m/>
    <m/>
    <m/>
    <m/>
    <m/>
    <m/>
    <m/>
    <n v="0"/>
    <n v="0"/>
    <s v=""/>
    <m/>
    <m/>
    <m/>
    <m/>
    <n v="0"/>
    <m/>
    <m/>
    <m/>
    <m/>
    <m/>
    <m/>
    <m/>
    <m/>
    <m/>
    <m/>
    <m/>
    <m/>
    <m/>
    <m/>
    <x v="60"/>
  </r>
  <r>
    <x v="1"/>
    <d v="2025-10-20T17:02:24"/>
    <s v="NS 5pm"/>
    <m/>
    <m/>
    <m/>
    <m/>
    <m/>
    <m/>
    <m/>
    <x v="40"/>
    <m/>
    <m/>
    <m/>
    <m/>
    <m/>
    <m/>
    <m/>
    <m/>
    <m/>
    <n v="0"/>
    <n v="0"/>
    <s v=""/>
    <m/>
    <m/>
    <m/>
    <m/>
    <n v="0"/>
    <m/>
    <m/>
    <m/>
    <m/>
    <m/>
    <m/>
    <m/>
    <m/>
    <m/>
    <m/>
    <m/>
    <m/>
    <m/>
    <m/>
    <x v="60"/>
  </r>
  <r>
    <x v="1"/>
    <d v="2025-10-21T05:02:24"/>
    <s v="DS 5am"/>
    <m/>
    <m/>
    <m/>
    <m/>
    <m/>
    <m/>
    <m/>
    <x v="40"/>
    <m/>
    <m/>
    <m/>
    <m/>
    <m/>
    <m/>
    <m/>
    <m/>
    <m/>
    <n v="0"/>
    <n v="0"/>
    <s v=""/>
    <m/>
    <m/>
    <m/>
    <m/>
    <n v="0"/>
    <m/>
    <m/>
    <m/>
    <m/>
    <m/>
    <m/>
    <m/>
    <m/>
    <m/>
    <m/>
    <m/>
    <m/>
    <m/>
    <m/>
    <x v="60"/>
  </r>
  <r>
    <x v="1"/>
    <d v="2025-10-21T17:02:24"/>
    <s v="NS 5pm"/>
    <m/>
    <m/>
    <m/>
    <m/>
    <m/>
    <m/>
    <m/>
    <x v="40"/>
    <m/>
    <m/>
    <m/>
    <m/>
    <m/>
    <m/>
    <m/>
    <m/>
    <m/>
    <n v="0"/>
    <n v="0"/>
    <s v=""/>
    <m/>
    <m/>
    <m/>
    <m/>
    <n v="0"/>
    <m/>
    <m/>
    <m/>
    <m/>
    <m/>
    <m/>
    <m/>
    <m/>
    <m/>
    <m/>
    <m/>
    <m/>
    <m/>
    <m/>
    <x v="60"/>
  </r>
  <r>
    <x v="1"/>
    <d v="2025-10-22T05:02:24"/>
    <s v="DS 5am"/>
    <m/>
    <m/>
    <m/>
    <m/>
    <m/>
    <m/>
    <m/>
    <x v="40"/>
    <m/>
    <m/>
    <m/>
    <m/>
    <m/>
    <m/>
    <m/>
    <m/>
    <m/>
    <n v="0"/>
    <n v="0"/>
    <s v=""/>
    <m/>
    <m/>
    <m/>
    <m/>
    <n v="0"/>
    <m/>
    <m/>
    <m/>
    <m/>
    <m/>
    <m/>
    <m/>
    <m/>
    <m/>
    <m/>
    <m/>
    <m/>
    <m/>
    <m/>
    <x v="60"/>
  </r>
  <r>
    <x v="1"/>
    <d v="2025-10-22T17:02:24"/>
    <s v="NS 5pm"/>
    <m/>
    <m/>
    <m/>
    <m/>
    <m/>
    <m/>
    <m/>
    <x v="40"/>
    <m/>
    <m/>
    <m/>
    <m/>
    <m/>
    <m/>
    <m/>
    <m/>
    <m/>
    <n v="0"/>
    <n v="0"/>
    <s v=""/>
    <m/>
    <m/>
    <m/>
    <m/>
    <n v="0"/>
    <m/>
    <m/>
    <m/>
    <m/>
    <m/>
    <m/>
    <m/>
    <m/>
    <m/>
    <m/>
    <m/>
    <m/>
    <m/>
    <m/>
    <x v="60"/>
  </r>
  <r>
    <x v="1"/>
    <d v="2025-10-23T05:02:24"/>
    <s v="DS 5am"/>
    <m/>
    <m/>
    <m/>
    <m/>
    <m/>
    <m/>
    <m/>
    <x v="40"/>
    <m/>
    <m/>
    <m/>
    <m/>
    <m/>
    <m/>
    <m/>
    <m/>
    <m/>
    <n v="0"/>
    <n v="0"/>
    <s v=""/>
    <m/>
    <m/>
    <m/>
    <m/>
    <n v="0"/>
    <m/>
    <m/>
    <m/>
    <m/>
    <m/>
    <m/>
    <m/>
    <m/>
    <m/>
    <m/>
    <m/>
    <m/>
    <m/>
    <m/>
    <x v="60"/>
  </r>
  <r>
    <x v="1"/>
    <d v="2025-10-23T17:02:24"/>
    <s v="NS 5pm"/>
    <m/>
    <m/>
    <m/>
    <m/>
    <m/>
    <m/>
    <m/>
    <x v="40"/>
    <m/>
    <m/>
    <m/>
    <m/>
    <m/>
    <m/>
    <m/>
    <m/>
    <m/>
    <n v="0"/>
    <n v="0"/>
    <s v=""/>
    <m/>
    <m/>
    <m/>
    <m/>
    <n v="0"/>
    <m/>
    <m/>
    <m/>
    <m/>
    <m/>
    <m/>
    <m/>
    <m/>
    <m/>
    <m/>
    <m/>
    <m/>
    <m/>
    <m/>
    <x v="60"/>
  </r>
  <r>
    <x v="1"/>
    <d v="2025-10-24T05:02:24"/>
    <s v="DS 5am"/>
    <m/>
    <m/>
    <m/>
    <m/>
    <m/>
    <m/>
    <m/>
    <x v="40"/>
    <m/>
    <m/>
    <m/>
    <m/>
    <m/>
    <m/>
    <m/>
    <m/>
    <m/>
    <n v="0"/>
    <n v="0"/>
    <s v=""/>
    <m/>
    <m/>
    <m/>
    <m/>
    <n v="0"/>
    <m/>
    <m/>
    <m/>
    <m/>
    <m/>
    <m/>
    <m/>
    <m/>
    <m/>
    <m/>
    <m/>
    <m/>
    <m/>
    <m/>
    <x v="60"/>
  </r>
  <r>
    <x v="1"/>
    <d v="2025-10-24T17:02:24"/>
    <s v="NS 5pm"/>
    <m/>
    <m/>
    <m/>
    <m/>
    <m/>
    <m/>
    <m/>
    <x v="40"/>
    <m/>
    <m/>
    <m/>
    <m/>
    <m/>
    <m/>
    <m/>
    <m/>
    <m/>
    <n v="0"/>
    <n v="0"/>
    <s v=""/>
    <m/>
    <m/>
    <m/>
    <m/>
    <n v="0"/>
    <m/>
    <m/>
    <m/>
    <m/>
    <m/>
    <m/>
    <m/>
    <m/>
    <m/>
    <m/>
    <m/>
    <m/>
    <m/>
    <m/>
    <x v="60"/>
  </r>
  <r>
    <x v="1"/>
    <d v="2025-10-25T05:02:24"/>
    <s v="DS 5am"/>
    <m/>
    <m/>
    <m/>
    <m/>
    <m/>
    <m/>
    <m/>
    <x v="40"/>
    <m/>
    <m/>
    <m/>
    <m/>
    <m/>
    <m/>
    <m/>
    <m/>
    <m/>
    <n v="0"/>
    <n v="0"/>
    <s v=""/>
    <m/>
    <m/>
    <m/>
    <m/>
    <n v="0"/>
    <m/>
    <m/>
    <m/>
    <m/>
    <m/>
    <m/>
    <m/>
    <m/>
    <m/>
    <m/>
    <m/>
    <m/>
    <m/>
    <m/>
    <x v="60"/>
  </r>
  <r>
    <x v="1"/>
    <d v="2025-10-25T17:02:24"/>
    <s v="NS 5pm"/>
    <m/>
    <m/>
    <m/>
    <m/>
    <m/>
    <m/>
    <m/>
    <x v="40"/>
    <m/>
    <m/>
    <m/>
    <m/>
    <m/>
    <m/>
    <m/>
    <m/>
    <m/>
    <n v="0"/>
    <n v="0"/>
    <s v=""/>
    <m/>
    <m/>
    <m/>
    <m/>
    <n v="0"/>
    <m/>
    <m/>
    <m/>
    <m/>
    <m/>
    <m/>
    <m/>
    <m/>
    <m/>
    <m/>
    <m/>
    <m/>
    <m/>
    <m/>
    <x v="60"/>
  </r>
  <r>
    <x v="1"/>
    <d v="2025-10-26T05:02:24"/>
    <s v="DS 5am"/>
    <m/>
    <m/>
    <m/>
    <m/>
    <m/>
    <m/>
    <m/>
    <x v="40"/>
    <m/>
    <m/>
    <m/>
    <m/>
    <m/>
    <m/>
    <m/>
    <m/>
    <m/>
    <n v="0"/>
    <n v="0"/>
    <s v=""/>
    <m/>
    <m/>
    <m/>
    <m/>
    <n v="0"/>
    <m/>
    <m/>
    <m/>
    <m/>
    <m/>
    <m/>
    <m/>
    <m/>
    <m/>
    <m/>
    <m/>
    <m/>
    <m/>
    <m/>
    <x v="60"/>
  </r>
  <r>
    <x v="1"/>
    <d v="2025-10-26T17:02:24"/>
    <s v="NS 5pm"/>
    <m/>
    <m/>
    <m/>
    <m/>
    <m/>
    <m/>
    <m/>
    <x v="40"/>
    <m/>
    <m/>
    <m/>
    <m/>
    <m/>
    <m/>
    <m/>
    <m/>
    <m/>
    <n v="0"/>
    <n v="0"/>
    <s v=""/>
    <m/>
    <m/>
    <m/>
    <m/>
    <n v="0"/>
    <m/>
    <m/>
    <m/>
    <m/>
    <m/>
    <m/>
    <m/>
    <m/>
    <m/>
    <m/>
    <m/>
    <m/>
    <m/>
    <m/>
    <x v="60"/>
  </r>
  <r>
    <x v="1"/>
    <d v="2025-10-27T05:02:24"/>
    <s v="DS 5am"/>
    <m/>
    <m/>
    <m/>
    <m/>
    <m/>
    <m/>
    <m/>
    <x v="40"/>
    <m/>
    <m/>
    <m/>
    <m/>
    <m/>
    <m/>
    <m/>
    <m/>
    <m/>
    <n v="0"/>
    <n v="0"/>
    <s v=""/>
    <m/>
    <m/>
    <m/>
    <m/>
    <n v="0"/>
    <m/>
    <m/>
    <m/>
    <m/>
    <m/>
    <m/>
    <m/>
    <m/>
    <m/>
    <m/>
    <m/>
    <m/>
    <m/>
    <m/>
    <x v="60"/>
  </r>
  <r>
    <x v="1"/>
    <d v="2025-10-27T17:02:24"/>
    <s v="NS 5pm"/>
    <m/>
    <m/>
    <m/>
    <m/>
    <m/>
    <m/>
    <m/>
    <x v="40"/>
    <m/>
    <m/>
    <m/>
    <m/>
    <m/>
    <m/>
    <m/>
    <m/>
    <m/>
    <n v="0"/>
    <n v="0"/>
    <s v=""/>
    <m/>
    <m/>
    <m/>
    <m/>
    <n v="0"/>
    <m/>
    <m/>
    <m/>
    <m/>
    <m/>
    <m/>
    <m/>
    <m/>
    <m/>
    <m/>
    <m/>
    <m/>
    <m/>
    <m/>
    <x v="60"/>
  </r>
  <r>
    <x v="1"/>
    <d v="2025-10-28T05:02:24"/>
    <s v="DS 5am"/>
    <m/>
    <m/>
    <m/>
    <m/>
    <m/>
    <m/>
    <m/>
    <x v="40"/>
    <m/>
    <m/>
    <m/>
    <m/>
    <m/>
    <m/>
    <m/>
    <m/>
    <m/>
    <n v="0"/>
    <n v="0"/>
    <s v=""/>
    <m/>
    <m/>
    <m/>
    <m/>
    <n v="0"/>
    <m/>
    <m/>
    <m/>
    <m/>
    <m/>
    <m/>
    <m/>
    <m/>
    <m/>
    <m/>
    <m/>
    <m/>
    <m/>
    <m/>
    <x v="60"/>
  </r>
  <r>
    <x v="1"/>
    <d v="2025-10-28T17:02:24"/>
    <s v="NS 5pm"/>
    <m/>
    <m/>
    <m/>
    <m/>
    <m/>
    <m/>
    <m/>
    <x v="40"/>
    <m/>
    <m/>
    <m/>
    <m/>
    <m/>
    <m/>
    <m/>
    <m/>
    <m/>
    <n v="0"/>
    <n v="0"/>
    <s v=""/>
    <m/>
    <m/>
    <m/>
    <m/>
    <n v="0"/>
    <m/>
    <m/>
    <m/>
    <m/>
    <m/>
    <m/>
    <m/>
    <m/>
    <m/>
    <m/>
    <m/>
    <m/>
    <m/>
    <m/>
    <x v="60"/>
  </r>
  <r>
    <x v="1"/>
    <d v="2025-10-29T05:02:24"/>
    <s v="DS 5am"/>
    <m/>
    <m/>
    <m/>
    <m/>
    <m/>
    <m/>
    <m/>
    <x v="40"/>
    <m/>
    <m/>
    <m/>
    <m/>
    <m/>
    <m/>
    <m/>
    <m/>
    <m/>
    <n v="0"/>
    <n v="0"/>
    <s v=""/>
    <m/>
    <m/>
    <m/>
    <m/>
    <n v="0"/>
    <m/>
    <m/>
    <m/>
    <m/>
    <m/>
    <m/>
    <m/>
    <m/>
    <m/>
    <m/>
    <m/>
    <m/>
    <m/>
    <m/>
    <x v="60"/>
  </r>
  <r>
    <x v="1"/>
    <d v="2025-10-29T17:02:24"/>
    <s v="NS 5pm"/>
    <m/>
    <m/>
    <m/>
    <m/>
    <m/>
    <m/>
    <m/>
    <x v="40"/>
    <m/>
    <m/>
    <m/>
    <m/>
    <m/>
    <m/>
    <m/>
    <m/>
    <m/>
    <n v="0"/>
    <n v="0"/>
    <s v=""/>
    <m/>
    <m/>
    <m/>
    <m/>
    <n v="0"/>
    <m/>
    <m/>
    <m/>
    <m/>
    <m/>
    <m/>
    <m/>
    <m/>
    <m/>
    <m/>
    <m/>
    <m/>
    <m/>
    <m/>
    <x v="60"/>
  </r>
  <r>
    <x v="1"/>
    <d v="2025-10-30T05:02:24"/>
    <s v="DS 5am"/>
    <m/>
    <m/>
    <m/>
    <m/>
    <m/>
    <m/>
    <m/>
    <x v="40"/>
    <m/>
    <m/>
    <m/>
    <m/>
    <m/>
    <m/>
    <m/>
    <m/>
    <m/>
    <n v="0"/>
    <n v="0"/>
    <s v=""/>
    <m/>
    <m/>
    <m/>
    <m/>
    <n v="0"/>
    <m/>
    <m/>
    <m/>
    <m/>
    <m/>
    <m/>
    <m/>
    <m/>
    <m/>
    <m/>
    <m/>
    <m/>
    <m/>
    <m/>
    <x v="60"/>
  </r>
  <r>
    <x v="1"/>
    <d v="2025-10-30T17:02:24"/>
    <s v="NS 5pm"/>
    <m/>
    <m/>
    <m/>
    <m/>
    <m/>
    <m/>
    <m/>
    <x v="40"/>
    <m/>
    <m/>
    <m/>
    <m/>
    <m/>
    <m/>
    <m/>
    <m/>
    <m/>
    <n v="0"/>
    <n v="0"/>
    <s v=""/>
    <m/>
    <m/>
    <m/>
    <m/>
    <n v="0"/>
    <m/>
    <m/>
    <m/>
    <m/>
    <m/>
    <m/>
    <m/>
    <m/>
    <m/>
    <m/>
    <m/>
    <m/>
    <m/>
    <m/>
    <x v="60"/>
  </r>
  <r>
    <x v="1"/>
    <s v="END OF SHEET"/>
    <s v="END OF SHEET"/>
    <s v="END OF SHEET"/>
    <s v="END OF SHEET"/>
    <s v="END OF SHEET"/>
    <s v="END OF SHEET"/>
    <s v="END OF SHEET"/>
    <s v="END OF SHEET"/>
    <s v="END OF SHEET"/>
    <x v="41"/>
    <s v="END OF SHEET"/>
    <s v="END OF SHEET"/>
    <s v="END OF SHEET"/>
    <s v="END OF SHEET"/>
    <s v="END OF SHEET"/>
    <s v="END OF SHEET"/>
    <s v="END OF SHEET"/>
    <s v="END OF SHEET"/>
    <s v="END OF SHEET"/>
    <s v=""/>
    <s v=""/>
    <e v="#VALUE!"/>
    <m/>
    <s v="END OF SHEET"/>
    <s v="END OF SHEET"/>
    <s v="END OF SHEET"/>
    <n v="0"/>
    <s v="END OF SHEET"/>
    <s v="END OF SHEET"/>
    <s v="END OF SHEET"/>
    <s v="END OF SHEET"/>
    <s v="END OF SHEET"/>
    <s v="END OF SHEET"/>
    <s v="END OF SHEET"/>
    <s v="END OF SHEET"/>
    <m/>
    <s v="END OF SHEET"/>
    <s v="END OF SHEET"/>
    <s v="END OF SHEET"/>
    <m/>
    <s v="END OF SHEET"/>
    <x v="6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
  <r>
    <x v="0"/>
    <n v="1"/>
    <n v="2"/>
    <n v="3"/>
    <n v="4"/>
    <n v="5"/>
    <n v="6"/>
    <n v="7"/>
    <n v="8"/>
    <n v="9"/>
    <x v="0"/>
    <n v="11"/>
    <n v="12"/>
    <n v="13"/>
    <n v="14"/>
    <n v="15"/>
    <n v="16"/>
    <n v="17"/>
    <n v="18"/>
    <n v="19"/>
    <m/>
    <n v="20"/>
    <n v="21"/>
    <m/>
    <n v="22"/>
    <n v="23"/>
    <n v="24"/>
    <m/>
    <n v="25"/>
    <n v="26"/>
    <n v="27"/>
    <n v="28"/>
    <n v="29"/>
    <n v="30"/>
    <n v="31"/>
    <n v="32"/>
    <m/>
    <n v="33"/>
    <n v="34"/>
    <n v="35"/>
    <m/>
    <n v="36"/>
    <x v="0"/>
    <m/>
  </r>
  <r>
    <x v="1"/>
    <d v="2025-06-13T05:02:24"/>
    <s v="DS 5am"/>
    <m/>
    <m/>
    <s v="Peter Gillespie"/>
    <n v="0"/>
    <n v="0"/>
    <m/>
    <m/>
    <x v="1"/>
    <m/>
    <m/>
    <n v="0"/>
    <m/>
    <m/>
    <n v="0"/>
    <m/>
    <m/>
    <n v="0"/>
    <s v=""/>
    <s v=""/>
    <s v=""/>
    <n v="1"/>
    <n v="1"/>
    <n v="1"/>
    <n v="13122"/>
    <n v="750"/>
    <m/>
    <m/>
    <m/>
    <m/>
    <m/>
    <m/>
    <m/>
    <m/>
    <m/>
    <n v="0"/>
    <m/>
    <n v="0"/>
    <m/>
    <m/>
    <x v="1"/>
    <m/>
  </r>
  <r>
    <x v="2"/>
    <d v="2025-06-13T17:02:24"/>
    <s v="NS 5pm"/>
    <m/>
    <m/>
    <m/>
    <m/>
    <s v=""/>
    <m/>
    <m/>
    <x v="1"/>
    <m/>
    <m/>
    <n v="0"/>
    <m/>
    <m/>
    <n v="0"/>
    <m/>
    <m/>
    <n v="0"/>
    <s v=""/>
    <s v=""/>
    <s v=""/>
    <m/>
    <m/>
    <m/>
    <m/>
    <n v="0"/>
    <m/>
    <m/>
    <m/>
    <m/>
    <m/>
    <m/>
    <m/>
    <m/>
    <m/>
    <n v="0"/>
    <m/>
    <n v="0"/>
    <m/>
    <m/>
    <x v="2"/>
    <m/>
  </r>
  <r>
    <x v="1"/>
    <d v="2025-06-14T05:02:24"/>
    <s v="DS 5am"/>
    <m/>
    <m/>
    <s v="Peter Gillespie"/>
    <n v="0"/>
    <n v="0"/>
    <m/>
    <m/>
    <x v="1"/>
    <m/>
    <m/>
    <n v="0"/>
    <m/>
    <m/>
    <n v="0"/>
    <m/>
    <m/>
    <n v="0"/>
    <s v=""/>
    <s v=""/>
    <s v=""/>
    <n v="1"/>
    <n v="1"/>
    <n v="1"/>
    <n v="13122"/>
    <n v="750"/>
    <m/>
    <m/>
    <m/>
    <m/>
    <m/>
    <m/>
    <m/>
    <m/>
    <m/>
    <n v="0"/>
    <m/>
    <n v="0"/>
    <m/>
    <m/>
    <x v="1"/>
    <m/>
  </r>
  <r>
    <x v="3"/>
    <d v="2025-06-14T17:02:24"/>
    <s v="NS 5pm"/>
    <m/>
    <m/>
    <m/>
    <m/>
    <s v=""/>
    <m/>
    <m/>
    <x v="1"/>
    <m/>
    <m/>
    <n v="0"/>
    <m/>
    <m/>
    <n v="0"/>
    <m/>
    <m/>
    <n v="0"/>
    <s v=""/>
    <s v=""/>
    <s v=""/>
    <m/>
    <m/>
    <m/>
    <m/>
    <n v="0"/>
    <m/>
    <m/>
    <m/>
    <m/>
    <m/>
    <m/>
    <m/>
    <m/>
    <m/>
    <n v="0"/>
    <m/>
    <n v="0"/>
    <m/>
    <m/>
    <x v="2"/>
    <m/>
  </r>
  <r>
    <x v="1"/>
    <d v="2025-06-15T05:02:24"/>
    <s v="DS 5am"/>
    <m/>
    <m/>
    <s v="Peter Gillespie"/>
    <n v="0"/>
    <n v="0"/>
    <m/>
    <m/>
    <x v="1"/>
    <m/>
    <m/>
    <n v="0"/>
    <m/>
    <m/>
    <n v="0"/>
    <m/>
    <m/>
    <n v="0"/>
    <s v=""/>
    <s v=""/>
    <s v=""/>
    <n v="1"/>
    <n v="1"/>
    <n v="1"/>
    <n v="13122"/>
    <n v="750"/>
    <m/>
    <m/>
    <m/>
    <m/>
    <n v="7"/>
    <m/>
    <n v="5"/>
    <m/>
    <m/>
    <n v="12"/>
    <m/>
    <n v="2520"/>
    <m/>
    <m/>
    <x v="3"/>
    <n v="3095"/>
  </r>
  <r>
    <x v="4"/>
    <d v="2025-06-15T17:02:24"/>
    <s v="NS 5pm"/>
    <m/>
    <m/>
    <m/>
    <m/>
    <s v=""/>
    <m/>
    <m/>
    <x v="1"/>
    <m/>
    <m/>
    <n v="0"/>
    <m/>
    <m/>
    <n v="0"/>
    <m/>
    <m/>
    <n v="0"/>
    <s v=""/>
    <s v=""/>
    <s v=""/>
    <m/>
    <m/>
    <m/>
    <m/>
    <n v="0"/>
    <m/>
    <m/>
    <m/>
    <m/>
    <m/>
    <m/>
    <m/>
    <m/>
    <m/>
    <n v="0"/>
    <m/>
    <n v="0"/>
    <m/>
    <m/>
    <x v="2"/>
    <n v="0"/>
  </r>
  <r>
    <x v="1"/>
    <d v="2025-06-16T05:02:24"/>
    <s v="DS 5am"/>
    <m/>
    <m/>
    <s v="Peter Gillespie"/>
    <n v="0"/>
    <n v="0"/>
    <m/>
    <m/>
    <x v="1"/>
    <m/>
    <m/>
    <n v="0"/>
    <m/>
    <m/>
    <n v="0"/>
    <m/>
    <m/>
    <n v="0"/>
    <s v=""/>
    <s v=""/>
    <s v=""/>
    <n v="1"/>
    <n v="1"/>
    <n v="1"/>
    <n v="13122"/>
    <n v="750"/>
    <m/>
    <n v="4.75"/>
    <m/>
    <n v="4.75"/>
    <m/>
    <m/>
    <n v="2.5"/>
    <m/>
    <m/>
    <n v="12"/>
    <m/>
    <n v="3895"/>
    <m/>
    <m/>
    <x v="4"/>
    <n v="4470"/>
  </r>
  <r>
    <x v="5"/>
    <d v="2025-06-16T17:02:24"/>
    <s v="NS 5pm"/>
    <m/>
    <m/>
    <m/>
    <m/>
    <s v=""/>
    <m/>
    <m/>
    <x v="1"/>
    <m/>
    <m/>
    <n v="0"/>
    <m/>
    <m/>
    <n v="0"/>
    <m/>
    <m/>
    <n v="0"/>
    <s v=""/>
    <s v=""/>
    <s v=""/>
    <m/>
    <m/>
    <m/>
    <m/>
    <n v="0"/>
    <m/>
    <m/>
    <m/>
    <m/>
    <m/>
    <m/>
    <m/>
    <m/>
    <m/>
    <n v="0"/>
    <m/>
    <n v="0"/>
    <m/>
    <m/>
    <x v="2"/>
    <n v="0"/>
  </r>
  <r>
    <x v="1"/>
    <d v="2025-06-17T05:02:24"/>
    <s v="DS 5am"/>
    <m/>
    <m/>
    <s v="Zeke Shackelton"/>
    <n v="4"/>
    <n v="520"/>
    <m/>
    <m/>
    <x v="1"/>
    <m/>
    <m/>
    <n v="0"/>
    <m/>
    <m/>
    <n v="0"/>
    <m/>
    <m/>
    <n v="0"/>
    <s v=""/>
    <s v=""/>
    <s v=""/>
    <n v="1"/>
    <n v="1"/>
    <n v="1"/>
    <n v="13122"/>
    <n v="750"/>
    <m/>
    <n v="10.75"/>
    <m/>
    <m/>
    <n v="1.25"/>
    <m/>
    <m/>
    <m/>
    <m/>
    <n v="12"/>
    <m/>
    <n v="5395"/>
    <m/>
    <m/>
    <x v="5"/>
    <n v="6490"/>
  </r>
  <r>
    <x v="1"/>
    <d v="2025-06-17T17:02:24"/>
    <s v="NS 5pm"/>
    <m/>
    <m/>
    <s v="Peter Gillespie"/>
    <n v="3"/>
    <n v="390"/>
    <m/>
    <m/>
    <x v="1"/>
    <m/>
    <m/>
    <n v="0"/>
    <m/>
    <m/>
    <n v="0"/>
    <m/>
    <m/>
    <n v="0"/>
    <s v=""/>
    <s v=""/>
    <s v=""/>
    <m/>
    <m/>
    <m/>
    <m/>
    <n v="0"/>
    <m/>
    <n v="7.25"/>
    <m/>
    <n v="3.25"/>
    <n v="1.5"/>
    <m/>
    <m/>
    <m/>
    <m/>
    <n v="12"/>
    <m/>
    <n v="5045"/>
    <m/>
    <m/>
    <x v="6"/>
    <n v="5435"/>
  </r>
  <r>
    <x v="1"/>
    <d v="2025-06-18T05:02:24"/>
    <s v="DS 5am"/>
    <s v="SF25_DMET006"/>
    <m/>
    <s v="Zeke Shackelton"/>
    <n v="4"/>
    <n v="520"/>
    <n v="0"/>
    <n v="24.5"/>
    <x v="2"/>
    <m/>
    <m/>
    <n v="0"/>
    <m/>
    <m/>
    <n v="0"/>
    <m/>
    <m/>
    <n v="0"/>
    <n v="24.5"/>
    <n v="4287.5"/>
    <n v="4287.5"/>
    <n v="1"/>
    <n v="1"/>
    <n v="1"/>
    <n v="13122"/>
    <n v="750"/>
    <n v="8.75"/>
    <n v="1.5"/>
    <m/>
    <m/>
    <n v="1.75"/>
    <m/>
    <m/>
    <m/>
    <m/>
    <n v="12"/>
    <m/>
    <n v="1320"/>
    <m/>
    <n v="547.6400000000001"/>
    <x v="7"/>
    <n v="7250.14"/>
  </r>
  <r>
    <x v="1"/>
    <d v="2025-06-18T17:02:24"/>
    <s v="NS 5pm"/>
    <s v="SF25_DMET007"/>
    <m/>
    <s v="Peter Gillespie"/>
    <n v="3"/>
    <n v="390"/>
    <n v="24.5"/>
    <n v="51.5"/>
    <x v="3"/>
    <m/>
    <m/>
    <n v="0"/>
    <m/>
    <m/>
    <n v="0"/>
    <m/>
    <m/>
    <n v="0"/>
    <n v="27"/>
    <n v="4725"/>
    <n v="4725"/>
    <m/>
    <m/>
    <m/>
    <m/>
    <n v="0"/>
    <n v="10.25"/>
    <n v="1"/>
    <m/>
    <m/>
    <n v="0.75"/>
    <m/>
    <m/>
    <m/>
    <m/>
    <n v="12"/>
    <m/>
    <n v="730"/>
    <m/>
    <n v="253.98000000000002"/>
    <x v="8"/>
    <n v="6098.98"/>
  </r>
  <r>
    <x v="1"/>
    <d v="2025-06-19T05:02:24"/>
    <s v="DS 5am"/>
    <s v="SF25_DMET008"/>
    <m/>
    <s v="Zeke Shackelton"/>
    <n v="4"/>
    <n v="520"/>
    <n v="51.5"/>
    <n v="80"/>
    <x v="4"/>
    <m/>
    <m/>
    <n v="0"/>
    <m/>
    <m/>
    <n v="0"/>
    <m/>
    <m/>
    <n v="0"/>
    <n v="28.5"/>
    <n v="4987.5"/>
    <n v="4987.5"/>
    <n v="1"/>
    <n v="1"/>
    <n v="1"/>
    <n v="13122"/>
    <n v="750"/>
    <n v="9.25"/>
    <n v="2.5"/>
    <m/>
    <m/>
    <n v="0.25"/>
    <m/>
    <m/>
    <m/>
    <m/>
    <n v="12"/>
    <m/>
    <n v="1240"/>
    <m/>
    <n v="878.93000000000006"/>
    <x v="9"/>
    <n v="8201.43"/>
  </r>
  <r>
    <x v="1"/>
    <d v="2025-06-19T17:02:24"/>
    <s v="NS 5pm"/>
    <s v="SF25_DMET007"/>
    <m/>
    <s v="Peter Gillespie"/>
    <n v="3"/>
    <n v="390"/>
    <n v="0"/>
    <n v="27.5"/>
    <x v="5"/>
    <m/>
    <m/>
    <n v="0"/>
    <m/>
    <m/>
    <n v="0"/>
    <m/>
    <m/>
    <n v="0"/>
    <n v="27.5"/>
    <n v="4812.5"/>
    <n v="4812.5"/>
    <m/>
    <m/>
    <m/>
    <m/>
    <n v="0"/>
    <n v="8"/>
    <n v="3"/>
    <m/>
    <n v="1"/>
    <m/>
    <m/>
    <m/>
    <m/>
    <m/>
    <n v="12"/>
    <m/>
    <n v="1740"/>
    <m/>
    <n v="301"/>
    <x v="10"/>
    <n v="7243.5"/>
  </r>
  <r>
    <x v="1"/>
    <d v="2025-06-20T05:02:24"/>
    <s v="DS 5am"/>
    <s v="SF25_DMET008"/>
    <m/>
    <s v="Zeke Shackelton"/>
    <n v="4"/>
    <n v="520"/>
    <n v="27.5"/>
    <n v="59.3"/>
    <x v="6"/>
    <m/>
    <m/>
    <n v="0"/>
    <m/>
    <m/>
    <n v="0"/>
    <m/>
    <m/>
    <n v="0"/>
    <n v="31.799999999999997"/>
    <n v="5564.9999999999991"/>
    <n v="5564.9999999999991"/>
    <n v="1"/>
    <n v="1"/>
    <n v="1"/>
    <n v="13122"/>
    <n v="750"/>
    <n v="11"/>
    <n v="0.75"/>
    <m/>
    <m/>
    <n v="0.25"/>
    <m/>
    <m/>
    <m/>
    <m/>
    <n v="12"/>
    <m/>
    <n v="435"/>
    <m/>
    <n v="1030.72"/>
    <x v="11"/>
    <n v="8125.72"/>
  </r>
  <r>
    <x v="1"/>
    <d v="2025-06-20T17:02:24"/>
    <s v="NS 5pm"/>
    <s v="SF25_DMET009"/>
    <m/>
    <s v="Peter Gillespie"/>
    <n v="3"/>
    <n v="390"/>
    <n v="59.3"/>
    <n v="80"/>
    <x v="7"/>
    <m/>
    <m/>
    <n v="0"/>
    <m/>
    <m/>
    <n v="0"/>
    <m/>
    <m/>
    <n v="0"/>
    <n v="20.700000000000003"/>
    <n v="3622.5000000000005"/>
    <n v="3622.5000000000005"/>
    <m/>
    <m/>
    <m/>
    <m/>
    <n v="0"/>
    <n v="7"/>
    <n v="2"/>
    <m/>
    <n v="1"/>
    <n v="2"/>
    <s v="Rig move at night?"/>
    <m/>
    <m/>
    <m/>
    <n v="12"/>
    <m/>
    <n v="2000"/>
    <m/>
    <n v="117.93"/>
    <x v="12"/>
    <n v="6130.43"/>
  </r>
  <r>
    <x v="1"/>
    <d v="2025-06-21T05:02:24"/>
    <s v="DS 5am"/>
    <s v="SF25_DMET001"/>
    <m/>
    <s v="Zeke Shackelton"/>
    <n v="4"/>
    <n v="520"/>
    <n v="0"/>
    <n v="1.9"/>
    <x v="8"/>
    <m/>
    <m/>
    <n v="0"/>
    <m/>
    <m/>
    <n v="0"/>
    <m/>
    <m/>
    <n v="0"/>
    <n v="1.9"/>
    <n v="332.5"/>
    <n v="575"/>
    <n v="1"/>
    <n v="1"/>
    <n v="1"/>
    <n v="13122"/>
    <n v="750"/>
    <n v="1.25"/>
    <n v="6"/>
    <m/>
    <n v="0.25"/>
    <n v="4.5"/>
    <m/>
    <m/>
    <m/>
    <m/>
    <n v="12"/>
    <m/>
    <n v="4470"/>
    <m/>
    <m/>
    <x v="13"/>
    <n v="6140"/>
  </r>
  <r>
    <x v="1"/>
    <d v="2025-06-21T17:02:24"/>
    <s v="NS 5pm"/>
    <s v="SF25_DMET001"/>
    <m/>
    <s v="Peter Gillespie"/>
    <n v="3"/>
    <n v="390"/>
    <n v="1.9"/>
    <n v="21.4"/>
    <x v="9"/>
    <m/>
    <m/>
    <n v="0"/>
    <m/>
    <m/>
    <n v="0"/>
    <m/>
    <m/>
    <n v="0"/>
    <n v="19.5"/>
    <n v="3412.5"/>
    <n v="4140"/>
    <m/>
    <m/>
    <m/>
    <m/>
    <n v="0"/>
    <n v="9"/>
    <n v="2"/>
    <m/>
    <m/>
    <n v="1"/>
    <m/>
    <m/>
    <m/>
    <m/>
    <n v="12"/>
    <m/>
    <n v="1280"/>
    <m/>
    <n v="772.65"/>
    <x v="14"/>
    <n v="6582.65"/>
  </r>
  <r>
    <x v="1"/>
    <d v="2025-06-22T05:02:24"/>
    <s v="DS 5am"/>
    <s v="SF25_DMET001"/>
    <m/>
    <s v="Zeke Shackelton"/>
    <n v="4"/>
    <n v="520"/>
    <n v="21.4"/>
    <n v="51.4"/>
    <x v="10"/>
    <m/>
    <m/>
    <n v="0"/>
    <m/>
    <m/>
    <n v="0"/>
    <m/>
    <m/>
    <n v="0"/>
    <n v="30"/>
    <n v="5250"/>
    <n v="5250"/>
    <n v="1"/>
    <n v="1"/>
    <n v="1"/>
    <n v="13122"/>
    <n v="750"/>
    <n v="10.5"/>
    <n v="0.75"/>
    <m/>
    <m/>
    <n v="0.25"/>
    <m/>
    <n v="0.5"/>
    <m/>
    <m/>
    <n v="12"/>
    <m/>
    <n v="435"/>
    <m/>
    <m/>
    <x v="15"/>
    <n v="6780"/>
  </r>
  <r>
    <x v="1"/>
    <d v="2025-06-22T17:02:24"/>
    <s v="NS 5pm"/>
    <s v="SF25_DMET001"/>
    <m/>
    <s v="Peter Gillespie"/>
    <n v="3"/>
    <n v="390"/>
    <n v="51.4"/>
    <n v="80"/>
    <x v="11"/>
    <m/>
    <m/>
    <n v="0"/>
    <m/>
    <m/>
    <n v="0"/>
    <m/>
    <m/>
    <n v="0"/>
    <n v="28.6"/>
    <n v="5005"/>
    <n v="5005"/>
    <m/>
    <m/>
    <m/>
    <m/>
    <n v="0"/>
    <n v="10"/>
    <n v="0.5"/>
    <m/>
    <m/>
    <n v="1"/>
    <m/>
    <n v="0.5"/>
    <m/>
    <m/>
    <n v="12"/>
    <m/>
    <n v="590"/>
    <m/>
    <n v="117.93"/>
    <x v="16"/>
    <n v="6102.93"/>
  </r>
  <r>
    <x v="1"/>
    <d v="2025-06-23T05:02:24"/>
    <s v="DS 5am"/>
    <s v="SF25_DMET001"/>
    <m/>
    <s v="Zeke Shackelton"/>
    <n v="4"/>
    <n v="520"/>
    <n v="80"/>
    <n v="104.2"/>
    <x v="12"/>
    <m/>
    <m/>
    <n v="0"/>
    <m/>
    <m/>
    <n v="0"/>
    <m/>
    <m/>
    <n v="0"/>
    <n v="24.200000000000003"/>
    <n v="4235.0000000000009"/>
    <n v="5175"/>
    <n v="1"/>
    <n v="1"/>
    <n v="1"/>
    <n v="13122"/>
    <n v="750"/>
    <n v="11.25"/>
    <n v="0.5"/>
    <m/>
    <m/>
    <n v="0.25"/>
    <m/>
    <m/>
    <m/>
    <m/>
    <n v="12"/>
    <m/>
    <n v="320"/>
    <m/>
    <m/>
    <x v="17"/>
    <n v="6590"/>
  </r>
  <r>
    <x v="1"/>
    <d v="2025-06-23T17:02:24"/>
    <s v="NS 5pm"/>
    <s v="SF25_DMET001"/>
    <m/>
    <s v="Peter Gillespie"/>
    <n v="3"/>
    <n v="390"/>
    <n v="104.2"/>
    <n v="110"/>
    <x v="13"/>
    <m/>
    <m/>
    <n v="0"/>
    <m/>
    <m/>
    <n v="0"/>
    <m/>
    <m/>
    <n v="0"/>
    <n v="5.7999999999999972"/>
    <n v="1014.9999999999995"/>
    <n v="1840"/>
    <m/>
    <m/>
    <m/>
    <m/>
    <n v="0"/>
    <n v="4"/>
    <n v="4.75"/>
    <m/>
    <n v="1"/>
    <n v="2.25"/>
    <s v="Rig move at night?"/>
    <m/>
    <m/>
    <m/>
    <n v="12"/>
    <m/>
    <n v="3355"/>
    <m/>
    <n v="232"/>
    <x v="18"/>
    <n v="5817"/>
  </r>
  <r>
    <x v="1"/>
    <d v="2025-06-24T05:02:24"/>
    <s v="DS 5am"/>
    <s v="SF25_DMET002"/>
    <m/>
    <s v="Zeke Shackelton"/>
    <n v="4"/>
    <n v="520"/>
    <n v="0"/>
    <n v="12"/>
    <x v="14"/>
    <m/>
    <m/>
    <n v="0"/>
    <m/>
    <m/>
    <n v="0"/>
    <m/>
    <m/>
    <n v="0"/>
    <n v="12"/>
    <n v="2100"/>
    <n v="2645"/>
    <n v="1"/>
    <n v="1"/>
    <n v="1"/>
    <n v="13122"/>
    <n v="750"/>
    <n v="5.75"/>
    <n v="5"/>
    <m/>
    <m/>
    <n v="1.25"/>
    <m/>
    <m/>
    <m/>
    <m/>
    <n v="12"/>
    <m/>
    <n v="2750"/>
    <m/>
    <n v="500.08"/>
    <x v="19"/>
    <n v="6990.08"/>
  </r>
  <r>
    <x v="1"/>
    <d v="2025-06-24T17:02:24"/>
    <s v="NS 5pm"/>
    <s v="SF25_DMET002"/>
    <m/>
    <s v="Peter Gillespie"/>
    <n v="3"/>
    <n v="390"/>
    <n v="12"/>
    <n v="42.6"/>
    <x v="15"/>
    <m/>
    <m/>
    <n v="0"/>
    <m/>
    <m/>
    <n v="0"/>
    <m/>
    <m/>
    <n v="0"/>
    <n v="30.6"/>
    <n v="5355"/>
    <n v="5355"/>
    <m/>
    <m/>
    <m/>
    <m/>
    <n v="0"/>
    <n v="10"/>
    <n v="0.5"/>
    <m/>
    <m/>
    <n v="1"/>
    <m/>
    <n v="0.5"/>
    <m/>
    <m/>
    <n v="12"/>
    <m/>
    <n v="590"/>
    <m/>
    <n v="232"/>
    <x v="20"/>
    <n v="6567"/>
  </r>
  <r>
    <x v="1"/>
    <d v="2025-06-25T05:02:24"/>
    <s v="DS 5am"/>
    <s v="SF25_DMET002"/>
    <m/>
    <s v="Benjamin Payton"/>
    <n v="4"/>
    <n v="520"/>
    <n v="42.6"/>
    <n v="48.6"/>
    <x v="16"/>
    <m/>
    <m/>
    <n v="0"/>
    <m/>
    <m/>
    <n v="0"/>
    <m/>
    <m/>
    <n v="0"/>
    <n v="6"/>
    <n v="1050"/>
    <n v="1265"/>
    <n v="1"/>
    <n v="1"/>
    <n v="1"/>
    <n v="13122"/>
    <n v="750"/>
    <n v="2.75"/>
    <m/>
    <m/>
    <n v="0.25"/>
    <n v="1"/>
    <m/>
    <n v="8"/>
    <m/>
    <m/>
    <n v="12"/>
    <m/>
    <n v="450"/>
    <m/>
    <m/>
    <x v="21"/>
    <n v="2810"/>
  </r>
  <r>
    <x v="1"/>
    <d v="2025-06-25T17:02:24"/>
    <s v="NS 5pm"/>
    <s v="SF25_DMET002"/>
    <m/>
    <s v="Zeke Shackelton"/>
    <n v="3"/>
    <n v="390"/>
    <n v="48.6"/>
    <n v="51.8"/>
    <x v="17"/>
    <n v="51.8"/>
    <n v="65.599999999999994"/>
    <n v="13.799999999999997"/>
    <m/>
    <m/>
    <n v="0"/>
    <m/>
    <m/>
    <n v="0"/>
    <n v="16.999999999999993"/>
    <n v="2422.9999999999986"/>
    <n v="3105"/>
    <m/>
    <m/>
    <m/>
    <m/>
    <n v="0"/>
    <n v="6.75"/>
    <n v="5"/>
    <m/>
    <n v="0.25"/>
    <m/>
    <m/>
    <m/>
    <m/>
    <m/>
    <n v="12"/>
    <m/>
    <n v="2390"/>
    <m/>
    <m/>
    <x v="22"/>
    <n v="5885"/>
  </r>
  <r>
    <x v="1"/>
    <d v="2025-06-26T05:02:24"/>
    <s v="DS 5am"/>
    <s v="SF25_DMET002"/>
    <m/>
    <s v="Benjamin Payton"/>
    <n v="4"/>
    <n v="520"/>
    <m/>
    <m/>
    <x v="18"/>
    <n v="65.599999999999994"/>
    <n v="99.6"/>
    <n v="34"/>
    <m/>
    <m/>
    <n v="0"/>
    <m/>
    <m/>
    <n v="0"/>
    <n v="34"/>
    <n v="4590"/>
    <n v="5175"/>
    <n v="1"/>
    <n v="1"/>
    <n v="1"/>
    <n v="13122"/>
    <n v="750"/>
    <n v="11.25"/>
    <n v="0.5"/>
    <m/>
    <n v="0.25"/>
    <m/>
    <m/>
    <m/>
    <m/>
    <m/>
    <n v="12"/>
    <m/>
    <n v="320"/>
    <m/>
    <n v="878.93"/>
    <x v="23"/>
    <n v="7468.93"/>
  </r>
  <r>
    <x v="1"/>
    <d v="2025-06-26T17:02:24"/>
    <s v="NS 5pm"/>
    <s v="SF25_DMET002"/>
    <m/>
    <s v="Zeke Shackelton"/>
    <n v="3"/>
    <n v="390"/>
    <m/>
    <m/>
    <x v="18"/>
    <n v="99.6"/>
    <n v="130.69999999999999"/>
    <n v="31.099999999999994"/>
    <m/>
    <m/>
    <n v="0"/>
    <m/>
    <m/>
    <n v="0"/>
    <n v="31.099999999999994"/>
    <n v="4198.4999999999991"/>
    <n v="5060"/>
    <m/>
    <m/>
    <m/>
    <m/>
    <n v="0"/>
    <n v="11"/>
    <n v="0.75"/>
    <m/>
    <n v="0.25"/>
    <m/>
    <m/>
    <m/>
    <m/>
    <m/>
    <n v="12"/>
    <m/>
    <n v="435"/>
    <m/>
    <m/>
    <x v="22"/>
    <n v="5885"/>
  </r>
  <r>
    <x v="1"/>
    <d v="2025-06-27T05:02:24"/>
    <s v="DS 5am"/>
    <s v="SF25_DMET003"/>
    <m/>
    <s v="Benjamin Payton"/>
    <n v="4"/>
    <n v="520"/>
    <n v="0"/>
    <n v="18.100000000000001"/>
    <x v="19"/>
    <m/>
    <m/>
    <n v="0"/>
    <m/>
    <m/>
    <n v="0"/>
    <m/>
    <m/>
    <n v="0"/>
    <n v="18.100000000000001"/>
    <n v="3167.5000000000005"/>
    <n v="3167.5000000000005"/>
    <n v="1"/>
    <n v="1"/>
    <n v="1"/>
    <n v="13122"/>
    <n v="750"/>
    <n v="6.75"/>
    <n v="5"/>
    <m/>
    <n v="0.25"/>
    <m/>
    <m/>
    <m/>
    <m/>
    <m/>
    <n v="12"/>
    <m/>
    <n v="2390"/>
    <m/>
    <n v="395.85"/>
    <x v="24"/>
    <n v="7048.35"/>
  </r>
  <r>
    <x v="1"/>
    <d v="2025-06-27T17:02:24"/>
    <s v="NS 5pm"/>
    <s v="SF25_DMET003"/>
    <m/>
    <s v="Zeke Shackelton"/>
    <n v="3"/>
    <n v="390"/>
    <n v="18.100000000000001"/>
    <n v="43.9"/>
    <x v="20"/>
    <m/>
    <m/>
    <n v="0"/>
    <m/>
    <m/>
    <n v="0"/>
    <m/>
    <m/>
    <n v="0"/>
    <n v="25.799999999999997"/>
    <n v="4514.9999999999991"/>
    <n v="4945"/>
    <m/>
    <m/>
    <m/>
    <m/>
    <n v="0"/>
    <n v="10.75"/>
    <n v="1"/>
    <m/>
    <n v="0.25"/>
    <m/>
    <m/>
    <m/>
    <m/>
    <m/>
    <n v="12"/>
    <m/>
    <n v="550"/>
    <m/>
    <n v="407.22"/>
    <x v="25"/>
    <n v="6292.22"/>
  </r>
  <r>
    <x v="1"/>
    <d v="2025-06-28T05:02:24"/>
    <s v="DS 5am"/>
    <s v="SF25_DMET003"/>
    <m/>
    <s v="Benjamin Payton"/>
    <n v="4"/>
    <n v="520"/>
    <n v="43.9"/>
    <n v="75.400000000000006"/>
    <x v="21"/>
    <m/>
    <m/>
    <n v="0"/>
    <m/>
    <m/>
    <n v="0"/>
    <m/>
    <m/>
    <n v="0"/>
    <n v="31.500000000000007"/>
    <n v="5512.5000000000009"/>
    <n v="5512.5000000000009"/>
    <n v="1"/>
    <n v="1"/>
    <n v="1"/>
    <n v="13122"/>
    <n v="750"/>
    <n v="11.25"/>
    <n v="0.5"/>
    <m/>
    <n v="0.25"/>
    <m/>
    <m/>
    <m/>
    <m/>
    <m/>
    <n v="12"/>
    <m/>
    <n v="320"/>
    <m/>
    <n v="117.93"/>
    <x v="26"/>
    <n v="7045.43"/>
  </r>
  <r>
    <x v="1"/>
    <d v="2025-06-28T17:02:24"/>
    <s v="NS 5pm"/>
    <s v="SF25_DMET003"/>
    <m/>
    <s v="Zeke Shackelton"/>
    <n v="3"/>
    <n v="390"/>
    <n v="75.400000000000006"/>
    <n v="80"/>
    <x v="22"/>
    <m/>
    <m/>
    <n v="0"/>
    <m/>
    <m/>
    <n v="0"/>
    <m/>
    <m/>
    <n v="0"/>
    <n v="4.5999999999999943"/>
    <n v="804.99999999999898"/>
    <n v="1265"/>
    <m/>
    <m/>
    <m/>
    <m/>
    <n v="0"/>
    <n v="2.75"/>
    <n v="3"/>
    <m/>
    <n v="0.25"/>
    <n v="6"/>
    <s v="Rig move at night?"/>
    <m/>
    <m/>
    <m/>
    <n v="12"/>
    <m/>
    <n v="3630"/>
    <m/>
    <n v="117.93"/>
    <x v="27"/>
    <n v="5402.93"/>
  </r>
  <r>
    <x v="1"/>
    <d v="2025-06-29T05:02:24"/>
    <s v="DS 5am"/>
    <s v="SF25_DMET003"/>
    <m/>
    <s v="Benjamin Payton"/>
    <n v="4"/>
    <n v="520"/>
    <n v="0"/>
    <n v="15.4"/>
    <x v="23"/>
    <m/>
    <m/>
    <n v="0"/>
    <m/>
    <m/>
    <n v="0"/>
    <m/>
    <m/>
    <n v="0"/>
    <n v="15.4"/>
    <n v="2695"/>
    <n v="2695"/>
    <n v="1"/>
    <n v="1"/>
    <n v="1"/>
    <n v="13122"/>
    <n v="750"/>
    <n v="4.75"/>
    <n v="5.5"/>
    <m/>
    <n v="0.25"/>
    <n v="1"/>
    <m/>
    <n v="0.5"/>
    <m/>
    <m/>
    <n v="12"/>
    <m/>
    <n v="2980"/>
    <m/>
    <n v="396.12"/>
    <x v="28"/>
    <n v="7166.12"/>
  </r>
  <r>
    <x v="1"/>
    <d v="2025-06-29T17:02:24"/>
    <s v="NS 5pm"/>
    <s v="SF25_DMET003"/>
    <m/>
    <s v="Zeke Shackelton"/>
    <n v="3"/>
    <n v="390"/>
    <n v="15.4"/>
    <n v="45.4"/>
    <x v="10"/>
    <m/>
    <m/>
    <n v="0"/>
    <m/>
    <m/>
    <n v="0"/>
    <m/>
    <m/>
    <n v="0"/>
    <n v="30"/>
    <n v="5250"/>
    <n v="5250"/>
    <m/>
    <m/>
    <m/>
    <m/>
    <n v="0"/>
    <n v="10.25"/>
    <n v="1"/>
    <m/>
    <n v="0.25"/>
    <m/>
    <m/>
    <n v="0.5"/>
    <m/>
    <m/>
    <n v="12"/>
    <m/>
    <n v="550"/>
    <m/>
    <m/>
    <x v="29"/>
    <n v="6190"/>
  </r>
  <r>
    <x v="1"/>
    <d v="2025-06-30T05:02:24"/>
    <s v="DS 5am"/>
    <s v="SF25_DMET004"/>
    <m/>
    <s v="Benjamin Payton"/>
    <n v="4"/>
    <n v="520"/>
    <n v="45.4"/>
    <n v="62.5"/>
    <x v="24"/>
    <n v="62.5"/>
    <n v="63.4"/>
    <n v="0.89999999999999858"/>
    <m/>
    <m/>
    <n v="0"/>
    <m/>
    <m/>
    <n v="0"/>
    <n v="18"/>
    <n v="3114.0000000000005"/>
    <n v="3450"/>
    <n v="1"/>
    <n v="1"/>
    <n v="1"/>
    <n v="13122"/>
    <n v="750"/>
    <n v="7.5"/>
    <n v="4.25"/>
    <m/>
    <n v="0.25"/>
    <m/>
    <m/>
    <m/>
    <m/>
    <m/>
    <n v="12"/>
    <m/>
    <n v="2045"/>
    <m/>
    <n v="776.68"/>
    <x v="30"/>
    <n v="7366.68"/>
  </r>
  <r>
    <x v="1"/>
    <d v="2025-06-30T17:02:24"/>
    <s v="NS 5pm"/>
    <s v="SF25_DMET004"/>
    <m/>
    <s v="Zeke Shackelton"/>
    <n v="3"/>
    <n v="390"/>
    <m/>
    <m/>
    <x v="18"/>
    <n v="63.4"/>
    <n v="66.400000000000006"/>
    <n v="3.0000000000000071"/>
    <m/>
    <m/>
    <n v="0"/>
    <m/>
    <m/>
    <n v="0"/>
    <n v="3.0000000000000071"/>
    <n v="405.00000000000097"/>
    <n v="575"/>
    <m/>
    <m/>
    <m/>
    <m/>
    <n v="0"/>
    <n v="1.25"/>
    <n v="3"/>
    <m/>
    <n v="2.25"/>
    <n v="5.5"/>
    <s v="Water springing from pad"/>
    <m/>
    <m/>
    <m/>
    <n v="12"/>
    <m/>
    <n v="4170"/>
    <m/>
    <m/>
    <x v="31"/>
    <n v="5135"/>
  </r>
  <r>
    <x v="1"/>
    <d v="2025-07-01T05:02:24"/>
    <s v="DS 5am"/>
    <s v="SF25_DMET008"/>
    <m/>
    <s v="Benjamin Payton"/>
    <n v="4"/>
    <n v="520"/>
    <n v="0"/>
    <n v="1.8"/>
    <x v="25"/>
    <m/>
    <m/>
    <n v="0"/>
    <m/>
    <m/>
    <n v="0"/>
    <m/>
    <m/>
    <n v="0"/>
    <n v="1.8"/>
    <n v="315"/>
    <n v="460"/>
    <n v="1"/>
    <n v="1"/>
    <n v="1"/>
    <n v="13122"/>
    <n v="750"/>
    <n v="1"/>
    <n v="4"/>
    <s v="Rig went to wrong pad and set up - costs associated to this were removed - AST"/>
    <n v="0.75"/>
    <n v="1"/>
    <m/>
    <n v="5.25"/>
    <m/>
    <m/>
    <n v="12"/>
    <m/>
    <n v="2470"/>
    <m/>
    <n v="761"/>
    <x v="32"/>
    <n v="4786"/>
  </r>
  <r>
    <x v="1"/>
    <d v="2025-07-01T17:02:24"/>
    <s v="NS 5pm"/>
    <s v="SF25_DMET008"/>
    <m/>
    <s v="Zeke Shackelton"/>
    <n v="3"/>
    <n v="390"/>
    <n v="1.8"/>
    <n v="20.2"/>
    <x v="26"/>
    <m/>
    <m/>
    <n v="0"/>
    <m/>
    <m/>
    <n v="0"/>
    <m/>
    <m/>
    <n v="0"/>
    <n v="18.399999999999999"/>
    <n v="3219.9999999999995"/>
    <n v="4140"/>
    <m/>
    <m/>
    <m/>
    <m/>
    <n v="0"/>
    <n v="9"/>
    <n v="2.75"/>
    <m/>
    <n v="0.25"/>
    <m/>
    <m/>
    <m/>
    <m/>
    <m/>
    <n v="12"/>
    <m/>
    <n v="1355"/>
    <m/>
    <n v="395"/>
    <x v="33"/>
    <n v="6280.85"/>
  </r>
  <r>
    <x v="1"/>
    <d v="2025-07-02T05:02:24"/>
    <s v="DS 5am"/>
    <s v="SF25_DMET008"/>
    <m/>
    <s v="Benjamin Payton"/>
    <n v="3"/>
    <n v="390"/>
    <n v="20.2"/>
    <n v="41.8"/>
    <x v="27"/>
    <m/>
    <m/>
    <n v="0"/>
    <m/>
    <m/>
    <n v="0"/>
    <m/>
    <m/>
    <n v="0"/>
    <n v="21.599999999999998"/>
    <n v="3779.9999999999995"/>
    <n v="4485"/>
    <n v="1"/>
    <n v="1"/>
    <n v="1"/>
    <n v="13122"/>
    <n v="750"/>
    <n v="9.75"/>
    <n v="1.5"/>
    <m/>
    <n v="0.25"/>
    <n v="0.5"/>
    <m/>
    <m/>
    <m/>
    <m/>
    <n v="12"/>
    <m/>
    <n v="960"/>
    <m/>
    <n v="0"/>
    <x v="34"/>
    <n v="6410"/>
  </r>
  <r>
    <x v="1"/>
    <d v="2025-07-02T17:02:24"/>
    <s v="NS 5pm"/>
    <s v="SF25_DMET008"/>
    <m/>
    <s v="Zeke Shackelton"/>
    <n v="3"/>
    <n v="390"/>
    <n v="41.8"/>
    <n v="50"/>
    <x v="28"/>
    <n v="50"/>
    <n v="54.6"/>
    <n v="4.6000000000000014"/>
    <n v="0"/>
    <n v="1.8"/>
    <n v="1.8"/>
    <m/>
    <m/>
    <n v="0"/>
    <n v="14.600000000000005"/>
    <n v="2371.0000000000009"/>
    <n v="2875"/>
    <m/>
    <m/>
    <m/>
    <m/>
    <n v="0"/>
    <n v="6.25"/>
    <n v="5.5"/>
    <s v="Difficult ground conditions listed - short bit life and 4 hours reaming"/>
    <n v="0.25"/>
    <m/>
    <m/>
    <m/>
    <m/>
    <m/>
    <n v="12"/>
    <m/>
    <n v="2620"/>
    <m/>
    <n v="0"/>
    <x v="22"/>
    <n v="5885"/>
  </r>
  <r>
    <x v="1"/>
    <d v="2025-07-03T05:02:24"/>
    <s v="DS 5am"/>
    <s v="SF25_DMET008"/>
    <s v="SF25_DMET009"/>
    <s v="Benjamin Payton"/>
    <n v="3"/>
    <n v="390"/>
    <n v="54.6"/>
    <n v="60.2"/>
    <x v="29"/>
    <m/>
    <m/>
    <n v="0"/>
    <n v="0"/>
    <n v="0"/>
    <n v="0"/>
    <m/>
    <m/>
    <n v="0"/>
    <n v="5.6000000000000014"/>
    <n v="980.00000000000023"/>
    <n v="1955"/>
    <n v="1"/>
    <n v="1"/>
    <n v="1"/>
    <n v="13122"/>
    <n v="750"/>
    <n v="4.25"/>
    <n v="6.5"/>
    <m/>
    <n v="0.25"/>
    <n v="0.5"/>
    <s v="Rig/site inspection 30mins"/>
    <m/>
    <n v="0.5"/>
    <m/>
    <n v="12"/>
    <m/>
    <n v="3260"/>
    <m/>
    <n v="761"/>
    <x v="35"/>
    <n v="6941"/>
  </r>
  <r>
    <x v="1"/>
    <d v="2025-07-03T17:02:24"/>
    <s v="NS 5pm"/>
    <s v="SF25_DMET009"/>
    <m/>
    <s v="Zeke Shackelton"/>
    <n v="3"/>
    <n v="390"/>
    <n v="1.8"/>
    <n v="10.199999999999999"/>
    <x v="30"/>
    <m/>
    <m/>
    <n v="0"/>
    <m/>
    <m/>
    <n v="0"/>
    <m/>
    <m/>
    <n v="0"/>
    <n v="8.3999999999999986"/>
    <n v="1469.9999999999998"/>
    <n v="3680"/>
    <m/>
    <m/>
    <m/>
    <m/>
    <n v="0"/>
    <n v="8"/>
    <n v="3"/>
    <s v="Difficult ground conditions - broken oxides - geo checked core"/>
    <n v="0.25"/>
    <m/>
    <m/>
    <m/>
    <n v="0.75"/>
    <m/>
    <n v="12"/>
    <m/>
    <n v="1470"/>
    <m/>
    <n v="395"/>
    <x v="36"/>
    <n v="5935.85"/>
  </r>
  <r>
    <x v="1"/>
    <d v="2025-07-04T05:02:24"/>
    <s v="DS 5am"/>
    <s v="SF25_DMET009"/>
    <m/>
    <s v="Benjamin Payton"/>
    <n v="3"/>
    <n v="390"/>
    <n v="10.199999999999999"/>
    <n v="21.4"/>
    <x v="31"/>
    <m/>
    <m/>
    <n v="0"/>
    <m/>
    <m/>
    <n v="0"/>
    <m/>
    <m/>
    <n v="0"/>
    <n v="11.2"/>
    <n v="1959.9999999999998"/>
    <n v="4255"/>
    <n v="1"/>
    <n v="1"/>
    <n v="1"/>
    <n v="13122"/>
    <n v="750"/>
    <n v="9.25"/>
    <n v="2.5"/>
    <s v="Difficult ground conditions - broken oxides - had to ream PWT to 12m"/>
    <n v="0.25"/>
    <m/>
    <m/>
    <m/>
    <m/>
    <m/>
    <n v="12"/>
    <m/>
    <n v="1240"/>
    <m/>
    <n v="290.49"/>
    <x v="37"/>
    <n v="6750.49"/>
  </r>
  <r>
    <x v="1"/>
    <d v="2025-07-04T17:02:24"/>
    <s v="NS 5pm"/>
    <s v="SF25_DMET009"/>
    <m/>
    <s v="Zeke Shackelton"/>
    <n v="3"/>
    <n v="390"/>
    <n v="21.4"/>
    <n v="40.6"/>
    <x v="32"/>
    <m/>
    <m/>
    <n v="0"/>
    <m/>
    <m/>
    <n v="0"/>
    <m/>
    <m/>
    <n v="0"/>
    <n v="19.200000000000003"/>
    <n v="3360.0000000000005"/>
    <n v="3910"/>
    <m/>
    <m/>
    <m/>
    <m/>
    <n v="0"/>
    <n v="8.5"/>
    <n v="2.25"/>
    <m/>
    <n v="1.25"/>
    <m/>
    <s v="Core farm delivery listed as 1 hour inactive time - does the drill rig have to stop for core delivery? - Due to the limited size of drill pad - they couldn't move the core until they moved site - so was done all at once in bulk"/>
    <m/>
    <m/>
    <m/>
    <n v="12"/>
    <m/>
    <n v="1485"/>
    <m/>
    <n v="117.93"/>
    <x v="38"/>
    <n v="5902.93"/>
  </r>
  <r>
    <x v="1"/>
    <d v="2025-07-05T05:02:24"/>
    <s v="DS 5am"/>
    <s v="SF25_DMET009"/>
    <m/>
    <s v="Benjamin Payton"/>
    <n v="3"/>
    <n v="390"/>
    <n v="40.6"/>
    <n v="63.9"/>
    <x v="33"/>
    <m/>
    <m/>
    <n v="0"/>
    <m/>
    <m/>
    <n v="0"/>
    <m/>
    <m/>
    <n v="0"/>
    <n v="23.299999999999997"/>
    <n v="4077.4999999999995"/>
    <n v="4485"/>
    <n v="1"/>
    <n v="1"/>
    <n v="1"/>
    <n v="13122"/>
    <n v="750"/>
    <n v="9.75"/>
    <n v="2"/>
    <s v="Minor reaming of PWT"/>
    <n v="0.25"/>
    <m/>
    <m/>
    <m/>
    <m/>
    <m/>
    <n v="12"/>
    <m/>
    <n v="1010"/>
    <m/>
    <n v="117.93"/>
    <x v="39"/>
    <n v="6577.93"/>
  </r>
  <r>
    <x v="1"/>
    <d v="2025-07-05T17:02:24"/>
    <s v="NS 5pm"/>
    <s v="SF25_DMET009"/>
    <m/>
    <s v="Zeke Shackelton"/>
    <n v="3"/>
    <n v="390"/>
    <n v="63.9"/>
    <n v="79.099999999999994"/>
    <x v="34"/>
    <m/>
    <m/>
    <n v="0"/>
    <m/>
    <m/>
    <n v="0"/>
    <m/>
    <m/>
    <n v="0"/>
    <n v="15.199999999999996"/>
    <n v="2659.9999999999991"/>
    <n v="4025"/>
    <m/>
    <m/>
    <m/>
    <m/>
    <n v="0"/>
    <n v="8.75"/>
    <n v="2.5"/>
    <s v="Slow reaming listed"/>
    <n v="0.25"/>
    <m/>
    <m/>
    <m/>
    <n v="0.5"/>
    <m/>
    <n v="12"/>
    <m/>
    <n v="1240"/>
    <m/>
    <n v="117.93"/>
    <x v="40"/>
    <n v="5772.93"/>
  </r>
  <r>
    <x v="1"/>
    <d v="2025-07-06T05:02:24"/>
    <s v="DS 5am"/>
    <s v="SF25_DMET009"/>
    <m/>
    <s v="Benjamin Payton"/>
    <n v="3"/>
    <n v="390"/>
    <n v="79.099999999999994"/>
    <n v="97"/>
    <x v="35"/>
    <m/>
    <m/>
    <n v="0"/>
    <m/>
    <m/>
    <n v="0"/>
    <m/>
    <m/>
    <n v="0"/>
    <n v="17.900000000000006"/>
    <n v="3132.5000000000009"/>
    <n v="4600"/>
    <n v="1"/>
    <n v="1"/>
    <n v="1"/>
    <n v="13122"/>
    <n v="750"/>
    <n v="10"/>
    <n v="1.25"/>
    <m/>
    <n v="0.25"/>
    <m/>
    <m/>
    <n v="0.5"/>
    <m/>
    <m/>
    <n v="12"/>
    <m/>
    <n v="665"/>
    <m/>
    <n v="878.93"/>
    <x v="41"/>
    <n v="7108.93"/>
  </r>
  <r>
    <x v="1"/>
    <d v="2025-07-06T17:02:24"/>
    <s v="NS 5pm"/>
    <s v="SF25_DMET009"/>
    <m/>
    <s v="Zeke Shackelton"/>
    <n v="3"/>
    <n v="390"/>
    <n v="97"/>
    <n v="105.3"/>
    <x v="36"/>
    <m/>
    <m/>
    <n v="0"/>
    <m/>
    <m/>
    <n v="0"/>
    <m/>
    <m/>
    <n v="0"/>
    <n v="8.2999999999999972"/>
    <n v="1452.4999999999995"/>
    <n v="2070"/>
    <m/>
    <m/>
    <m/>
    <m/>
    <n v="0"/>
    <n v="4.5"/>
    <n v="3.75"/>
    <m/>
    <n v="0.25"/>
    <n v="3"/>
    <m/>
    <n v="0.5"/>
    <m/>
    <m/>
    <n v="12"/>
    <m/>
    <n v="2895"/>
    <m/>
    <n v="117.93"/>
    <x v="42"/>
    <n v="5472.93"/>
  </r>
  <r>
    <x v="1"/>
    <d v="2025-07-07T05:02:24"/>
    <s v="DS 5am"/>
    <s v="SF25_DMET009"/>
    <s v="SF25_DMET012"/>
    <s v="Benjamin Payton"/>
    <n v="3"/>
    <n v="390"/>
    <n v="105.3"/>
    <n v="105.3"/>
    <x v="18"/>
    <m/>
    <m/>
    <n v="0"/>
    <n v="0"/>
    <n v="10.4"/>
    <n v="10.4"/>
    <m/>
    <m/>
    <n v="0"/>
    <n v="10.4"/>
    <n v="1820"/>
    <n v="2185"/>
    <n v="1"/>
    <n v="1"/>
    <n v="1"/>
    <n v="13122"/>
    <n v="750"/>
    <n v="4.75"/>
    <n v="5.5"/>
    <s v="Standby and packup due to no moving on NS"/>
    <n v="0.75"/>
    <n v="1"/>
    <m/>
    <m/>
    <m/>
    <m/>
    <n v="12"/>
    <m/>
    <n v="3160"/>
    <m/>
    <n v="422.05"/>
    <x v="43"/>
    <n v="6732.05"/>
  </r>
  <r>
    <x v="1"/>
    <d v="2025-07-07T17:02:24"/>
    <s v="NS 5pm"/>
    <s v="SF25_DMET012"/>
    <m/>
    <s v="Zeke Shackelton"/>
    <n v="3"/>
    <n v="390"/>
    <n v="10.4"/>
    <n v="36.799999999999997"/>
    <x v="37"/>
    <m/>
    <m/>
    <n v="0"/>
    <m/>
    <m/>
    <n v="0"/>
    <m/>
    <m/>
    <n v="0"/>
    <n v="26.4"/>
    <n v="4620"/>
    <n v="4945"/>
    <m/>
    <m/>
    <m/>
    <m/>
    <n v="0"/>
    <n v="10.75"/>
    <n v="0.5"/>
    <m/>
    <n v="0.75"/>
    <m/>
    <m/>
    <m/>
    <m/>
    <m/>
    <n v="12"/>
    <m/>
    <n v="500"/>
    <m/>
    <n v="117.93"/>
    <x v="44"/>
    <n v="5952.93"/>
  </r>
  <r>
    <x v="1"/>
    <d v="2025-07-08T05:02:24"/>
    <s v="DS 5am"/>
    <s v="SF25_DMET012"/>
    <m/>
    <s v="Carl Jonas"/>
    <n v="3"/>
    <n v="390"/>
    <n v="36.799999999999997"/>
    <n v="42.4"/>
    <x v="29"/>
    <m/>
    <m/>
    <n v="0"/>
    <m/>
    <m/>
    <n v="0"/>
    <m/>
    <m/>
    <n v="0"/>
    <n v="5.6000000000000014"/>
    <n v="980.00000000000023"/>
    <n v="3220"/>
    <n v="1"/>
    <n v="1"/>
    <n v="1"/>
    <n v="13122"/>
    <n v="750"/>
    <n v="7"/>
    <n v="4.75"/>
    <m/>
    <n v="0.25"/>
    <m/>
    <m/>
    <m/>
    <m/>
    <m/>
    <n v="12"/>
    <m/>
    <n v="2275"/>
    <m/>
    <n v="235.86"/>
    <x v="45"/>
    <n v="6695.86"/>
  </r>
  <r>
    <x v="1"/>
    <d v="2025-07-08T17:02:24"/>
    <s v="NS 5pm"/>
    <s v="SF25_DMET012"/>
    <m/>
    <s v="Dean Melville"/>
    <n v="2"/>
    <n v="260"/>
    <n v="42.4"/>
    <n v="69.400000000000006"/>
    <x v="38"/>
    <m/>
    <m/>
    <n v="0"/>
    <m/>
    <m/>
    <n v="0"/>
    <m/>
    <m/>
    <n v="0"/>
    <n v="27.000000000000007"/>
    <n v="4725.0000000000009"/>
    <n v="4725.0000000000009"/>
    <m/>
    <m/>
    <m/>
    <m/>
    <n v="0"/>
    <n v="9"/>
    <n v="1.5"/>
    <m/>
    <n v="0.5"/>
    <m/>
    <m/>
    <m/>
    <n v="1"/>
    <m/>
    <n v="12"/>
    <m/>
    <n v="870"/>
    <m/>
    <n v="117.93"/>
    <x v="46"/>
    <n v="5972.93"/>
  </r>
  <r>
    <x v="1"/>
    <d v="2025-07-09T05:02:24"/>
    <s v="DS 5am"/>
    <s v="SF25_DMET012"/>
    <m/>
    <s v="Carl Jonas"/>
    <n v="5"/>
    <n v="650"/>
    <n v="69.400000000000006"/>
    <n v="79"/>
    <x v="39"/>
    <m/>
    <m/>
    <n v="0"/>
    <m/>
    <m/>
    <n v="0"/>
    <m/>
    <m/>
    <n v="0"/>
    <n v="9.5999999999999943"/>
    <n v="1679.9999999999991"/>
    <n v="2070"/>
    <n v="1"/>
    <n v="1"/>
    <n v="1"/>
    <n v="13122"/>
    <n v="750"/>
    <n v="4.5"/>
    <m/>
    <s v="Breakdown repairs"/>
    <n v="0.5"/>
    <m/>
    <m/>
    <m/>
    <n v="7"/>
    <m/>
    <n v="12"/>
    <m/>
    <n v="180"/>
    <m/>
    <n v="235.86"/>
    <x v="47"/>
    <n v="3710.86"/>
  </r>
  <r>
    <x v="1"/>
    <d v="2025-07-09T17:02:24"/>
    <s v="NS 5pm"/>
    <s v="SF25_DMET012"/>
    <s v="SF25_DMET013"/>
    <s v="Dean Melville"/>
    <n v="2"/>
    <n v="260"/>
    <n v="79"/>
    <n v="90.4"/>
    <x v="40"/>
    <m/>
    <m/>
    <n v="0"/>
    <m/>
    <m/>
    <n v="0"/>
    <m/>
    <m/>
    <n v="0"/>
    <n v="11.400000000000006"/>
    <n v="1995.0000000000009"/>
    <n v="1995.0000000000009"/>
    <m/>
    <m/>
    <m/>
    <m/>
    <n v="0"/>
    <n v="4"/>
    <n v="5"/>
    <s v="Rig Move"/>
    <n v="0.5"/>
    <n v="2.5"/>
    <s v="Rig move at night - we are now permitting moves at night"/>
    <m/>
    <m/>
    <m/>
    <n v="12"/>
    <m/>
    <n v="3380"/>
    <m/>
    <n v="236.49"/>
    <x v="48"/>
    <n v="5871.49"/>
  </r>
  <r>
    <x v="1"/>
    <d v="2025-07-10T05:02:24"/>
    <s v="DS 5am"/>
    <s v="SF25_DMET013"/>
    <m/>
    <s v="Carl Jonas"/>
    <n v="4"/>
    <n v="520"/>
    <n v="0"/>
    <n v="7.9"/>
    <x v="41"/>
    <m/>
    <m/>
    <n v="0"/>
    <m/>
    <m/>
    <n v="0"/>
    <m/>
    <m/>
    <n v="0"/>
    <n v="7.9"/>
    <n v="1382.5"/>
    <n v="2300"/>
    <n v="1"/>
    <n v="1"/>
    <n v="1"/>
    <n v="13122"/>
    <n v="750"/>
    <n v="5"/>
    <n v="2.5"/>
    <s v="Rig move and repairs"/>
    <n v="0.5"/>
    <n v="2"/>
    <s v="Rig move at night - we are now permitting moves at night"/>
    <m/>
    <n v="2"/>
    <m/>
    <n v="12"/>
    <m/>
    <n v="2050"/>
    <m/>
    <n v="570.72"/>
    <x v="49"/>
    <n v="6015.72"/>
  </r>
  <r>
    <x v="1"/>
    <d v="2025-07-10T17:02:24"/>
    <s v="NS 5pm"/>
    <s v="SF25_DMET013"/>
    <m/>
    <s v="Dean Melville"/>
    <n v="3"/>
    <n v="390"/>
    <n v="7.9"/>
    <n v="27.5"/>
    <x v="42"/>
    <m/>
    <m/>
    <n v="0"/>
    <m/>
    <m/>
    <n v="0"/>
    <m/>
    <m/>
    <n v="0"/>
    <n v="19.600000000000001"/>
    <n v="3430.0000000000005"/>
    <n v="4025"/>
    <m/>
    <m/>
    <m/>
    <m/>
    <n v="0"/>
    <n v="8.75"/>
    <n v="2.25"/>
    <m/>
    <n v="1"/>
    <m/>
    <m/>
    <m/>
    <m/>
    <m/>
    <n v="12"/>
    <m/>
    <n v="1395"/>
    <m/>
    <n v="490.79999999999995"/>
    <x v="50"/>
    <n v="6300.8"/>
  </r>
  <r>
    <x v="1"/>
    <d v="2025-07-11T05:02:24"/>
    <s v="DS 5am"/>
    <s v="SF25_DMET013"/>
    <m/>
    <s v="Carl Jonas"/>
    <n v="4"/>
    <n v="520"/>
    <n v="27.5"/>
    <n v="45.5"/>
    <x v="43"/>
    <m/>
    <m/>
    <n v="0"/>
    <m/>
    <m/>
    <n v="0"/>
    <m/>
    <m/>
    <n v="0"/>
    <n v="18"/>
    <n v="3150"/>
    <n v="4140"/>
    <n v="1"/>
    <n v="1"/>
    <n v="1"/>
    <n v="13122"/>
    <n v="750"/>
    <n v="9"/>
    <n v="2.5"/>
    <m/>
    <n v="0.5"/>
    <m/>
    <m/>
    <m/>
    <m/>
    <m/>
    <n v="12"/>
    <m/>
    <n v="1330"/>
    <m/>
    <n v="269.72000000000003"/>
    <x v="51"/>
    <n v="6834.72"/>
  </r>
  <r>
    <x v="1"/>
    <d v="2025-07-11T17:02:24"/>
    <s v="NS 5pm"/>
    <s v="SF25_DMET013"/>
    <m/>
    <s v="Dean Melville"/>
    <n v="3"/>
    <n v="390"/>
    <n v="45.5"/>
    <n v="55.7"/>
    <x v="44"/>
    <m/>
    <m/>
    <n v="0"/>
    <m/>
    <m/>
    <n v="0"/>
    <m/>
    <m/>
    <n v="0"/>
    <n v="10.200000000000003"/>
    <n v="1785.0000000000005"/>
    <n v="4370"/>
    <m/>
    <m/>
    <m/>
    <m/>
    <n v="0"/>
    <n v="9.5"/>
    <n v="2"/>
    <m/>
    <n v="0.5"/>
    <m/>
    <m/>
    <m/>
    <m/>
    <m/>
    <n v="12"/>
    <m/>
    <n v="1100"/>
    <m/>
    <n v="117.93"/>
    <x v="52"/>
    <n v="5977.93"/>
  </r>
  <r>
    <x v="1"/>
    <d v="2025-07-12T05:02:24"/>
    <s v="DS 5am"/>
    <s v="SF25_DMET013"/>
    <m/>
    <s v="Carl Jonas"/>
    <n v="4"/>
    <n v="520"/>
    <n v="55.7"/>
    <n v="66.5"/>
    <x v="45"/>
    <m/>
    <m/>
    <n v="0"/>
    <m/>
    <m/>
    <n v="0"/>
    <m/>
    <m/>
    <n v="0"/>
    <n v="10.799999999999997"/>
    <n v="1889.9999999999995"/>
    <n v="4485"/>
    <n v="1"/>
    <n v="1"/>
    <n v="1"/>
    <n v="13122"/>
    <n v="750"/>
    <n v="9.75"/>
    <n v="1.5"/>
    <m/>
    <n v="0.5"/>
    <m/>
    <m/>
    <n v="0.25"/>
    <m/>
    <m/>
    <n v="12"/>
    <m/>
    <n v="870"/>
    <m/>
    <n v="269.72000000000003"/>
    <x v="53"/>
    <n v="6719.72"/>
  </r>
  <r>
    <x v="1"/>
    <d v="2025-07-12T17:02:24"/>
    <s v="NS 5pm"/>
    <s v="SF25_DMET013"/>
    <m/>
    <s v="Dean Melville"/>
    <n v="3"/>
    <n v="390"/>
    <n v="66.5"/>
    <n v="87.5"/>
    <x v="46"/>
    <m/>
    <m/>
    <n v="0"/>
    <m/>
    <m/>
    <n v="0"/>
    <m/>
    <m/>
    <n v="0"/>
    <n v="21"/>
    <n v="3675"/>
    <n v="4945"/>
    <m/>
    <m/>
    <m/>
    <m/>
    <n v="0"/>
    <n v="10.75"/>
    <n v="0.25"/>
    <m/>
    <n v="0.5"/>
    <m/>
    <m/>
    <n v="0.5"/>
    <m/>
    <m/>
    <n v="12"/>
    <m/>
    <n v="295"/>
    <m/>
    <n v="117.93"/>
    <x v="54"/>
    <n v="5747.93"/>
  </r>
  <r>
    <x v="1"/>
    <d v="2025-07-13T05:02:24"/>
    <s v="DS 5am"/>
    <s v="SF25_DMET013"/>
    <m/>
    <s v="Carl Jonas"/>
    <n v="4"/>
    <n v="520"/>
    <n v="87.5"/>
    <n v="90.5"/>
    <x v="47"/>
    <m/>
    <m/>
    <n v="0"/>
    <m/>
    <m/>
    <n v="0"/>
    <m/>
    <m/>
    <n v="0"/>
    <n v="3"/>
    <n v="525"/>
    <n v="525"/>
    <n v="1"/>
    <n v="1"/>
    <n v="1"/>
    <n v="13122"/>
    <n v="750"/>
    <n v="1"/>
    <n v="10.5"/>
    <s v="Rig Move"/>
    <n v="0.5"/>
    <m/>
    <m/>
    <m/>
    <m/>
    <m/>
    <n v="12"/>
    <m/>
    <n v="5010"/>
    <m/>
    <n v="0"/>
    <x v="55"/>
    <n v="6630"/>
  </r>
  <r>
    <x v="1"/>
    <d v="2025-07-13T17:02:24"/>
    <s v="NS 5pm"/>
    <s v="SF25_DMET004"/>
    <m/>
    <s v="Dean Melville"/>
    <n v="3"/>
    <n v="390"/>
    <n v="66.400000000000006"/>
    <n v="80.900000000000006"/>
    <x v="48"/>
    <m/>
    <m/>
    <n v="0"/>
    <m/>
    <m/>
    <n v="0"/>
    <m/>
    <m/>
    <n v="0"/>
    <n v="14.5"/>
    <n v="2537.5"/>
    <n v="3450"/>
    <m/>
    <m/>
    <m/>
    <m/>
    <n v="0"/>
    <n v="7.5"/>
    <n v="3.75"/>
    <m/>
    <n v="0.75"/>
    <m/>
    <m/>
    <m/>
    <m/>
    <m/>
    <n v="12"/>
    <m/>
    <n v="1995"/>
    <m/>
    <n v="117.93"/>
    <x v="44"/>
    <n v="5952.93"/>
  </r>
  <r>
    <x v="1"/>
    <d v="2025-07-14T05:02:24"/>
    <s v="DS 5am"/>
    <s v="SF25_DMET004"/>
    <m/>
    <s v="Carl Jonas"/>
    <n v="3"/>
    <n v="390"/>
    <n v="80.900000000000006"/>
    <n v="93.6"/>
    <x v="49"/>
    <m/>
    <m/>
    <n v="0"/>
    <m/>
    <m/>
    <n v="0"/>
    <m/>
    <m/>
    <n v="0"/>
    <n v="12.699999999999989"/>
    <n v="2222.4999999999982"/>
    <n v="4140"/>
    <n v="1"/>
    <n v="1"/>
    <n v="1"/>
    <n v="13122"/>
    <n v="750"/>
    <n v="9"/>
    <n v="2.5"/>
    <m/>
    <n v="0.5"/>
    <m/>
    <m/>
    <m/>
    <m/>
    <m/>
    <n v="12"/>
    <m/>
    <n v="1330"/>
    <m/>
    <n v="220"/>
    <x v="56"/>
    <n v="6655"/>
  </r>
  <r>
    <x v="1"/>
    <d v="2025-07-14T17:02:24"/>
    <s v="NS 5pm"/>
    <s v="SF25_DMET004"/>
    <m/>
    <s v="Dean Melville"/>
    <n v="3"/>
    <n v="390"/>
    <n v="93.6"/>
    <n v="117.6"/>
    <x v="50"/>
    <m/>
    <m/>
    <n v="0"/>
    <m/>
    <m/>
    <n v="0"/>
    <m/>
    <m/>
    <n v="0"/>
    <n v="24"/>
    <n v="4200"/>
    <n v="4945"/>
    <m/>
    <m/>
    <m/>
    <m/>
    <n v="0"/>
    <n v="10.75"/>
    <n v="0.5"/>
    <m/>
    <n v="0.75"/>
    <m/>
    <m/>
    <m/>
    <m/>
    <m/>
    <n v="12"/>
    <m/>
    <n v="500"/>
    <m/>
    <n v="236.49"/>
    <x v="57"/>
    <n v="6071.49"/>
  </r>
  <r>
    <x v="1"/>
    <d v="2025-07-15T05:02:24"/>
    <s v="DS 5am"/>
    <s v="SF25_DMET004"/>
    <s v="SF25_DMET005"/>
    <s v="Carl Jonas"/>
    <n v="3"/>
    <n v="390"/>
    <n v="117.6"/>
    <n v="120.2"/>
    <x v="51"/>
    <m/>
    <m/>
    <n v="0"/>
    <n v="0"/>
    <n v="7.7"/>
    <n v="7.7"/>
    <m/>
    <m/>
    <n v="0"/>
    <n v="10.300000000000008"/>
    <n v="1802.5000000000014"/>
    <n v="1840"/>
    <n v="1"/>
    <n v="1"/>
    <n v="1"/>
    <n v="13122"/>
    <n v="750"/>
    <n v="4"/>
    <n v="7.5"/>
    <m/>
    <n v="0.5"/>
    <m/>
    <m/>
    <m/>
    <m/>
    <m/>
    <n v="12"/>
    <m/>
    <n v="3630"/>
    <m/>
    <n v="277.39999999999998"/>
    <x v="58"/>
    <n v="6712.4"/>
  </r>
  <r>
    <x v="1"/>
    <d v="2025-07-15T17:02:24"/>
    <s v="NS 5pm"/>
    <s v="SF25_DMET005"/>
    <m/>
    <s v="Dean Melville"/>
    <n v="3"/>
    <n v="390"/>
    <n v="7.7"/>
    <n v="21.5"/>
    <x v="52"/>
    <m/>
    <m/>
    <n v="0"/>
    <m/>
    <m/>
    <n v="0"/>
    <m/>
    <m/>
    <n v="0"/>
    <n v="13.8"/>
    <n v="2415"/>
    <n v="2415"/>
    <m/>
    <m/>
    <m/>
    <m/>
    <n v="0"/>
    <n v="5.25"/>
    <n v="1"/>
    <s v="crew change"/>
    <n v="2.75"/>
    <m/>
    <s v="cement PVC collar"/>
    <n v="3"/>
    <m/>
    <m/>
    <n v="12"/>
    <m/>
    <n v="1450"/>
    <m/>
    <n v="3105.93"/>
    <x v="59"/>
    <n v="7360.93"/>
  </r>
  <r>
    <x v="1"/>
    <d v="2025-07-16T05:02:24"/>
    <s v="DS 5am"/>
    <s v="SF25_DMET005"/>
    <m/>
    <s v="Nicholas Nakovics"/>
    <n v="3"/>
    <n v="390"/>
    <n v="21.5"/>
    <n v="21.5"/>
    <x v="18"/>
    <m/>
    <m/>
    <n v="0"/>
    <m/>
    <m/>
    <n v="0"/>
    <m/>
    <m/>
    <n v="0"/>
    <n v="0"/>
    <n v="0"/>
    <n v="0"/>
    <m/>
    <n v="1"/>
    <n v="1"/>
    <n v="13122"/>
    <n v="575"/>
    <n v="0"/>
    <n v="0.5"/>
    <s v="crew change"/>
    <n v="0.75"/>
    <m/>
    <m/>
    <n v="9"/>
    <n v="1.75"/>
    <m/>
    <n v="12"/>
    <m/>
    <n v="500"/>
    <m/>
    <m/>
    <x v="60"/>
    <n v="1465"/>
  </r>
  <r>
    <x v="1"/>
    <d v="2025-07-16T17:02:24"/>
    <s v="NS 5pm"/>
    <s v="SF25_DMET005"/>
    <m/>
    <s v="Carl Jonas"/>
    <n v="3"/>
    <n v="390"/>
    <n v="21.5"/>
    <n v="54.5"/>
    <x v="53"/>
    <m/>
    <m/>
    <n v="0"/>
    <m/>
    <m/>
    <n v="0"/>
    <m/>
    <m/>
    <n v="0"/>
    <n v="33"/>
    <n v="5775"/>
    <n v="5775"/>
    <m/>
    <m/>
    <m/>
    <m/>
    <n v="0"/>
    <n v="9.75"/>
    <n v="1.75"/>
    <m/>
    <n v="0.5"/>
    <m/>
    <m/>
    <m/>
    <m/>
    <m/>
    <n v="12"/>
    <m/>
    <n v="985"/>
    <m/>
    <n v="117.93"/>
    <x v="61"/>
    <n v="7267.93"/>
  </r>
  <r>
    <x v="1"/>
    <d v="2025-07-17T05:02:24"/>
    <s v="DS 5am"/>
    <s v="SF25_DMET005"/>
    <m/>
    <s v="Nicholas Nakovics"/>
    <n v="3"/>
    <n v="390"/>
    <n v="54.5"/>
    <n v="75.2"/>
    <x v="7"/>
    <m/>
    <m/>
    <n v="0"/>
    <m/>
    <m/>
    <n v="0"/>
    <m/>
    <m/>
    <n v="0"/>
    <n v="20.700000000000003"/>
    <n v="3622.5000000000005"/>
    <n v="4600"/>
    <m/>
    <n v="1"/>
    <n v="1"/>
    <n v="13122"/>
    <n v="575"/>
    <n v="10"/>
    <n v="1.25"/>
    <m/>
    <n v="0.75"/>
    <m/>
    <m/>
    <m/>
    <m/>
    <m/>
    <n v="12"/>
    <m/>
    <n v="845"/>
    <m/>
    <m/>
    <x v="62"/>
    <n v="6410"/>
  </r>
  <r>
    <x v="1"/>
    <d v="2025-07-17T17:02:24"/>
    <s v="NS 5pm"/>
    <s v="SF25_DMET005"/>
    <m/>
    <s v="Carl Jonas"/>
    <n v="3"/>
    <n v="390"/>
    <n v="75.2"/>
    <n v="86.7"/>
    <x v="54"/>
    <m/>
    <m/>
    <n v="0"/>
    <m/>
    <m/>
    <n v="0"/>
    <m/>
    <m/>
    <n v="0"/>
    <n v="11.5"/>
    <n v="2012.5"/>
    <n v="4140"/>
    <m/>
    <m/>
    <m/>
    <m/>
    <n v="0"/>
    <n v="9"/>
    <n v="2.5"/>
    <m/>
    <n v="0.5"/>
    <m/>
    <m/>
    <m/>
    <m/>
    <m/>
    <n v="12"/>
    <m/>
    <n v="1330"/>
    <m/>
    <n v="337.93"/>
    <x v="63"/>
    <n v="6197.93"/>
  </r>
  <r>
    <x v="1"/>
    <d v="2025-07-18T05:02:24"/>
    <s v="DS 5am"/>
    <s v="SF25_DMET005"/>
    <m/>
    <s v="Nicholas Nakovics"/>
    <n v="3"/>
    <n v="390"/>
    <n v="86.7"/>
    <n v="108.5"/>
    <x v="55"/>
    <m/>
    <m/>
    <n v="0"/>
    <m/>
    <m/>
    <n v="0"/>
    <m/>
    <m/>
    <n v="0"/>
    <n v="21.799999999999997"/>
    <n v="3814.9999999999995"/>
    <n v="4600"/>
    <m/>
    <n v="1"/>
    <n v="1"/>
    <n v="13122"/>
    <n v="575"/>
    <n v="10"/>
    <n v="1.25"/>
    <m/>
    <n v="0.75"/>
    <m/>
    <m/>
    <m/>
    <m/>
    <m/>
    <n v="12"/>
    <m/>
    <n v="845"/>
    <m/>
    <n v="117.93"/>
    <x v="64"/>
    <n v="6527.93"/>
  </r>
  <r>
    <x v="1"/>
    <d v="2025-07-18T17:02:24"/>
    <s v="NS 5pm"/>
    <s v="SF25_DMET005"/>
    <m/>
    <s v="Carl Jonas"/>
    <n v="3"/>
    <n v="390"/>
    <n v="108.5"/>
    <n v="120.5"/>
    <x v="14"/>
    <m/>
    <m/>
    <n v="0"/>
    <m/>
    <m/>
    <n v="0"/>
    <m/>
    <m/>
    <n v="0"/>
    <n v="12"/>
    <n v="2100"/>
    <n v="2100"/>
    <m/>
    <m/>
    <m/>
    <m/>
    <n v="0"/>
    <n v="3.5"/>
    <n v="8"/>
    <m/>
    <n v="0.5"/>
    <m/>
    <m/>
    <m/>
    <m/>
    <m/>
    <n v="12"/>
    <m/>
    <n v="3860"/>
    <m/>
    <n v="117.93"/>
    <x v="65"/>
    <n v="6467.93"/>
  </r>
  <r>
    <x v="6"/>
    <d v="2025-07-19T05:02:24"/>
    <s v="DS 5am"/>
    <s v="SF25_DDGT003"/>
    <m/>
    <s v="Nicholas Nakovics"/>
    <n v="3"/>
    <n v="390"/>
    <m/>
    <m/>
    <x v="18"/>
    <n v="0"/>
    <n v="30.6"/>
    <n v="30.6"/>
    <m/>
    <m/>
    <n v="0"/>
    <m/>
    <m/>
    <n v="0"/>
    <n v="30.6"/>
    <n v="4131"/>
    <n v="4370"/>
    <m/>
    <n v="1"/>
    <n v="1"/>
    <n v="13122"/>
    <n v="575"/>
    <n v="9.5"/>
    <n v="1.25"/>
    <m/>
    <n v="1.25"/>
    <m/>
    <m/>
    <m/>
    <m/>
    <m/>
    <n v="12"/>
    <m/>
    <n v="1025"/>
    <m/>
    <m/>
    <x v="66"/>
    <n v="6360"/>
  </r>
  <r>
    <x v="6"/>
    <d v="2025-07-19T17:02:24"/>
    <s v="NS 5pm"/>
    <s v="SF25_DDGT003"/>
    <m/>
    <s v="Carl Jonas"/>
    <n v="3"/>
    <n v="390"/>
    <m/>
    <m/>
    <x v="18"/>
    <n v="30.6"/>
    <n v="60.6"/>
    <n v="30"/>
    <m/>
    <m/>
    <n v="0"/>
    <m/>
    <m/>
    <n v="0"/>
    <n v="30"/>
    <n v="4050"/>
    <n v="4140"/>
    <m/>
    <m/>
    <m/>
    <m/>
    <n v="0"/>
    <n v="9"/>
    <n v="2.5"/>
    <m/>
    <n v="0.5"/>
    <m/>
    <m/>
    <m/>
    <m/>
    <m/>
    <n v="12"/>
    <m/>
    <n v="1330"/>
    <m/>
    <n v="117.93"/>
    <x v="52"/>
    <n v="5977.93"/>
  </r>
  <r>
    <x v="6"/>
    <d v="2025-07-20T05:02:24"/>
    <s v="DS 5am"/>
    <s v="SF25_DDGT003"/>
    <m/>
    <s v="Nicholas Nakovics"/>
    <n v="3"/>
    <n v="390"/>
    <m/>
    <m/>
    <x v="18"/>
    <n v="60.6"/>
    <n v="90.6"/>
    <n v="29.999999999999993"/>
    <m/>
    <m/>
    <n v="0"/>
    <m/>
    <m/>
    <n v="0"/>
    <n v="29.999999999999993"/>
    <n v="4049.9999999999991"/>
    <n v="4830"/>
    <m/>
    <n v="1"/>
    <n v="1"/>
    <n v="13122"/>
    <n v="575"/>
    <n v="10.5"/>
    <n v="0.25"/>
    <m/>
    <n v="0.75"/>
    <m/>
    <m/>
    <n v="0.5"/>
    <m/>
    <m/>
    <n v="12"/>
    <m/>
    <n v="385"/>
    <m/>
    <m/>
    <x v="67"/>
    <n v="6180"/>
  </r>
  <r>
    <x v="6"/>
    <d v="2025-07-20T17:02:24"/>
    <s v="NS 5pm"/>
    <s v="SF25_DDGT003"/>
    <m/>
    <s v="Carl Jonas"/>
    <n v="3"/>
    <n v="390"/>
    <m/>
    <m/>
    <x v="18"/>
    <n v="90.6"/>
    <n v="110"/>
    <n v="19.400000000000006"/>
    <m/>
    <m/>
    <n v="0"/>
    <m/>
    <m/>
    <n v="0"/>
    <n v="19.400000000000006"/>
    <n v="2619.0000000000009"/>
    <n v="2645"/>
    <m/>
    <m/>
    <m/>
    <m/>
    <n v="0"/>
    <n v="5.75"/>
    <n v="5.25"/>
    <m/>
    <n v="0.5"/>
    <m/>
    <m/>
    <n v="0.5"/>
    <m/>
    <m/>
    <n v="12"/>
    <m/>
    <n v="2595"/>
    <m/>
    <n v="117.93"/>
    <x v="54"/>
    <n v="5747.93"/>
  </r>
  <r>
    <x v="6"/>
    <d v="2025-07-21T05:02:24"/>
    <s v="DS 5am"/>
    <s v="SF25_DDGT004"/>
    <m/>
    <s v="Nicholas Nakovics"/>
    <n v="3"/>
    <n v="390"/>
    <m/>
    <m/>
    <x v="18"/>
    <n v="0"/>
    <n v="30.6"/>
    <n v="30.6"/>
    <m/>
    <m/>
    <n v="0"/>
    <m/>
    <m/>
    <n v="0"/>
    <n v="30.6"/>
    <n v="4131"/>
    <n v="4830"/>
    <m/>
    <n v="1"/>
    <n v="1"/>
    <n v="13122"/>
    <n v="575"/>
    <n v="10.5"/>
    <n v="0.75"/>
    <m/>
    <n v="0.75"/>
    <m/>
    <m/>
    <m/>
    <m/>
    <m/>
    <n v="12"/>
    <m/>
    <n v="615"/>
    <m/>
    <m/>
    <x v="62"/>
    <n v="6410"/>
  </r>
  <r>
    <x v="6"/>
    <d v="2025-07-21T17:02:24"/>
    <s v="NS 5pm"/>
    <s v="SF25_DDGT004"/>
    <m/>
    <s v="Carl Jonas"/>
    <n v="3"/>
    <n v="390"/>
    <m/>
    <m/>
    <x v="18"/>
    <n v="30.6"/>
    <n v="60.6"/>
    <n v="30"/>
    <m/>
    <m/>
    <n v="0"/>
    <m/>
    <m/>
    <n v="0"/>
    <n v="30"/>
    <n v="4050"/>
    <n v="4600"/>
    <m/>
    <m/>
    <m/>
    <m/>
    <n v="0"/>
    <n v="10"/>
    <n v="1.5"/>
    <m/>
    <n v="0.5"/>
    <m/>
    <m/>
    <m/>
    <m/>
    <m/>
    <n v="12"/>
    <m/>
    <n v="870"/>
    <m/>
    <n v="117.93"/>
    <x v="52"/>
    <n v="5977.93"/>
  </r>
  <r>
    <x v="6"/>
    <d v="2025-07-22T05:02:24"/>
    <s v="DS 5am"/>
    <s v="SF25_DDGT004"/>
    <m/>
    <s v="Nicholas Nakovics"/>
    <n v="3"/>
    <n v="390"/>
    <m/>
    <m/>
    <x v="18"/>
    <n v="60.6"/>
    <n v="90.6"/>
    <n v="29.999999999999993"/>
    <m/>
    <m/>
    <n v="0"/>
    <m/>
    <m/>
    <n v="0"/>
    <n v="29.999999999999993"/>
    <n v="4049.9999999999991"/>
    <n v="5060"/>
    <m/>
    <n v="1"/>
    <n v="1"/>
    <n v="13122"/>
    <n v="575"/>
    <n v="11"/>
    <n v="0.25"/>
    <m/>
    <n v="0.75"/>
    <m/>
    <m/>
    <m/>
    <m/>
    <m/>
    <n v="12"/>
    <m/>
    <n v="385"/>
    <m/>
    <m/>
    <x v="62"/>
    <n v="6410"/>
  </r>
  <r>
    <x v="6"/>
    <d v="2025-07-22T17:02:24"/>
    <s v="NS 5pm"/>
    <s v="SF25_DDGT004"/>
    <m/>
    <s v="Carl Jonas"/>
    <n v="3"/>
    <n v="390"/>
    <m/>
    <m/>
    <x v="18"/>
    <n v="90.6"/>
    <n v="110"/>
    <n v="19.400000000000006"/>
    <m/>
    <m/>
    <n v="0"/>
    <m/>
    <m/>
    <n v="0"/>
    <n v="19.400000000000006"/>
    <n v="2619.0000000000009"/>
    <n v="3220"/>
    <m/>
    <m/>
    <m/>
    <m/>
    <n v="0"/>
    <n v="7"/>
    <n v="4.5"/>
    <m/>
    <n v="0.5"/>
    <m/>
    <m/>
    <m/>
    <m/>
    <m/>
    <n v="12"/>
    <m/>
    <n v="2250"/>
    <m/>
    <n v="117.93"/>
    <x v="52"/>
    <n v="5977.93"/>
  </r>
  <r>
    <x v="6"/>
    <d v="2025-07-23T05:02:24"/>
    <s v="DS 5am"/>
    <s v="SF25_DDGT007"/>
    <m/>
    <s v="Nicholas Nakovics"/>
    <n v="3"/>
    <n v="390"/>
    <m/>
    <m/>
    <x v="18"/>
    <n v="0"/>
    <n v="11.9"/>
    <n v="11.9"/>
    <m/>
    <m/>
    <n v="0"/>
    <m/>
    <m/>
    <n v="0"/>
    <n v="11.9"/>
    <n v="1606.5"/>
    <n v="2990"/>
    <m/>
    <n v="1"/>
    <n v="1"/>
    <n v="13122"/>
    <n v="575"/>
    <n v="6.5"/>
    <n v="4.75"/>
    <m/>
    <n v="0.75"/>
    <m/>
    <m/>
    <m/>
    <m/>
    <m/>
    <n v="12"/>
    <m/>
    <n v="2455"/>
    <m/>
    <m/>
    <x v="62"/>
    <n v="6410"/>
  </r>
  <r>
    <x v="6"/>
    <d v="2025-07-23T17:02:24"/>
    <s v="NS 5pm"/>
    <s v="SF25_DDGT007"/>
    <m/>
    <s v="Carl Jonas"/>
    <n v="3"/>
    <n v="390"/>
    <m/>
    <m/>
    <x v="18"/>
    <n v="11.9"/>
    <n v="42.4"/>
    <n v="30.5"/>
    <m/>
    <m/>
    <n v="0"/>
    <m/>
    <m/>
    <n v="0"/>
    <n v="30.5"/>
    <n v="4117.5"/>
    <n v="4370"/>
    <m/>
    <m/>
    <m/>
    <m/>
    <n v="0"/>
    <n v="9.5"/>
    <n v="2"/>
    <m/>
    <n v="0.5"/>
    <m/>
    <m/>
    <m/>
    <m/>
    <m/>
    <n v="12"/>
    <m/>
    <n v="1100"/>
    <m/>
    <n v="138.69999999999999"/>
    <x v="68"/>
    <n v="5998.7"/>
  </r>
  <r>
    <x v="6"/>
    <d v="2025-07-24T05:02:24"/>
    <s v="DS 5am"/>
    <s v="SF25_DDGT007"/>
    <m/>
    <s v="Nicholas Nakovics"/>
    <n v="3"/>
    <n v="390"/>
    <m/>
    <m/>
    <x v="18"/>
    <n v="42.4"/>
    <n v="72.400000000000006"/>
    <n v="30.000000000000007"/>
    <m/>
    <m/>
    <n v="0"/>
    <m/>
    <m/>
    <n v="0"/>
    <n v="30"/>
    <n v="4050.0000000000009"/>
    <n v="5060"/>
    <m/>
    <n v="1"/>
    <n v="1"/>
    <n v="13122"/>
    <n v="575"/>
    <n v="11"/>
    <n v="0.25"/>
    <m/>
    <n v="0.75"/>
    <m/>
    <m/>
    <m/>
    <m/>
    <m/>
    <n v="12"/>
    <m/>
    <n v="385"/>
    <m/>
    <m/>
    <x v="62"/>
    <n v="6410"/>
  </r>
  <r>
    <x v="6"/>
    <d v="2025-07-24T17:02:24"/>
    <s v="NS 5pm"/>
    <s v="SF25_DDGT007"/>
    <m/>
    <s v="Carl Jonas"/>
    <n v="3"/>
    <n v="390"/>
    <m/>
    <m/>
    <x v="18"/>
    <n v="72.400000000000006"/>
    <n v="102.4"/>
    <n v="30"/>
    <m/>
    <m/>
    <n v="0"/>
    <m/>
    <m/>
    <n v="0"/>
    <n v="30"/>
    <n v="4050"/>
    <n v="4600"/>
    <m/>
    <m/>
    <m/>
    <m/>
    <n v="0"/>
    <n v="10"/>
    <n v="1.5"/>
    <m/>
    <n v="0.5"/>
    <m/>
    <m/>
    <m/>
    <m/>
    <m/>
    <n v="12"/>
    <m/>
    <n v="870"/>
    <m/>
    <n v="138.69999999999999"/>
    <x v="68"/>
    <n v="5998.7"/>
  </r>
  <r>
    <x v="6"/>
    <d v="2025-07-25T05:02:24"/>
    <s v="DS 5am"/>
    <s v="SF25_DDGT007"/>
    <m/>
    <s v="Nicholas Nakovics"/>
    <n v="3"/>
    <n v="390"/>
    <m/>
    <m/>
    <x v="18"/>
    <n v="102.4"/>
    <n v="120"/>
    <n v="17.599999999999994"/>
    <m/>
    <m/>
    <n v="0"/>
    <m/>
    <m/>
    <n v="0"/>
    <n v="17.599999999999994"/>
    <n v="2375.9999999999991"/>
    <n v="2375.9999999999991"/>
    <m/>
    <n v="1"/>
    <n v="1"/>
    <n v="13122"/>
    <n v="575"/>
    <n v="4"/>
    <n v="7.25"/>
    <m/>
    <n v="0.75"/>
    <m/>
    <m/>
    <m/>
    <m/>
    <m/>
    <n v="12"/>
    <m/>
    <n v="3605"/>
    <m/>
    <m/>
    <x v="69"/>
    <n v="6946"/>
  </r>
  <r>
    <x v="6"/>
    <d v="2025-07-25T17:02:24"/>
    <s v="NS 5pm"/>
    <s v="SF25_DDGT008"/>
    <m/>
    <s v="Carl Jonas"/>
    <n v="3"/>
    <n v="390"/>
    <m/>
    <m/>
    <x v="18"/>
    <n v="0"/>
    <n v="18.5"/>
    <n v="18.5"/>
    <m/>
    <m/>
    <n v="0"/>
    <m/>
    <m/>
    <n v="0"/>
    <n v="18.5"/>
    <n v="2497.5"/>
    <n v="4370"/>
    <m/>
    <m/>
    <m/>
    <m/>
    <n v="0"/>
    <n v="9.5"/>
    <n v="2"/>
    <m/>
    <n v="0.5"/>
    <m/>
    <m/>
    <m/>
    <m/>
    <m/>
    <n v="12"/>
    <m/>
    <n v="1100"/>
    <m/>
    <n v="138.69999999999999"/>
    <x v="68"/>
    <n v="5998.7"/>
  </r>
  <r>
    <x v="6"/>
    <d v="2025-07-26T05:02:24"/>
    <s v="DS 5am"/>
    <s v="SF25_DDGT008"/>
    <m/>
    <s v="Nicholas Nakovics"/>
    <n v="3"/>
    <n v="390"/>
    <m/>
    <m/>
    <x v="18"/>
    <n v="18.5"/>
    <n v="48.5"/>
    <n v="30"/>
    <m/>
    <m/>
    <n v="0"/>
    <m/>
    <m/>
    <n v="0"/>
    <n v="30"/>
    <n v="4050"/>
    <n v="4945"/>
    <m/>
    <n v="1"/>
    <n v="1"/>
    <n v="13122"/>
    <n v="575"/>
    <n v="10.75"/>
    <n v="0.5"/>
    <m/>
    <n v="0.75"/>
    <m/>
    <m/>
    <m/>
    <m/>
    <m/>
    <n v="12"/>
    <m/>
    <n v="500"/>
    <m/>
    <m/>
    <x v="62"/>
    <n v="6410"/>
  </r>
  <r>
    <x v="6"/>
    <d v="2025-07-26T17:02:24"/>
    <s v="NS 5pm"/>
    <s v="SF25_DDGT008"/>
    <m/>
    <s v="Carl Jonas"/>
    <n v="3"/>
    <n v="390"/>
    <m/>
    <m/>
    <x v="18"/>
    <n v="48.5"/>
    <n v="78.5"/>
    <n v="30"/>
    <m/>
    <m/>
    <n v="0"/>
    <m/>
    <m/>
    <n v="0"/>
    <n v="30"/>
    <n v="4050"/>
    <n v="4830"/>
    <m/>
    <m/>
    <m/>
    <m/>
    <n v="0"/>
    <n v="10.5"/>
    <n v="1"/>
    <m/>
    <n v="0.5"/>
    <m/>
    <m/>
    <m/>
    <m/>
    <m/>
    <n v="12"/>
    <m/>
    <n v="640"/>
    <m/>
    <m/>
    <x v="70"/>
    <n v="5860"/>
  </r>
  <r>
    <x v="6"/>
    <d v="2025-07-27T05:02:24"/>
    <s v="DS 5am"/>
    <s v="SF25_DDGT008"/>
    <m/>
    <s v="Nicholas Nakovics"/>
    <n v="3"/>
    <n v="390"/>
    <m/>
    <m/>
    <x v="18"/>
    <n v="78.5"/>
    <n v="108.5"/>
    <n v="30"/>
    <m/>
    <m/>
    <n v="0"/>
    <m/>
    <m/>
    <n v="0"/>
    <n v="30"/>
    <n v="4050"/>
    <n v="4830"/>
    <m/>
    <n v="1"/>
    <n v="1"/>
    <n v="13122"/>
    <n v="575"/>
    <n v="10.5"/>
    <n v="0.25"/>
    <m/>
    <n v="0.75"/>
    <m/>
    <m/>
    <n v="0.5"/>
    <m/>
    <m/>
    <n v="12"/>
    <m/>
    <n v="385"/>
    <m/>
    <m/>
    <x v="67"/>
    <n v="6180"/>
  </r>
  <r>
    <x v="6"/>
    <d v="2025-07-27T17:02:24"/>
    <s v="NS 5pm"/>
    <s v="SF25_DDGT008"/>
    <m/>
    <s v="Carl Jonas"/>
    <n v="3"/>
    <n v="390"/>
    <m/>
    <m/>
    <x v="18"/>
    <n v="108.5"/>
    <n v="130"/>
    <n v="21.5"/>
    <m/>
    <m/>
    <n v="0"/>
    <m/>
    <m/>
    <n v="0"/>
    <n v="21.5"/>
    <n v="2902.5"/>
    <n v="2902.5"/>
    <m/>
    <m/>
    <m/>
    <m/>
    <n v="0"/>
    <n v="6"/>
    <n v="5"/>
    <m/>
    <n v="0.5"/>
    <m/>
    <m/>
    <n v="0.5"/>
    <m/>
    <m/>
    <n v="12"/>
    <m/>
    <n v="2480"/>
    <m/>
    <m/>
    <x v="71"/>
    <n v="5772.5"/>
  </r>
  <r>
    <x v="1"/>
    <d v="2025-07-28T05:02:24"/>
    <s v="DS 5am"/>
    <s v="SF25_DMET014"/>
    <m/>
    <s v="Nicholas Nakovics"/>
    <n v="3"/>
    <n v="390"/>
    <n v="0"/>
    <n v="18.2"/>
    <x v="56"/>
    <m/>
    <m/>
    <n v="0"/>
    <m/>
    <m/>
    <n v="0"/>
    <m/>
    <m/>
    <n v="0"/>
    <n v="18.2"/>
    <n v="3185"/>
    <n v="3185"/>
    <m/>
    <n v="1"/>
    <n v="1"/>
    <n v="13122"/>
    <n v="575"/>
    <n v="6.25"/>
    <n v="4.75"/>
    <m/>
    <n v="1"/>
    <m/>
    <m/>
    <m/>
    <m/>
    <m/>
    <n v="12"/>
    <m/>
    <n v="2545"/>
    <n v="786.12"/>
    <n v="396.12"/>
    <x v="72"/>
    <n v="7091.12"/>
  </r>
  <r>
    <x v="1"/>
    <d v="2025-07-28T17:02:24"/>
    <s v="NS 5pm"/>
    <s v="SF25_DMET014"/>
    <m/>
    <s v="Carl Jonas"/>
    <n v="3"/>
    <n v="390"/>
    <n v="18.2"/>
    <n v="39.200000000000003"/>
    <x v="57"/>
    <m/>
    <m/>
    <n v="0"/>
    <m/>
    <m/>
    <n v="0"/>
    <m/>
    <m/>
    <n v="0"/>
    <n v="21.000000000000004"/>
    <n v="3675.0000000000005"/>
    <n v="4370"/>
    <m/>
    <m/>
    <m/>
    <m/>
    <n v="0"/>
    <n v="9.5"/>
    <n v="2"/>
    <m/>
    <n v="0.5"/>
    <m/>
    <m/>
    <m/>
    <m/>
    <m/>
    <n v="12"/>
    <m/>
    <n v="1100"/>
    <n v="747.5"/>
    <n v="357.5"/>
    <x v="73"/>
    <n v="6217.5"/>
  </r>
  <r>
    <x v="1"/>
    <d v="2025-07-29T05:02:24"/>
    <s v="DS 5am"/>
    <s v="SF25_DMET014"/>
    <m/>
    <s v="Nicholas Nakovics"/>
    <n v="3"/>
    <n v="390"/>
    <n v="39.200000000000003"/>
    <n v="50.3"/>
    <x v="58"/>
    <m/>
    <m/>
    <n v="0"/>
    <m/>
    <m/>
    <n v="0"/>
    <m/>
    <m/>
    <n v="0"/>
    <n v="11.099999999999994"/>
    <n v="1942.4999999999991"/>
    <n v="4255"/>
    <m/>
    <n v="1"/>
    <n v="1"/>
    <n v="13122"/>
    <n v="575"/>
    <n v="9.25"/>
    <n v="2"/>
    <m/>
    <n v="0.75"/>
    <m/>
    <m/>
    <m/>
    <m/>
    <m/>
    <n v="12"/>
    <m/>
    <n v="1190"/>
    <n v="1161.2"/>
    <n v="771.2"/>
    <x v="74"/>
    <n v="7181.2"/>
  </r>
  <r>
    <x v="1"/>
    <d v="2025-07-29T17:02:24"/>
    <s v="NS 5pm"/>
    <s v="SF25_DMET014"/>
    <m/>
    <s v="Carl Jonas"/>
    <n v="3"/>
    <n v="390"/>
    <n v="50.3"/>
    <n v="55.8"/>
    <x v="59"/>
    <m/>
    <m/>
    <n v="0"/>
    <m/>
    <m/>
    <n v="0"/>
    <m/>
    <m/>
    <n v="0"/>
    <n v="5.5"/>
    <n v="962.5"/>
    <n v="2300"/>
    <m/>
    <m/>
    <m/>
    <m/>
    <n v="0"/>
    <n v="5"/>
    <n v="2.5"/>
    <s v="crew change"/>
    <n v="0.5"/>
    <m/>
    <m/>
    <n v="4"/>
    <m/>
    <m/>
    <n v="12"/>
    <m/>
    <n v="1330"/>
    <n v="507.93"/>
    <n v="117.93"/>
    <x v="75"/>
    <n v="4137.93"/>
  </r>
  <r>
    <x v="1"/>
    <d v="2025-07-30T05:02:24"/>
    <s v="DS 5am"/>
    <s v="SF25_DMET014"/>
    <m/>
    <s v="Dean Melville"/>
    <n v="3"/>
    <n v="390"/>
    <n v="55.8"/>
    <n v="55.8"/>
    <x v="18"/>
    <m/>
    <m/>
    <n v="0"/>
    <m/>
    <m/>
    <n v="0"/>
    <m/>
    <m/>
    <n v="0"/>
    <n v="0"/>
    <n v="0"/>
    <n v="0"/>
    <m/>
    <n v="1"/>
    <n v="1"/>
    <n v="13122"/>
    <n v="575"/>
    <m/>
    <n v="0.25"/>
    <m/>
    <n v="0.75"/>
    <m/>
    <m/>
    <n v="11"/>
    <m/>
    <m/>
    <n v="12"/>
    <m/>
    <n v="385"/>
    <n v="390"/>
    <m/>
    <x v="76"/>
    <n v="1350"/>
  </r>
  <r>
    <x v="1"/>
    <d v="2025-07-30T17:02:24"/>
    <s v="NS 5pm"/>
    <s v="SF25_DMET014"/>
    <m/>
    <s v="Nicholas Nakovics"/>
    <n v="3"/>
    <n v="390"/>
    <n v="55.8"/>
    <n v="78.2"/>
    <x v="60"/>
    <m/>
    <m/>
    <n v="0"/>
    <m/>
    <m/>
    <n v="0"/>
    <m/>
    <m/>
    <n v="0"/>
    <n v="22.400000000000006"/>
    <n v="3920.0000000000009"/>
    <n v="4945"/>
    <m/>
    <m/>
    <m/>
    <m/>
    <n v="0"/>
    <n v="10.75"/>
    <n v="0.5"/>
    <m/>
    <n v="0.75"/>
    <m/>
    <m/>
    <m/>
    <m/>
    <m/>
    <n v="12"/>
    <m/>
    <n v="500"/>
    <n v="390"/>
    <m/>
    <x v="77"/>
    <n v="5835"/>
  </r>
  <r>
    <x v="1"/>
    <d v="2025-07-31T05:02:24"/>
    <s v="DS 5am"/>
    <s v="SF25_DMET014"/>
    <s v="SF25_DMET015"/>
    <s v="Dean Melville"/>
    <n v="3"/>
    <n v="390"/>
    <n v="78.2"/>
    <n v="85.5"/>
    <x v="61"/>
    <m/>
    <m/>
    <n v="0"/>
    <n v="0"/>
    <n v="6.3"/>
    <n v="6.3"/>
    <m/>
    <m/>
    <n v="0"/>
    <n v="13.599999999999998"/>
    <n v="2379.9999999999995"/>
    <n v="2530"/>
    <m/>
    <n v="1"/>
    <n v="1"/>
    <n v="13122"/>
    <n v="575"/>
    <n v="5.5"/>
    <n v="4.75"/>
    <m/>
    <n v="1.75"/>
    <m/>
    <m/>
    <m/>
    <m/>
    <m/>
    <n v="12"/>
    <m/>
    <n v="2815"/>
    <n v="754.57"/>
    <n v="364.57000000000005"/>
    <x v="78"/>
    <n v="6674.57"/>
  </r>
  <r>
    <x v="1"/>
    <d v="2025-07-31T17:02:24"/>
    <s v="NS 5pm"/>
    <s v="SF25_DMET015"/>
    <m/>
    <s v="Nicholas Nakovics"/>
    <n v="3"/>
    <n v="390"/>
    <n v="6.3"/>
    <n v="36.6"/>
    <x v="62"/>
    <m/>
    <m/>
    <n v="0"/>
    <m/>
    <m/>
    <n v="0"/>
    <m/>
    <m/>
    <n v="0"/>
    <n v="30.3"/>
    <n v="5302.5"/>
    <n v="5302.5"/>
    <m/>
    <m/>
    <m/>
    <m/>
    <n v="0"/>
    <n v="10.25"/>
    <n v="1"/>
    <m/>
    <n v="0.75"/>
    <m/>
    <m/>
    <m/>
    <m/>
    <m/>
    <n v="12"/>
    <m/>
    <n v="730"/>
    <n v="21975"/>
    <n v="21585"/>
    <x v="79"/>
    <n v="28007.5"/>
  </r>
  <r>
    <x v="1"/>
    <d v="2025-08-01T05:02:24"/>
    <s v="DS 5am"/>
    <s v="SF25_DMET015"/>
    <m/>
    <s v="Dean Melville"/>
    <n v="3"/>
    <n v="390"/>
    <n v="36.6"/>
    <n v="66.599999999999994"/>
    <x v="63"/>
    <m/>
    <m/>
    <n v="0"/>
    <m/>
    <m/>
    <n v="0"/>
    <m/>
    <m/>
    <n v="0"/>
    <n v="29.999999999999993"/>
    <n v="5249.9999999999991"/>
    <n v="5249.9999999999991"/>
    <n v="1"/>
    <n v="1"/>
    <n v="1"/>
    <n v="13122"/>
    <n v="750"/>
    <n v="9.25"/>
    <n v="2"/>
    <m/>
    <n v="0.75"/>
    <m/>
    <m/>
    <m/>
    <m/>
    <m/>
    <n v="12"/>
    <m/>
    <n v="1190"/>
    <n v="665"/>
    <n v="275"/>
    <x v="80"/>
    <n v="7855"/>
  </r>
  <r>
    <x v="1"/>
    <d v="2025-08-01T17:02:24"/>
    <s v="NS 5pm"/>
    <s v="SF25_DMET015"/>
    <m/>
    <s v="Nicholas Nakovics"/>
    <n v="3"/>
    <n v="390"/>
    <n v="66.599999999999994"/>
    <n v="85"/>
    <x v="64"/>
    <m/>
    <m/>
    <n v="0"/>
    <m/>
    <m/>
    <n v="0"/>
    <m/>
    <m/>
    <n v="0"/>
    <n v="18.400000000000006"/>
    <n v="3220.0000000000009"/>
    <n v="4140"/>
    <m/>
    <m/>
    <m/>
    <m/>
    <n v="0"/>
    <n v="9"/>
    <n v="2.25"/>
    <m/>
    <n v="0.75"/>
    <m/>
    <m/>
    <m/>
    <m/>
    <m/>
    <n v="12"/>
    <m/>
    <n v="1305"/>
    <n v="610"/>
    <n v="220"/>
    <x v="81"/>
    <n v="6055"/>
  </r>
  <r>
    <x v="1"/>
    <d v="2025-08-02T05:02:24"/>
    <s v="DS 5am"/>
    <s v="SF25_DMET016"/>
    <m/>
    <s v="Dean Melville"/>
    <n v="3"/>
    <n v="390"/>
    <n v="0"/>
    <n v="9.6"/>
    <x v="65"/>
    <m/>
    <m/>
    <n v="0"/>
    <m/>
    <m/>
    <n v="0"/>
    <m/>
    <m/>
    <n v="0"/>
    <n v="9.6"/>
    <n v="1680"/>
    <n v="3220"/>
    <n v="1"/>
    <n v="1"/>
    <n v="1"/>
    <n v="13122"/>
    <n v="750"/>
    <n v="7"/>
    <n v="4.25"/>
    <m/>
    <n v="0.75"/>
    <m/>
    <m/>
    <m/>
    <m/>
    <m/>
    <n v="12"/>
    <m/>
    <n v="2225"/>
    <n v="390"/>
    <n v="0"/>
    <x v="34"/>
    <n v="6585"/>
  </r>
  <r>
    <x v="1"/>
    <d v="2025-08-02T17:02:24"/>
    <s v="NS 5pm"/>
    <s v="SF25_DMET016"/>
    <m/>
    <s v="Nicholas Nakovics"/>
    <n v="3"/>
    <n v="390"/>
    <n v="9.6"/>
    <n v="24.6"/>
    <x v="66"/>
    <m/>
    <m/>
    <n v="0"/>
    <m/>
    <m/>
    <n v="0"/>
    <m/>
    <m/>
    <n v="0"/>
    <n v="15.000000000000002"/>
    <n v="2625.0000000000005"/>
    <n v="3795"/>
    <m/>
    <m/>
    <m/>
    <m/>
    <n v="0"/>
    <n v="8.25"/>
    <n v="3"/>
    <m/>
    <n v="0.75"/>
    <m/>
    <m/>
    <m/>
    <m/>
    <m/>
    <n v="12"/>
    <m/>
    <n v="1650"/>
    <n v="610"/>
    <n v="220"/>
    <x v="81"/>
    <n v="6055"/>
  </r>
  <r>
    <x v="1"/>
    <d v="2025-08-03T05:02:24"/>
    <s v="DS 5am"/>
    <s v="SF25_DMET016"/>
    <m/>
    <s v="Dean Melville"/>
    <n v="3"/>
    <n v="390"/>
    <n v="24.6"/>
    <n v="48.6"/>
    <x v="50"/>
    <m/>
    <m/>
    <n v="0"/>
    <m/>
    <m/>
    <n v="0"/>
    <m/>
    <m/>
    <n v="0"/>
    <n v="24"/>
    <n v="4200"/>
    <n v="4200"/>
    <n v="1"/>
    <n v="1"/>
    <n v="1"/>
    <n v="13122"/>
    <n v="750"/>
    <n v="9"/>
    <n v="1.75"/>
    <m/>
    <n v="0.75"/>
    <m/>
    <m/>
    <n v="0.5"/>
    <m/>
    <m/>
    <n v="12"/>
    <m/>
    <n v="1075"/>
    <n v="727.93"/>
    <n v="337.92999999999995"/>
    <x v="39"/>
    <n v="6752.93"/>
  </r>
  <r>
    <x v="1"/>
    <d v="2025-08-03T17:02:24"/>
    <s v="NS 5pm"/>
    <s v="SF25_DMET016"/>
    <m/>
    <s v="Nicholas Nakovics"/>
    <n v="3"/>
    <n v="390"/>
    <n v="48.6"/>
    <n v="74.3"/>
    <x v="67"/>
    <m/>
    <m/>
    <n v="0"/>
    <m/>
    <m/>
    <n v="0"/>
    <m/>
    <m/>
    <n v="0"/>
    <n v="25.699999999999996"/>
    <n v="4497.4999999999991"/>
    <n v="4600"/>
    <m/>
    <m/>
    <m/>
    <m/>
    <n v="0"/>
    <n v="10"/>
    <n v="0.75"/>
    <m/>
    <n v="0.75"/>
    <m/>
    <m/>
    <n v="0.5"/>
    <m/>
    <m/>
    <n v="12"/>
    <m/>
    <n v="615"/>
    <n v="390"/>
    <n v="0"/>
    <x v="82"/>
    <n v="5605"/>
  </r>
  <r>
    <x v="1"/>
    <d v="2025-08-04T05:02:24"/>
    <s v="DS 5am"/>
    <s v="SF25_DMET016"/>
    <m/>
    <s v="Dean Melville"/>
    <n v="3"/>
    <n v="390"/>
    <n v="74.3"/>
    <n v="86.8"/>
    <x v="68"/>
    <m/>
    <m/>
    <n v="0"/>
    <m/>
    <m/>
    <n v="0"/>
    <m/>
    <m/>
    <n v="0"/>
    <n v="12.5"/>
    <n v="2187.5"/>
    <n v="3450"/>
    <n v="1"/>
    <n v="1"/>
    <n v="1"/>
    <n v="13122"/>
    <n v="750"/>
    <n v="7.5"/>
    <n v="2.75"/>
    <s v="Poor ground conditions- a lot of hole conditioning work"/>
    <n v="1.75"/>
    <m/>
    <m/>
    <m/>
    <m/>
    <m/>
    <n v="12"/>
    <m/>
    <n v="1895"/>
    <n v="507.93"/>
    <n v="117.93"/>
    <x v="83"/>
    <n v="6602.93"/>
  </r>
  <r>
    <x v="1"/>
    <d v="2025-08-04T17:02:24"/>
    <s v="NS 5pm"/>
    <s v="SF25_DMET016"/>
    <m/>
    <s v="Nicholas Nakovics"/>
    <n v="3"/>
    <n v="390"/>
    <n v="86.8"/>
    <n v="104.1"/>
    <x v="69"/>
    <m/>
    <m/>
    <n v="0"/>
    <m/>
    <m/>
    <n v="0"/>
    <m/>
    <m/>
    <n v="0"/>
    <n v="17.299999999999997"/>
    <n v="3027.4999999999995"/>
    <n v="4485"/>
    <m/>
    <m/>
    <m/>
    <m/>
    <n v="0"/>
    <n v="9.75"/>
    <n v="1.5"/>
    <m/>
    <n v="0.75"/>
    <m/>
    <m/>
    <m/>
    <m/>
    <m/>
    <n v="12"/>
    <m/>
    <n v="960"/>
    <n v="610"/>
    <n v="220"/>
    <x v="81"/>
    <n v="6055"/>
  </r>
  <r>
    <x v="1"/>
    <d v="2025-08-05T05:02:24"/>
    <s v="DS 5am"/>
    <s v="SF25_DMET016"/>
    <s v="SF25_DDGT009"/>
    <s v="Dean Melville"/>
    <n v="3"/>
    <n v="390"/>
    <n v="104.1"/>
    <n v="110.2"/>
    <x v="70"/>
    <n v="0"/>
    <n v="3.9"/>
    <n v="3.9"/>
    <m/>
    <m/>
    <n v="0"/>
    <m/>
    <m/>
    <n v="0"/>
    <n v="10.000000000000009"/>
    <n v="1594.0000000000016"/>
    <n v="2415"/>
    <n v="1"/>
    <n v="1"/>
    <n v="1"/>
    <n v="13122"/>
    <n v="750"/>
    <n v="5.25"/>
    <n v="6"/>
    <m/>
    <n v="0.75"/>
    <m/>
    <m/>
    <m/>
    <m/>
    <m/>
    <n v="12"/>
    <m/>
    <n v="3030"/>
    <n v="528.70000000000005"/>
    <n v="138.70000000000005"/>
    <x v="84"/>
    <n v="6723.7"/>
  </r>
  <r>
    <x v="6"/>
    <d v="2025-08-05T17:02:24"/>
    <s v="NS 5pm"/>
    <s v="SF25_DDGT009"/>
    <m/>
    <s v="Nicholas Nakovics"/>
    <n v="3"/>
    <n v="390"/>
    <m/>
    <m/>
    <x v="18"/>
    <n v="3.9"/>
    <n v="18.2"/>
    <n v="14.299999999999999"/>
    <m/>
    <m/>
    <n v="0"/>
    <m/>
    <m/>
    <n v="0"/>
    <n v="14.299999999999999"/>
    <n v="1930.4999999999998"/>
    <n v="4140"/>
    <m/>
    <m/>
    <m/>
    <m/>
    <n v="0"/>
    <n v="9"/>
    <n v="2.25"/>
    <m/>
    <n v="0.75"/>
    <m/>
    <m/>
    <m/>
    <m/>
    <m/>
    <n v="12"/>
    <m/>
    <n v="1305"/>
    <n v="390"/>
    <n v="0"/>
    <x v="77"/>
    <n v="5835"/>
  </r>
  <r>
    <x v="6"/>
    <d v="2025-08-06T05:02:24"/>
    <s v="DS 5am"/>
    <s v="SF25_DDGT009"/>
    <m/>
    <s v="Dean Melville"/>
    <n v="3"/>
    <n v="390"/>
    <m/>
    <m/>
    <x v="18"/>
    <n v="18.2"/>
    <n v="48.9"/>
    <n v="30.7"/>
    <m/>
    <m/>
    <n v="0"/>
    <m/>
    <m/>
    <n v="0"/>
    <n v="30.7"/>
    <n v="4144.5"/>
    <n v="4715"/>
    <n v="1"/>
    <n v="1"/>
    <n v="1"/>
    <n v="13122"/>
    <n v="750"/>
    <n v="10.25"/>
    <n v="1"/>
    <m/>
    <n v="0.75"/>
    <m/>
    <m/>
    <m/>
    <m/>
    <m/>
    <n v="12"/>
    <m/>
    <n v="730"/>
    <n v="528.70000000000005"/>
    <n v="138.70000000000005"/>
    <x v="84"/>
    <n v="6723.7"/>
  </r>
  <r>
    <x v="6"/>
    <d v="2025-08-06T17:02:24"/>
    <s v="NS 5pm"/>
    <s v="SF25_DDGT009"/>
    <m/>
    <s v="Nicholas Nakovics"/>
    <n v="3"/>
    <n v="390"/>
    <m/>
    <m/>
    <x v="18"/>
    <n v="48.9"/>
    <n v="81.900000000000006"/>
    <n v="33.000000000000007"/>
    <m/>
    <m/>
    <n v="0"/>
    <m/>
    <m/>
    <n v="0"/>
    <n v="33.000000000000007"/>
    <n v="4455.0000000000009"/>
    <n v="4945"/>
    <m/>
    <m/>
    <m/>
    <m/>
    <n v="0"/>
    <n v="10.75"/>
    <n v="0.5"/>
    <m/>
    <n v="0.75"/>
    <m/>
    <m/>
    <m/>
    <m/>
    <m/>
    <n v="12"/>
    <m/>
    <n v="500"/>
    <n v="390"/>
    <n v="0"/>
    <x v="77"/>
    <n v="5835"/>
  </r>
  <r>
    <x v="6"/>
    <d v="2025-08-07T05:02:24"/>
    <s v="DS 5am"/>
    <s v="SF25_DDGT009"/>
    <m/>
    <s v="Dean Melville"/>
    <n v="3"/>
    <n v="390"/>
    <m/>
    <m/>
    <x v="18"/>
    <n v="81.900000000000006"/>
    <n v="99.9"/>
    <n v="18"/>
    <m/>
    <m/>
    <n v="0"/>
    <m/>
    <m/>
    <n v="0"/>
    <n v="18"/>
    <n v="2430"/>
    <n v="2430"/>
    <n v="1"/>
    <n v="1"/>
    <n v="1"/>
    <n v="13122"/>
    <n v="750"/>
    <n v="5"/>
    <n v="6.25"/>
    <m/>
    <n v="0.75"/>
    <m/>
    <m/>
    <m/>
    <m/>
    <m/>
    <n v="12"/>
    <m/>
    <n v="3145"/>
    <n v="528.70000000000005"/>
    <n v="138.70000000000005"/>
    <x v="85"/>
    <n v="6853.7"/>
  </r>
  <r>
    <x v="7"/>
    <d v="2025-08-07T17:02:24"/>
    <s v="NS 5pm"/>
    <s v="SF25_DDRD004"/>
    <m/>
    <s v="Nicholas Nakovics"/>
    <n v="3"/>
    <n v="390"/>
    <m/>
    <m/>
    <x v="18"/>
    <n v="0"/>
    <n v="10.7"/>
    <n v="10.7"/>
    <m/>
    <m/>
    <n v="0"/>
    <m/>
    <m/>
    <n v="0"/>
    <n v="10.7"/>
    <n v="1444.5"/>
    <n v="1444.5"/>
    <m/>
    <m/>
    <m/>
    <m/>
    <n v="0"/>
    <n v="3"/>
    <n v="8.25"/>
    <m/>
    <n v="0.75"/>
    <m/>
    <m/>
    <m/>
    <m/>
    <m/>
    <n v="12"/>
    <m/>
    <n v="4065"/>
    <n v="390"/>
    <n v="0"/>
    <x v="86"/>
    <n v="5899.5"/>
  </r>
  <r>
    <x v="7"/>
    <d v="2025-08-08T05:02:24"/>
    <s v="DS 5am"/>
    <s v="SF25_DDRD004"/>
    <m/>
    <s v="Dean Melville"/>
    <n v="3"/>
    <n v="390"/>
    <m/>
    <m/>
    <x v="18"/>
    <n v="10.7"/>
    <n v="45.5"/>
    <n v="34.799999999999997"/>
    <m/>
    <m/>
    <n v="0"/>
    <m/>
    <m/>
    <n v="0"/>
    <n v="34.799999999999997"/>
    <n v="4698"/>
    <n v="4698"/>
    <n v="1"/>
    <n v="1"/>
    <n v="1"/>
    <n v="13122"/>
    <n v="750"/>
    <n v="8.25"/>
    <n v="3"/>
    <m/>
    <n v="0.75"/>
    <m/>
    <m/>
    <m/>
    <m/>
    <m/>
    <n v="12"/>
    <m/>
    <n v="1650"/>
    <n v="664.75"/>
    <n v="274.75"/>
    <x v="87"/>
    <n v="7762.75"/>
  </r>
  <r>
    <x v="7"/>
    <d v="2025-08-08T17:02:24"/>
    <s v="NS 5pm"/>
    <s v="SF25_DDRD004"/>
    <m/>
    <s v="Nicholas Nakovics"/>
    <n v="3"/>
    <n v="390"/>
    <m/>
    <m/>
    <x v="18"/>
    <n v="45.5"/>
    <n v="75.5"/>
    <n v="30"/>
    <m/>
    <m/>
    <n v="0"/>
    <m/>
    <m/>
    <n v="0"/>
    <n v="30"/>
    <n v="4050"/>
    <n v="4945"/>
    <m/>
    <m/>
    <m/>
    <m/>
    <n v="0"/>
    <n v="10.75"/>
    <n v="0.5"/>
    <m/>
    <n v="0.75"/>
    <m/>
    <m/>
    <m/>
    <m/>
    <m/>
    <n v="12"/>
    <m/>
    <n v="500"/>
    <n v="390"/>
    <n v="0"/>
    <x v="77"/>
    <n v="5835"/>
  </r>
  <r>
    <x v="7"/>
    <d v="2025-08-09T05:02:24"/>
    <s v="DS 5am"/>
    <s v="SF25_DDRD004"/>
    <s v="SF25_DDRD005"/>
    <s v="Dean Melville"/>
    <n v="3"/>
    <n v="390"/>
    <m/>
    <m/>
    <x v="18"/>
    <n v="75.5"/>
    <n v="90.5"/>
    <n v="15"/>
    <m/>
    <m/>
    <n v="0"/>
    <n v="0"/>
    <n v="0"/>
    <n v="0"/>
    <n v="15"/>
    <n v="2025"/>
    <n v="2025"/>
    <n v="1"/>
    <n v="1"/>
    <n v="1"/>
    <n v="13122"/>
    <n v="750"/>
    <n v="4.25"/>
    <n v="7"/>
    <m/>
    <n v="0.75"/>
    <m/>
    <m/>
    <m/>
    <m/>
    <m/>
    <n v="12"/>
    <m/>
    <n v="3490"/>
    <n v="528.70000000000005"/>
    <n v="138.70000000000005"/>
    <x v="88"/>
    <n v="6793.7"/>
  </r>
  <r>
    <x v="7"/>
    <d v="2025-08-09T17:02:24"/>
    <s v="NS 5pm"/>
    <s v="SF25_DDRD005"/>
    <m/>
    <s v="Nicholas Nakovics"/>
    <n v="3"/>
    <n v="390"/>
    <m/>
    <m/>
    <x v="18"/>
    <n v="0"/>
    <n v="30.7"/>
    <n v="30.7"/>
    <m/>
    <m/>
    <n v="0"/>
    <m/>
    <m/>
    <n v="0"/>
    <n v="30.7"/>
    <n v="4144.5"/>
    <n v="4144.5"/>
    <m/>
    <m/>
    <m/>
    <m/>
    <n v="0"/>
    <n v="9"/>
    <n v="2.25"/>
    <m/>
    <n v="0.75"/>
    <m/>
    <m/>
    <m/>
    <m/>
    <m/>
    <n v="12"/>
    <m/>
    <n v="1305"/>
    <n v="390"/>
    <n v="0"/>
    <x v="89"/>
    <n v="5839.5"/>
  </r>
  <r>
    <x v="7"/>
    <d v="2025-08-10T05:02:24"/>
    <s v="DS 5am"/>
    <s v="SF25_DDRD005"/>
    <m/>
    <s v="Dean Melville"/>
    <n v="3"/>
    <n v="390"/>
    <m/>
    <m/>
    <x v="18"/>
    <n v="30.7"/>
    <n v="60.7"/>
    <n v="30.000000000000004"/>
    <m/>
    <m/>
    <n v="0"/>
    <m/>
    <m/>
    <n v="0"/>
    <n v="30.000000000000004"/>
    <n v="4050.0000000000005"/>
    <n v="4485"/>
    <n v="1"/>
    <n v="1"/>
    <n v="1"/>
    <n v="13122"/>
    <n v="750"/>
    <n v="9.75"/>
    <n v="1"/>
    <m/>
    <n v="0.75"/>
    <m/>
    <m/>
    <n v="0.5"/>
    <m/>
    <s v="Toolbox"/>
    <n v="12"/>
    <m/>
    <n v="730"/>
    <n v="528.70000000000005"/>
    <n v="138.70000000000005"/>
    <x v="90"/>
    <n v="6493.7"/>
  </r>
  <r>
    <x v="7"/>
    <d v="2025-08-10T17:02:24"/>
    <s v="NS 5pm"/>
    <s v="SF25_DDRD005"/>
    <m/>
    <s v="Nicholas Nakovics"/>
    <n v="3"/>
    <n v="390"/>
    <m/>
    <m/>
    <x v="18"/>
    <n v="60.7"/>
    <n v="90"/>
    <n v="29.299999999999997"/>
    <m/>
    <m/>
    <n v="0"/>
    <m/>
    <m/>
    <n v="0"/>
    <n v="29.299999999999997"/>
    <n v="3955.4999999999995"/>
    <n v="4255"/>
    <m/>
    <m/>
    <m/>
    <m/>
    <n v="0"/>
    <n v="9.25"/>
    <n v="1.5"/>
    <m/>
    <n v="0.75"/>
    <m/>
    <m/>
    <n v="0.5"/>
    <m/>
    <s v="Toolbox"/>
    <n v="12"/>
    <m/>
    <n v="960"/>
    <n v="390"/>
    <n v="0"/>
    <x v="82"/>
    <n v="5605"/>
  </r>
  <r>
    <x v="7"/>
    <d v="2025-08-11T05:02:24"/>
    <s v="DS 5am"/>
    <s v="SF25_DDRD006"/>
    <m/>
    <s v="Dean Melville"/>
    <n v="3"/>
    <n v="390"/>
    <m/>
    <m/>
    <x v="18"/>
    <n v="0"/>
    <n v="15.9"/>
    <n v="15.9"/>
    <m/>
    <m/>
    <n v="0"/>
    <m/>
    <m/>
    <n v="0"/>
    <n v="15.9"/>
    <n v="2146.5"/>
    <n v="2146.5"/>
    <n v="1"/>
    <n v="1"/>
    <n v="1"/>
    <n v="13122"/>
    <n v="750"/>
    <n v="4.5"/>
    <n v="6.75"/>
    <m/>
    <n v="0.75"/>
    <m/>
    <m/>
    <m/>
    <m/>
    <m/>
    <n v="12"/>
    <m/>
    <n v="3375"/>
    <n v="390"/>
    <n v="0"/>
    <x v="91"/>
    <m/>
  </r>
  <r>
    <x v="7"/>
    <d v="2025-08-11T17:02:24"/>
    <s v="NS 5pm"/>
    <s v="SF25_DDRD006"/>
    <m/>
    <s v="Nicholas Nakovics"/>
    <n v="3"/>
    <n v="390"/>
    <m/>
    <m/>
    <x v="18"/>
    <n v="15.9"/>
    <n v="45.9"/>
    <n v="30"/>
    <m/>
    <m/>
    <n v="0"/>
    <m/>
    <m/>
    <n v="0"/>
    <n v="30"/>
    <n v="4050"/>
    <n v="4945"/>
    <m/>
    <m/>
    <m/>
    <m/>
    <n v="0"/>
    <n v="10.75"/>
    <n v="0.5"/>
    <m/>
    <n v="0.75"/>
    <m/>
    <m/>
    <m/>
    <m/>
    <m/>
    <n v="12"/>
    <m/>
    <n v="500"/>
    <n v="390"/>
    <n v="0"/>
    <x v="77"/>
    <n v="5835"/>
  </r>
  <r>
    <x v="7"/>
    <d v="2025-08-12T05:02:24"/>
    <s v="DS 5am"/>
    <s v="SF25_DDRD006"/>
    <m/>
    <s v="Dean Melville"/>
    <n v="3"/>
    <n v="390"/>
    <m/>
    <m/>
    <x v="18"/>
    <n v="45.9"/>
    <n v="75.900000000000006"/>
    <n v="30.000000000000007"/>
    <m/>
    <m/>
    <n v="0"/>
    <m/>
    <m/>
    <n v="0"/>
    <n v="30.000000000000007"/>
    <n v="4050.0000000000009"/>
    <n v="4050.0000000000009"/>
    <n v="1"/>
    <n v="1"/>
    <n v="1"/>
    <n v="13122"/>
    <n v="750"/>
    <n v="7.5"/>
    <n v="0.75"/>
    <s v="running poly pipe to next pad"/>
    <n v="3.75"/>
    <m/>
    <s v="running poly pipe to next pad"/>
    <m/>
    <m/>
    <m/>
    <n v="12"/>
    <m/>
    <n v="1695"/>
    <n v="390"/>
    <n v="0"/>
    <x v="92"/>
    <m/>
  </r>
  <r>
    <x v="7"/>
    <d v="2025-08-12T17:02:24"/>
    <s v="NS 5pm"/>
    <s v="SF25_DDRD006"/>
    <m/>
    <s v="Nicholas Nakovics"/>
    <n v="3"/>
    <n v="390"/>
    <m/>
    <m/>
    <x v="18"/>
    <n v="75.900000000000006"/>
    <n v="90"/>
    <n v="14.099999999999994"/>
    <m/>
    <m/>
    <n v="0"/>
    <m/>
    <m/>
    <n v="0"/>
    <n v="14.099999999999994"/>
    <n v="1903.4999999999993"/>
    <n v="3220"/>
    <m/>
    <m/>
    <m/>
    <m/>
    <n v="0"/>
    <n v="7"/>
    <n v="4.25"/>
    <m/>
    <n v="0.75"/>
    <m/>
    <m/>
    <m/>
    <m/>
    <m/>
    <n v="12"/>
    <m/>
    <n v="2225"/>
    <n v="390"/>
    <n v="0"/>
    <x v="77"/>
    <m/>
  </r>
  <r>
    <x v="8"/>
    <d v="2025-08-13T05:02:24"/>
    <s v="DS 5am"/>
    <m/>
    <m/>
    <m/>
    <m/>
    <s v=""/>
    <m/>
    <m/>
    <x v="18"/>
    <m/>
    <m/>
    <n v="0"/>
    <m/>
    <m/>
    <n v="0"/>
    <m/>
    <m/>
    <n v="0"/>
    <n v="0"/>
    <n v="0"/>
    <s v=""/>
    <m/>
    <m/>
    <m/>
    <m/>
    <n v="0"/>
    <m/>
    <m/>
    <m/>
    <m/>
    <m/>
    <m/>
    <m/>
    <m/>
    <m/>
    <n v="0"/>
    <m/>
    <n v="0"/>
    <m/>
    <e v="#VALUE!"/>
    <x v="93"/>
    <m/>
  </r>
  <r>
    <x v="8"/>
    <d v="2025-08-13T17:02:24"/>
    <s v="NS 5pm"/>
    <m/>
    <m/>
    <m/>
    <m/>
    <s v=""/>
    <m/>
    <m/>
    <x v="18"/>
    <m/>
    <m/>
    <n v="0"/>
    <m/>
    <m/>
    <n v="0"/>
    <m/>
    <m/>
    <n v="0"/>
    <n v="0"/>
    <n v="0"/>
    <s v=""/>
    <m/>
    <m/>
    <m/>
    <m/>
    <n v="0"/>
    <m/>
    <m/>
    <m/>
    <m/>
    <m/>
    <m/>
    <m/>
    <m/>
    <m/>
    <n v="0"/>
    <m/>
    <n v="0"/>
    <m/>
    <e v="#VALUE!"/>
    <x v="93"/>
    <m/>
  </r>
  <r>
    <x v="8"/>
    <d v="2025-08-14T05:02:24"/>
    <s v="DS 5am"/>
    <m/>
    <m/>
    <m/>
    <m/>
    <s v=""/>
    <m/>
    <m/>
    <x v="18"/>
    <m/>
    <m/>
    <n v="0"/>
    <m/>
    <m/>
    <n v="0"/>
    <m/>
    <m/>
    <n v="0"/>
    <n v="0"/>
    <n v="0"/>
    <s v=""/>
    <m/>
    <m/>
    <m/>
    <m/>
    <n v="0"/>
    <m/>
    <m/>
    <m/>
    <m/>
    <m/>
    <m/>
    <m/>
    <m/>
    <m/>
    <s v=""/>
    <m/>
    <n v="0"/>
    <m/>
    <e v="#VALUE!"/>
    <x v="93"/>
    <m/>
  </r>
  <r>
    <x v="8"/>
    <d v="2025-08-14T17:02:24"/>
    <s v="NS 5pm"/>
    <m/>
    <m/>
    <m/>
    <m/>
    <s v=""/>
    <m/>
    <m/>
    <x v="18"/>
    <m/>
    <m/>
    <n v="0"/>
    <m/>
    <m/>
    <n v="0"/>
    <m/>
    <m/>
    <n v="0"/>
    <n v="0"/>
    <n v="0"/>
    <s v=""/>
    <m/>
    <m/>
    <m/>
    <m/>
    <n v="0"/>
    <m/>
    <m/>
    <m/>
    <m/>
    <m/>
    <m/>
    <m/>
    <m/>
    <m/>
    <s v=""/>
    <m/>
    <n v="0"/>
    <m/>
    <e v="#VALUE!"/>
    <x v="93"/>
    <m/>
  </r>
  <r>
    <x v="8"/>
    <d v="2025-08-15T05:02:24"/>
    <s v="DS 5am"/>
    <m/>
    <m/>
    <m/>
    <m/>
    <s v=""/>
    <m/>
    <m/>
    <x v="18"/>
    <m/>
    <m/>
    <n v="0"/>
    <m/>
    <m/>
    <n v="0"/>
    <m/>
    <m/>
    <n v="0"/>
    <n v="0"/>
    <n v="0"/>
    <s v=""/>
    <m/>
    <m/>
    <m/>
    <m/>
    <n v="0"/>
    <m/>
    <m/>
    <m/>
    <m/>
    <m/>
    <m/>
    <m/>
    <m/>
    <m/>
    <s v=""/>
    <m/>
    <n v="0"/>
    <m/>
    <e v="#VALUE!"/>
    <x v="93"/>
    <m/>
  </r>
  <r>
    <x v="8"/>
    <d v="2025-08-15T17:02:24"/>
    <s v="NS 5pm"/>
    <m/>
    <m/>
    <m/>
    <m/>
    <s v=""/>
    <m/>
    <m/>
    <x v="18"/>
    <m/>
    <m/>
    <n v="0"/>
    <m/>
    <m/>
    <n v="0"/>
    <m/>
    <m/>
    <n v="0"/>
    <n v="0"/>
    <n v="0"/>
    <s v=""/>
    <m/>
    <m/>
    <m/>
    <m/>
    <n v="0"/>
    <m/>
    <m/>
    <m/>
    <m/>
    <m/>
    <m/>
    <m/>
    <m/>
    <m/>
    <s v=""/>
    <m/>
    <n v="0"/>
    <m/>
    <e v="#VALUE!"/>
    <x v="93"/>
    <m/>
  </r>
  <r>
    <x v="8"/>
    <d v="2025-08-16T05:02:24"/>
    <s v="DS 5am"/>
    <m/>
    <m/>
    <m/>
    <m/>
    <s v=""/>
    <m/>
    <m/>
    <x v="18"/>
    <m/>
    <m/>
    <n v="0"/>
    <m/>
    <m/>
    <n v="0"/>
    <m/>
    <m/>
    <n v="0"/>
    <n v="0"/>
    <n v="0"/>
    <s v=""/>
    <m/>
    <m/>
    <m/>
    <m/>
    <n v="0"/>
    <m/>
    <m/>
    <m/>
    <m/>
    <m/>
    <m/>
    <m/>
    <m/>
    <m/>
    <s v=""/>
    <m/>
    <n v="0"/>
    <m/>
    <e v="#VALUE!"/>
    <x v="93"/>
    <m/>
  </r>
  <r>
    <x v="8"/>
    <d v="2025-08-16T17:02:24"/>
    <s v="NS 5pm"/>
    <m/>
    <m/>
    <m/>
    <m/>
    <s v=""/>
    <m/>
    <m/>
    <x v="18"/>
    <m/>
    <m/>
    <n v="0"/>
    <m/>
    <m/>
    <n v="0"/>
    <m/>
    <m/>
    <n v="0"/>
    <n v="0"/>
    <n v="0"/>
    <s v=""/>
    <m/>
    <m/>
    <m/>
    <m/>
    <n v="0"/>
    <m/>
    <m/>
    <m/>
    <m/>
    <m/>
    <m/>
    <m/>
    <m/>
    <m/>
    <s v=""/>
    <m/>
    <n v="0"/>
    <m/>
    <e v="#VALUE!"/>
    <x v="93"/>
    <m/>
  </r>
  <r>
    <x v="8"/>
    <d v="2025-08-17T05:02:24"/>
    <s v="DS 5am"/>
    <m/>
    <m/>
    <m/>
    <m/>
    <s v=""/>
    <m/>
    <m/>
    <x v="18"/>
    <m/>
    <m/>
    <n v="0"/>
    <m/>
    <m/>
    <n v="0"/>
    <m/>
    <m/>
    <n v="0"/>
    <n v="0"/>
    <n v="0"/>
    <s v=""/>
    <m/>
    <m/>
    <m/>
    <m/>
    <n v="0"/>
    <m/>
    <m/>
    <m/>
    <m/>
    <m/>
    <m/>
    <m/>
    <m/>
    <m/>
    <s v=""/>
    <m/>
    <n v="0"/>
    <m/>
    <e v="#VALUE!"/>
    <x v="93"/>
    <m/>
  </r>
  <r>
    <x v="8"/>
    <d v="2025-08-17T17:02:24"/>
    <s v="NS 5pm"/>
    <m/>
    <m/>
    <m/>
    <m/>
    <s v=""/>
    <m/>
    <m/>
    <x v="18"/>
    <m/>
    <m/>
    <n v="0"/>
    <m/>
    <m/>
    <n v="0"/>
    <m/>
    <m/>
    <n v="0"/>
    <n v="0"/>
    <n v="0"/>
    <s v=""/>
    <m/>
    <m/>
    <m/>
    <m/>
    <n v="0"/>
    <m/>
    <m/>
    <m/>
    <m/>
    <m/>
    <m/>
    <m/>
    <m/>
    <m/>
    <s v=""/>
    <m/>
    <n v="0"/>
    <m/>
    <e v="#VALUE!"/>
    <x v="93"/>
    <m/>
  </r>
  <r>
    <x v="8"/>
    <d v="2025-08-18T05:02:24"/>
    <s v="DS 5am"/>
    <m/>
    <m/>
    <m/>
    <m/>
    <s v=""/>
    <m/>
    <m/>
    <x v="18"/>
    <m/>
    <m/>
    <n v="0"/>
    <m/>
    <m/>
    <n v="0"/>
    <m/>
    <m/>
    <n v="0"/>
    <n v="0"/>
    <n v="0"/>
    <s v=""/>
    <m/>
    <m/>
    <m/>
    <m/>
    <n v="0"/>
    <m/>
    <m/>
    <m/>
    <m/>
    <m/>
    <m/>
    <m/>
    <m/>
    <m/>
    <s v=""/>
    <m/>
    <n v="0"/>
    <m/>
    <e v="#VALUE!"/>
    <x v="93"/>
    <m/>
  </r>
  <r>
    <x v="8"/>
    <d v="2025-08-18T17:02:24"/>
    <s v="NS 5pm"/>
    <m/>
    <m/>
    <m/>
    <m/>
    <s v=""/>
    <m/>
    <m/>
    <x v="18"/>
    <m/>
    <m/>
    <n v="0"/>
    <m/>
    <m/>
    <n v="0"/>
    <m/>
    <m/>
    <n v="0"/>
    <n v="0"/>
    <n v="0"/>
    <s v=""/>
    <m/>
    <m/>
    <m/>
    <m/>
    <n v="0"/>
    <m/>
    <m/>
    <m/>
    <m/>
    <m/>
    <m/>
    <m/>
    <m/>
    <m/>
    <s v=""/>
    <m/>
    <n v="0"/>
    <m/>
    <e v="#VALUE!"/>
    <x v="93"/>
    <m/>
  </r>
  <r>
    <x v="8"/>
    <d v="2025-08-19T05:02:24"/>
    <s v="DS 5am"/>
    <m/>
    <m/>
    <m/>
    <m/>
    <s v=""/>
    <m/>
    <m/>
    <x v="18"/>
    <m/>
    <m/>
    <n v="0"/>
    <m/>
    <m/>
    <n v="0"/>
    <m/>
    <m/>
    <n v="0"/>
    <n v="0"/>
    <n v="0"/>
    <s v=""/>
    <m/>
    <m/>
    <m/>
    <m/>
    <n v="0"/>
    <m/>
    <m/>
    <m/>
    <m/>
    <m/>
    <m/>
    <m/>
    <m/>
    <m/>
    <s v=""/>
    <m/>
    <n v="0"/>
    <m/>
    <e v="#VALUE!"/>
    <x v="93"/>
    <m/>
  </r>
  <r>
    <x v="8"/>
    <d v="2025-08-19T17:02:24"/>
    <s v="NS 5pm"/>
    <m/>
    <m/>
    <m/>
    <m/>
    <s v=""/>
    <m/>
    <m/>
    <x v="18"/>
    <m/>
    <m/>
    <n v="0"/>
    <m/>
    <m/>
    <n v="0"/>
    <m/>
    <m/>
    <n v="0"/>
    <n v="0"/>
    <n v="0"/>
    <s v=""/>
    <m/>
    <m/>
    <m/>
    <m/>
    <n v="0"/>
    <m/>
    <m/>
    <m/>
    <m/>
    <m/>
    <m/>
    <m/>
    <m/>
    <m/>
    <s v=""/>
    <m/>
    <n v="0"/>
    <m/>
    <e v="#VALUE!"/>
    <x v="93"/>
    <m/>
  </r>
  <r>
    <x v="8"/>
    <d v="2025-08-20T05:02:24"/>
    <s v="DS 5am"/>
    <m/>
    <m/>
    <m/>
    <m/>
    <s v=""/>
    <m/>
    <m/>
    <x v="18"/>
    <m/>
    <m/>
    <n v="0"/>
    <m/>
    <m/>
    <n v="0"/>
    <m/>
    <m/>
    <n v="0"/>
    <n v="0"/>
    <n v="0"/>
    <s v=""/>
    <m/>
    <m/>
    <m/>
    <m/>
    <n v="0"/>
    <m/>
    <m/>
    <m/>
    <m/>
    <m/>
    <m/>
    <m/>
    <m/>
    <m/>
    <s v=""/>
    <m/>
    <n v="0"/>
    <m/>
    <e v="#VALUE!"/>
    <x v="93"/>
    <m/>
  </r>
  <r>
    <x v="8"/>
    <d v="2025-08-20T17:02:24"/>
    <s v="NS 5pm"/>
    <m/>
    <m/>
    <m/>
    <m/>
    <s v=""/>
    <m/>
    <m/>
    <x v="18"/>
    <m/>
    <m/>
    <n v="0"/>
    <m/>
    <m/>
    <n v="0"/>
    <m/>
    <m/>
    <n v="0"/>
    <n v="0"/>
    <n v="0"/>
    <s v=""/>
    <m/>
    <m/>
    <m/>
    <m/>
    <n v="0"/>
    <m/>
    <m/>
    <m/>
    <m/>
    <m/>
    <m/>
    <m/>
    <m/>
    <m/>
    <s v=""/>
    <m/>
    <n v="0"/>
    <m/>
    <e v="#VALUE!"/>
    <x v="93"/>
    <m/>
  </r>
  <r>
    <x v="8"/>
    <d v="2025-08-21T05:02:24"/>
    <s v="DS 5am"/>
    <m/>
    <m/>
    <m/>
    <m/>
    <s v=""/>
    <m/>
    <m/>
    <x v="18"/>
    <m/>
    <m/>
    <n v="0"/>
    <m/>
    <m/>
    <n v="0"/>
    <m/>
    <m/>
    <n v="0"/>
    <n v="0"/>
    <n v="0"/>
    <s v=""/>
    <m/>
    <m/>
    <m/>
    <m/>
    <n v="0"/>
    <m/>
    <m/>
    <m/>
    <m/>
    <m/>
    <m/>
    <m/>
    <m/>
    <m/>
    <s v=""/>
    <m/>
    <n v="0"/>
    <m/>
    <e v="#VALUE!"/>
    <x v="93"/>
    <m/>
  </r>
  <r>
    <x v="8"/>
    <d v="2025-08-21T17:02:24"/>
    <s v="NS 5pm"/>
    <m/>
    <m/>
    <m/>
    <m/>
    <s v=""/>
    <m/>
    <m/>
    <x v="18"/>
    <m/>
    <m/>
    <n v="0"/>
    <m/>
    <m/>
    <n v="0"/>
    <m/>
    <m/>
    <n v="0"/>
    <n v="0"/>
    <n v="0"/>
    <s v=""/>
    <m/>
    <m/>
    <m/>
    <m/>
    <n v="0"/>
    <m/>
    <m/>
    <m/>
    <m/>
    <m/>
    <m/>
    <m/>
    <m/>
    <m/>
    <s v=""/>
    <m/>
    <n v="0"/>
    <m/>
    <e v="#VALUE!"/>
    <x v="93"/>
    <m/>
  </r>
  <r>
    <x v="8"/>
    <d v="2025-08-22T05:02:24"/>
    <s v="DS 5am"/>
    <m/>
    <m/>
    <m/>
    <m/>
    <s v=""/>
    <m/>
    <m/>
    <x v="18"/>
    <m/>
    <m/>
    <n v="0"/>
    <m/>
    <m/>
    <n v="0"/>
    <m/>
    <m/>
    <n v="0"/>
    <n v="0"/>
    <n v="0"/>
    <s v=""/>
    <m/>
    <m/>
    <m/>
    <m/>
    <n v="0"/>
    <m/>
    <m/>
    <m/>
    <m/>
    <m/>
    <m/>
    <m/>
    <m/>
    <m/>
    <s v=""/>
    <m/>
    <n v="0"/>
    <m/>
    <e v="#VALUE!"/>
    <x v="93"/>
    <m/>
  </r>
  <r>
    <x v="8"/>
    <d v="2025-08-22T17:02:24"/>
    <s v="NS 5pm"/>
    <m/>
    <m/>
    <m/>
    <m/>
    <s v=""/>
    <m/>
    <m/>
    <x v="18"/>
    <m/>
    <m/>
    <n v="0"/>
    <m/>
    <m/>
    <n v="0"/>
    <m/>
    <m/>
    <n v="0"/>
    <n v="0"/>
    <n v="0"/>
    <s v=""/>
    <m/>
    <m/>
    <m/>
    <m/>
    <n v="0"/>
    <m/>
    <m/>
    <m/>
    <m/>
    <m/>
    <m/>
    <m/>
    <m/>
    <m/>
    <s v=""/>
    <m/>
    <n v="0"/>
    <m/>
    <e v="#VALUE!"/>
    <x v="93"/>
    <m/>
  </r>
  <r>
    <x v="8"/>
    <d v="2025-08-23T05:02:24"/>
    <s v="DS 5am"/>
    <m/>
    <m/>
    <m/>
    <m/>
    <s v=""/>
    <m/>
    <m/>
    <x v="18"/>
    <m/>
    <m/>
    <n v="0"/>
    <m/>
    <m/>
    <n v="0"/>
    <m/>
    <m/>
    <n v="0"/>
    <n v="0"/>
    <n v="0"/>
    <s v=""/>
    <m/>
    <m/>
    <m/>
    <m/>
    <n v="0"/>
    <m/>
    <m/>
    <m/>
    <m/>
    <m/>
    <m/>
    <m/>
    <m/>
    <m/>
    <s v=""/>
    <m/>
    <n v="0"/>
    <m/>
    <e v="#VALUE!"/>
    <x v="93"/>
    <m/>
  </r>
  <r>
    <x v="8"/>
    <d v="2025-08-23T17:02:24"/>
    <s v="NS 5pm"/>
    <m/>
    <m/>
    <m/>
    <m/>
    <s v=""/>
    <m/>
    <m/>
    <x v="18"/>
    <m/>
    <m/>
    <n v="0"/>
    <m/>
    <m/>
    <n v="0"/>
    <m/>
    <m/>
    <n v="0"/>
    <n v="0"/>
    <n v="0"/>
    <s v=""/>
    <m/>
    <m/>
    <m/>
    <m/>
    <n v="0"/>
    <m/>
    <m/>
    <m/>
    <m/>
    <m/>
    <m/>
    <m/>
    <m/>
    <m/>
    <s v=""/>
    <m/>
    <n v="0"/>
    <m/>
    <e v="#VALUE!"/>
    <x v="93"/>
    <m/>
  </r>
  <r>
    <x v="8"/>
    <d v="2025-08-24T05:02:24"/>
    <s v="DS 5am"/>
    <m/>
    <m/>
    <m/>
    <m/>
    <s v=""/>
    <m/>
    <m/>
    <x v="18"/>
    <m/>
    <m/>
    <n v="0"/>
    <m/>
    <m/>
    <n v="0"/>
    <m/>
    <m/>
    <n v="0"/>
    <n v="0"/>
    <n v="0"/>
    <s v=""/>
    <m/>
    <m/>
    <m/>
    <m/>
    <n v="0"/>
    <m/>
    <m/>
    <m/>
    <m/>
    <m/>
    <m/>
    <m/>
    <m/>
    <m/>
    <s v=""/>
    <m/>
    <n v="0"/>
    <m/>
    <e v="#VALUE!"/>
    <x v="93"/>
    <m/>
  </r>
  <r>
    <x v="8"/>
    <d v="2025-08-24T17:02:24"/>
    <s v="NS 5pm"/>
    <m/>
    <m/>
    <m/>
    <m/>
    <s v=""/>
    <m/>
    <m/>
    <x v="18"/>
    <m/>
    <m/>
    <n v="0"/>
    <m/>
    <m/>
    <n v="0"/>
    <m/>
    <m/>
    <n v="0"/>
    <n v="0"/>
    <n v="0"/>
    <s v=""/>
    <m/>
    <m/>
    <m/>
    <m/>
    <n v="0"/>
    <m/>
    <m/>
    <m/>
    <m/>
    <m/>
    <m/>
    <m/>
    <m/>
    <m/>
    <s v=""/>
    <m/>
    <n v="0"/>
    <m/>
    <e v="#VALUE!"/>
    <x v="93"/>
    <m/>
  </r>
  <r>
    <x v="8"/>
    <d v="2025-08-25T05:02:24"/>
    <s v="DS 5am"/>
    <m/>
    <m/>
    <m/>
    <m/>
    <s v=""/>
    <m/>
    <m/>
    <x v="18"/>
    <m/>
    <m/>
    <n v="0"/>
    <m/>
    <m/>
    <n v="0"/>
    <m/>
    <m/>
    <n v="0"/>
    <n v="0"/>
    <n v="0"/>
    <s v=""/>
    <m/>
    <m/>
    <m/>
    <m/>
    <n v="0"/>
    <m/>
    <m/>
    <m/>
    <m/>
    <m/>
    <m/>
    <m/>
    <m/>
    <m/>
    <s v=""/>
    <m/>
    <n v="0"/>
    <m/>
    <e v="#VALUE!"/>
    <x v="93"/>
    <m/>
  </r>
  <r>
    <x v="8"/>
    <d v="2025-08-25T17:02:24"/>
    <s v="NS 5pm"/>
    <m/>
    <m/>
    <m/>
    <m/>
    <s v=""/>
    <m/>
    <m/>
    <x v="18"/>
    <m/>
    <m/>
    <n v="0"/>
    <m/>
    <m/>
    <n v="0"/>
    <m/>
    <m/>
    <n v="0"/>
    <n v="0"/>
    <n v="0"/>
    <s v=""/>
    <m/>
    <m/>
    <m/>
    <m/>
    <n v="0"/>
    <m/>
    <m/>
    <m/>
    <m/>
    <m/>
    <m/>
    <m/>
    <m/>
    <m/>
    <s v=""/>
    <m/>
    <n v="0"/>
    <m/>
    <e v="#VALUE!"/>
    <x v="93"/>
    <m/>
  </r>
  <r>
    <x v="8"/>
    <d v="2025-08-26T05:02:24"/>
    <s v="DS 5am"/>
    <m/>
    <m/>
    <m/>
    <m/>
    <s v=""/>
    <m/>
    <m/>
    <x v="18"/>
    <m/>
    <m/>
    <n v="0"/>
    <m/>
    <m/>
    <n v="0"/>
    <m/>
    <m/>
    <n v="0"/>
    <n v="0"/>
    <n v="0"/>
    <s v=""/>
    <m/>
    <m/>
    <m/>
    <m/>
    <n v="0"/>
    <m/>
    <m/>
    <m/>
    <m/>
    <m/>
    <m/>
    <m/>
    <m/>
    <m/>
    <s v=""/>
    <m/>
    <n v="0"/>
    <m/>
    <e v="#VALUE!"/>
    <x v="93"/>
    <m/>
  </r>
  <r>
    <x v="8"/>
    <d v="2025-08-26T17:02:24"/>
    <s v="NS 5pm"/>
    <m/>
    <m/>
    <m/>
    <m/>
    <s v=""/>
    <m/>
    <m/>
    <x v="18"/>
    <m/>
    <m/>
    <n v="0"/>
    <m/>
    <m/>
    <n v="0"/>
    <m/>
    <m/>
    <n v="0"/>
    <n v="0"/>
    <n v="0"/>
    <s v=""/>
    <m/>
    <m/>
    <m/>
    <m/>
    <n v="0"/>
    <m/>
    <m/>
    <m/>
    <m/>
    <m/>
    <m/>
    <m/>
    <m/>
    <m/>
    <s v=""/>
    <m/>
    <n v="0"/>
    <m/>
    <e v="#VALUE!"/>
    <x v="93"/>
    <m/>
  </r>
  <r>
    <x v="8"/>
    <d v="2025-08-27T05:02:24"/>
    <s v="DS 5am"/>
    <m/>
    <m/>
    <m/>
    <m/>
    <s v=""/>
    <m/>
    <m/>
    <x v="18"/>
    <m/>
    <m/>
    <n v="0"/>
    <m/>
    <m/>
    <n v="0"/>
    <m/>
    <m/>
    <n v="0"/>
    <n v="0"/>
    <n v="0"/>
    <s v=""/>
    <m/>
    <m/>
    <m/>
    <m/>
    <n v="0"/>
    <m/>
    <m/>
    <m/>
    <m/>
    <m/>
    <m/>
    <m/>
    <m/>
    <m/>
    <s v=""/>
    <m/>
    <n v="0"/>
    <m/>
    <e v="#VALUE!"/>
    <x v="93"/>
    <m/>
  </r>
  <r>
    <x v="8"/>
    <d v="2025-08-27T17:02:24"/>
    <s v="NS 5pm"/>
    <m/>
    <m/>
    <m/>
    <m/>
    <s v=""/>
    <m/>
    <m/>
    <x v="18"/>
    <m/>
    <m/>
    <n v="0"/>
    <m/>
    <m/>
    <n v="0"/>
    <m/>
    <m/>
    <n v="0"/>
    <n v="0"/>
    <n v="0"/>
    <s v=""/>
    <m/>
    <m/>
    <m/>
    <m/>
    <n v="0"/>
    <m/>
    <m/>
    <m/>
    <m/>
    <m/>
    <m/>
    <m/>
    <m/>
    <m/>
    <s v=""/>
    <m/>
    <n v="0"/>
    <m/>
    <e v="#VALUE!"/>
    <x v="93"/>
    <m/>
  </r>
  <r>
    <x v="8"/>
    <d v="2025-08-28T05:02:24"/>
    <s v="DS 5am"/>
    <m/>
    <m/>
    <m/>
    <m/>
    <s v=""/>
    <m/>
    <m/>
    <x v="18"/>
    <m/>
    <m/>
    <n v="0"/>
    <m/>
    <m/>
    <n v="0"/>
    <m/>
    <m/>
    <n v="0"/>
    <n v="0"/>
    <n v="0"/>
    <s v=""/>
    <m/>
    <m/>
    <m/>
    <m/>
    <n v="0"/>
    <m/>
    <m/>
    <m/>
    <m/>
    <m/>
    <m/>
    <m/>
    <m/>
    <m/>
    <s v=""/>
    <m/>
    <n v="0"/>
    <m/>
    <e v="#VALUE!"/>
    <x v="93"/>
    <m/>
  </r>
  <r>
    <x v="8"/>
    <d v="2025-08-28T17:02:24"/>
    <s v="NS 5pm"/>
    <m/>
    <m/>
    <m/>
    <m/>
    <s v=""/>
    <m/>
    <m/>
    <x v="18"/>
    <m/>
    <m/>
    <n v="0"/>
    <m/>
    <m/>
    <n v="0"/>
    <m/>
    <m/>
    <n v="0"/>
    <n v="0"/>
    <n v="0"/>
    <s v=""/>
    <m/>
    <m/>
    <m/>
    <m/>
    <n v="0"/>
    <m/>
    <m/>
    <m/>
    <m/>
    <m/>
    <m/>
    <m/>
    <m/>
    <m/>
    <s v=""/>
    <m/>
    <n v="0"/>
    <m/>
    <e v="#VALUE!"/>
    <x v="93"/>
    <m/>
  </r>
  <r>
    <x v="8"/>
    <d v="2025-08-29T05:02:24"/>
    <s v="DS 5am"/>
    <m/>
    <m/>
    <m/>
    <m/>
    <s v=""/>
    <m/>
    <m/>
    <x v="18"/>
    <m/>
    <m/>
    <n v="0"/>
    <m/>
    <m/>
    <n v="0"/>
    <m/>
    <m/>
    <n v="0"/>
    <n v="0"/>
    <n v="0"/>
    <s v=""/>
    <m/>
    <m/>
    <m/>
    <m/>
    <n v="0"/>
    <m/>
    <m/>
    <m/>
    <m/>
    <m/>
    <m/>
    <m/>
    <m/>
    <m/>
    <s v=""/>
    <m/>
    <n v="0"/>
    <m/>
    <e v="#VALUE!"/>
    <x v="93"/>
    <m/>
  </r>
  <r>
    <x v="8"/>
    <d v="2025-08-29T17:02:24"/>
    <s v="NS 5pm"/>
    <m/>
    <m/>
    <m/>
    <m/>
    <s v=""/>
    <m/>
    <m/>
    <x v="18"/>
    <m/>
    <m/>
    <n v="0"/>
    <m/>
    <m/>
    <n v="0"/>
    <m/>
    <m/>
    <n v="0"/>
    <n v="0"/>
    <n v="0"/>
    <s v=""/>
    <m/>
    <m/>
    <m/>
    <m/>
    <n v="0"/>
    <m/>
    <m/>
    <m/>
    <m/>
    <m/>
    <m/>
    <m/>
    <m/>
    <m/>
    <s v=""/>
    <m/>
    <n v="0"/>
    <m/>
    <e v="#VALUE!"/>
    <x v="93"/>
    <m/>
  </r>
  <r>
    <x v="8"/>
    <d v="2025-08-30T05:02:24"/>
    <s v="DS 5am"/>
    <m/>
    <m/>
    <m/>
    <m/>
    <s v=""/>
    <m/>
    <m/>
    <x v="18"/>
    <m/>
    <m/>
    <n v="0"/>
    <m/>
    <m/>
    <n v="0"/>
    <m/>
    <m/>
    <n v="0"/>
    <n v="0"/>
    <n v="0"/>
    <s v=""/>
    <m/>
    <m/>
    <m/>
    <m/>
    <n v="0"/>
    <m/>
    <m/>
    <m/>
    <m/>
    <m/>
    <m/>
    <m/>
    <m/>
    <m/>
    <s v=""/>
    <m/>
    <n v="0"/>
    <m/>
    <e v="#VALUE!"/>
    <x v="93"/>
    <m/>
  </r>
  <r>
    <x v="8"/>
    <d v="2025-08-30T17:02:24"/>
    <s v="NS 5pm"/>
    <m/>
    <m/>
    <m/>
    <m/>
    <s v=""/>
    <m/>
    <m/>
    <x v="18"/>
    <m/>
    <m/>
    <n v="0"/>
    <m/>
    <m/>
    <n v="0"/>
    <m/>
    <m/>
    <n v="0"/>
    <n v="0"/>
    <n v="0"/>
    <s v=""/>
    <m/>
    <m/>
    <m/>
    <m/>
    <n v="0"/>
    <m/>
    <m/>
    <m/>
    <m/>
    <m/>
    <m/>
    <m/>
    <m/>
    <m/>
    <s v=""/>
    <m/>
    <n v="0"/>
    <m/>
    <e v="#VALUE!"/>
    <x v="93"/>
    <m/>
  </r>
  <r>
    <x v="8"/>
    <d v="2025-08-31T05:02:24"/>
    <s v="DS 5am"/>
    <m/>
    <m/>
    <m/>
    <m/>
    <s v=""/>
    <m/>
    <m/>
    <x v="18"/>
    <m/>
    <m/>
    <n v="0"/>
    <m/>
    <m/>
    <n v="0"/>
    <m/>
    <m/>
    <n v="0"/>
    <n v="0"/>
    <n v="0"/>
    <s v=""/>
    <m/>
    <m/>
    <m/>
    <m/>
    <n v="0"/>
    <m/>
    <m/>
    <m/>
    <m/>
    <m/>
    <m/>
    <m/>
    <m/>
    <m/>
    <s v=""/>
    <m/>
    <n v="0"/>
    <m/>
    <e v="#VALUE!"/>
    <x v="93"/>
    <m/>
  </r>
  <r>
    <x v="8"/>
    <d v="2025-08-31T17:02:24"/>
    <s v="NS 5pm"/>
    <m/>
    <m/>
    <m/>
    <m/>
    <s v=""/>
    <m/>
    <m/>
    <x v="18"/>
    <m/>
    <m/>
    <n v="0"/>
    <m/>
    <m/>
    <n v="0"/>
    <m/>
    <m/>
    <n v="0"/>
    <n v="0"/>
    <n v="0"/>
    <s v=""/>
    <m/>
    <m/>
    <m/>
    <m/>
    <n v="0"/>
    <m/>
    <m/>
    <m/>
    <m/>
    <m/>
    <m/>
    <m/>
    <m/>
    <m/>
    <s v=""/>
    <m/>
    <n v="0"/>
    <m/>
    <e v="#VALUE!"/>
    <x v="93"/>
    <m/>
  </r>
  <r>
    <x v="8"/>
    <d v="2025-09-01T05:02:24"/>
    <s v="DS 5am"/>
    <m/>
    <m/>
    <m/>
    <m/>
    <s v=""/>
    <m/>
    <m/>
    <x v="18"/>
    <m/>
    <m/>
    <n v="0"/>
    <m/>
    <m/>
    <n v="0"/>
    <m/>
    <m/>
    <n v="0"/>
    <n v="0"/>
    <n v="0"/>
    <s v=""/>
    <m/>
    <m/>
    <m/>
    <m/>
    <n v="0"/>
    <m/>
    <m/>
    <m/>
    <m/>
    <m/>
    <m/>
    <m/>
    <m/>
    <m/>
    <s v=""/>
    <m/>
    <n v="0"/>
    <m/>
    <e v="#VALUE!"/>
    <x v="93"/>
    <m/>
  </r>
  <r>
    <x v="8"/>
    <d v="2025-09-01T17:02:24"/>
    <s v="NS 5pm"/>
    <m/>
    <m/>
    <m/>
    <m/>
    <s v=""/>
    <m/>
    <m/>
    <x v="18"/>
    <m/>
    <m/>
    <n v="0"/>
    <m/>
    <m/>
    <n v="0"/>
    <m/>
    <m/>
    <n v="0"/>
    <n v="0"/>
    <n v="0"/>
    <s v=""/>
    <m/>
    <m/>
    <m/>
    <m/>
    <n v="0"/>
    <m/>
    <m/>
    <m/>
    <m/>
    <m/>
    <m/>
    <m/>
    <m/>
    <m/>
    <s v=""/>
    <m/>
    <n v="0"/>
    <m/>
    <e v="#VALUE!"/>
    <x v="93"/>
    <m/>
  </r>
  <r>
    <x v="8"/>
    <d v="2025-09-02T05:02:24"/>
    <s v="DS 5am"/>
    <m/>
    <m/>
    <m/>
    <m/>
    <s v=""/>
    <m/>
    <m/>
    <x v="18"/>
    <m/>
    <m/>
    <n v="0"/>
    <m/>
    <m/>
    <n v="0"/>
    <m/>
    <m/>
    <n v="0"/>
    <n v="0"/>
    <n v="0"/>
    <s v=""/>
    <m/>
    <m/>
    <m/>
    <m/>
    <n v="0"/>
    <m/>
    <m/>
    <m/>
    <m/>
    <m/>
    <m/>
    <m/>
    <m/>
    <m/>
    <s v=""/>
    <m/>
    <n v="0"/>
    <m/>
    <e v="#VALUE!"/>
    <x v="93"/>
    <m/>
  </r>
  <r>
    <x v="8"/>
    <d v="2025-09-02T17:02:24"/>
    <s v="NS 5pm"/>
    <m/>
    <m/>
    <m/>
    <m/>
    <s v=""/>
    <m/>
    <m/>
    <x v="18"/>
    <m/>
    <m/>
    <n v="0"/>
    <m/>
    <m/>
    <n v="0"/>
    <m/>
    <m/>
    <n v="0"/>
    <n v="0"/>
    <n v="0"/>
    <s v=""/>
    <m/>
    <m/>
    <m/>
    <m/>
    <n v="0"/>
    <m/>
    <m/>
    <m/>
    <m/>
    <m/>
    <m/>
    <m/>
    <m/>
    <m/>
    <s v=""/>
    <m/>
    <n v="0"/>
    <m/>
    <e v="#VALUE!"/>
    <x v="93"/>
    <m/>
  </r>
  <r>
    <x v="8"/>
    <d v="2025-09-03T05:02:24"/>
    <s v="DS 5am"/>
    <m/>
    <m/>
    <m/>
    <m/>
    <s v=""/>
    <m/>
    <m/>
    <x v="18"/>
    <m/>
    <m/>
    <n v="0"/>
    <m/>
    <m/>
    <n v="0"/>
    <m/>
    <m/>
    <n v="0"/>
    <n v="0"/>
    <n v="0"/>
    <s v=""/>
    <m/>
    <m/>
    <m/>
    <m/>
    <n v="0"/>
    <m/>
    <m/>
    <m/>
    <m/>
    <m/>
    <m/>
    <m/>
    <m/>
    <m/>
    <s v=""/>
    <m/>
    <n v="0"/>
    <m/>
    <e v="#VALUE!"/>
    <x v="93"/>
    <m/>
  </r>
  <r>
    <x v="8"/>
    <d v="2025-09-03T17:02:24"/>
    <s v="NS 5pm"/>
    <m/>
    <m/>
    <m/>
    <m/>
    <s v=""/>
    <m/>
    <m/>
    <x v="18"/>
    <m/>
    <m/>
    <n v="0"/>
    <m/>
    <m/>
    <n v="0"/>
    <m/>
    <m/>
    <n v="0"/>
    <n v="0"/>
    <n v="0"/>
    <s v=""/>
    <m/>
    <m/>
    <m/>
    <m/>
    <n v="0"/>
    <m/>
    <m/>
    <m/>
    <m/>
    <m/>
    <m/>
    <m/>
    <m/>
    <m/>
    <s v=""/>
    <m/>
    <n v="0"/>
    <m/>
    <e v="#VALUE!"/>
    <x v="93"/>
    <m/>
  </r>
  <r>
    <x v="8"/>
    <d v="2025-09-04T05:02:24"/>
    <s v="DS 5am"/>
    <m/>
    <m/>
    <m/>
    <m/>
    <s v=""/>
    <m/>
    <m/>
    <x v="18"/>
    <m/>
    <m/>
    <n v="0"/>
    <m/>
    <m/>
    <n v="0"/>
    <m/>
    <m/>
    <n v="0"/>
    <n v="0"/>
    <n v="0"/>
    <s v=""/>
    <m/>
    <m/>
    <m/>
    <m/>
    <n v="0"/>
    <m/>
    <m/>
    <m/>
    <m/>
    <m/>
    <m/>
    <m/>
    <m/>
    <m/>
    <s v=""/>
    <m/>
    <n v="0"/>
    <m/>
    <e v="#VALUE!"/>
    <x v="93"/>
    <m/>
  </r>
  <r>
    <x v="8"/>
    <d v="2025-09-04T17:02:24"/>
    <s v="NS 5pm"/>
    <m/>
    <m/>
    <m/>
    <m/>
    <s v=""/>
    <m/>
    <m/>
    <x v="18"/>
    <m/>
    <m/>
    <n v="0"/>
    <m/>
    <m/>
    <n v="0"/>
    <m/>
    <m/>
    <n v="0"/>
    <n v="0"/>
    <n v="0"/>
    <s v=""/>
    <m/>
    <m/>
    <m/>
    <m/>
    <n v="0"/>
    <m/>
    <m/>
    <m/>
    <m/>
    <m/>
    <m/>
    <m/>
    <m/>
    <m/>
    <s v=""/>
    <m/>
    <n v="0"/>
    <m/>
    <e v="#VALUE!"/>
    <x v="93"/>
    <m/>
  </r>
  <r>
    <x v="8"/>
    <d v="2025-09-05T05:02:24"/>
    <s v="DS 5am"/>
    <m/>
    <m/>
    <m/>
    <m/>
    <s v=""/>
    <m/>
    <m/>
    <x v="18"/>
    <m/>
    <m/>
    <n v="0"/>
    <m/>
    <m/>
    <n v="0"/>
    <m/>
    <m/>
    <n v="0"/>
    <n v="0"/>
    <n v="0"/>
    <s v=""/>
    <m/>
    <m/>
    <m/>
    <m/>
    <n v="0"/>
    <m/>
    <m/>
    <m/>
    <m/>
    <m/>
    <m/>
    <m/>
    <m/>
    <m/>
    <s v=""/>
    <m/>
    <n v="0"/>
    <m/>
    <e v="#VALUE!"/>
    <x v="93"/>
    <m/>
  </r>
  <r>
    <x v="8"/>
    <d v="2025-09-05T17:02:24"/>
    <s v="NS 5pm"/>
    <m/>
    <m/>
    <m/>
    <m/>
    <s v=""/>
    <m/>
    <m/>
    <x v="18"/>
    <m/>
    <m/>
    <n v="0"/>
    <m/>
    <m/>
    <n v="0"/>
    <m/>
    <m/>
    <n v="0"/>
    <n v="0"/>
    <n v="0"/>
    <s v=""/>
    <m/>
    <m/>
    <m/>
    <m/>
    <n v="0"/>
    <m/>
    <m/>
    <m/>
    <m/>
    <m/>
    <m/>
    <m/>
    <m/>
    <m/>
    <s v=""/>
    <m/>
    <n v="0"/>
    <m/>
    <e v="#VALUE!"/>
    <x v="93"/>
    <m/>
  </r>
  <r>
    <x v="8"/>
    <d v="2025-09-06T05:02:24"/>
    <s v="DS 5am"/>
    <m/>
    <m/>
    <m/>
    <m/>
    <s v=""/>
    <m/>
    <m/>
    <x v="18"/>
    <m/>
    <m/>
    <n v="0"/>
    <m/>
    <m/>
    <n v="0"/>
    <m/>
    <m/>
    <n v="0"/>
    <n v="0"/>
    <n v="0"/>
    <s v=""/>
    <m/>
    <m/>
    <m/>
    <m/>
    <n v="0"/>
    <m/>
    <m/>
    <m/>
    <m/>
    <m/>
    <m/>
    <m/>
    <m/>
    <m/>
    <s v=""/>
    <m/>
    <n v="0"/>
    <m/>
    <e v="#VALUE!"/>
    <x v="93"/>
    <m/>
  </r>
  <r>
    <x v="8"/>
    <d v="2025-09-06T17:02:24"/>
    <s v="NS 5pm"/>
    <m/>
    <m/>
    <m/>
    <m/>
    <s v=""/>
    <m/>
    <m/>
    <x v="18"/>
    <m/>
    <m/>
    <n v="0"/>
    <m/>
    <m/>
    <n v="0"/>
    <m/>
    <m/>
    <n v="0"/>
    <n v="0"/>
    <n v="0"/>
    <s v=""/>
    <m/>
    <m/>
    <m/>
    <m/>
    <n v="0"/>
    <m/>
    <m/>
    <m/>
    <m/>
    <m/>
    <m/>
    <m/>
    <m/>
    <m/>
    <s v=""/>
    <m/>
    <n v="0"/>
    <m/>
    <e v="#VALUE!"/>
    <x v="93"/>
    <m/>
  </r>
  <r>
    <x v="8"/>
    <d v="2025-09-07T05:02:24"/>
    <s v="DS 5am"/>
    <m/>
    <m/>
    <m/>
    <m/>
    <s v=""/>
    <m/>
    <m/>
    <x v="18"/>
    <m/>
    <m/>
    <n v="0"/>
    <m/>
    <m/>
    <n v="0"/>
    <m/>
    <m/>
    <n v="0"/>
    <n v="0"/>
    <n v="0"/>
    <s v=""/>
    <m/>
    <m/>
    <m/>
    <m/>
    <n v="0"/>
    <m/>
    <m/>
    <m/>
    <m/>
    <m/>
    <m/>
    <m/>
    <m/>
    <m/>
    <s v=""/>
    <m/>
    <n v="0"/>
    <m/>
    <e v="#VALUE!"/>
    <x v="93"/>
    <m/>
  </r>
  <r>
    <x v="8"/>
    <d v="2025-09-07T17:02:24"/>
    <s v="NS 5pm"/>
    <m/>
    <m/>
    <m/>
    <m/>
    <s v=""/>
    <m/>
    <m/>
    <x v="18"/>
    <m/>
    <m/>
    <n v="0"/>
    <m/>
    <m/>
    <n v="0"/>
    <m/>
    <m/>
    <n v="0"/>
    <n v="0"/>
    <n v="0"/>
    <s v=""/>
    <m/>
    <m/>
    <m/>
    <m/>
    <n v="0"/>
    <m/>
    <m/>
    <m/>
    <m/>
    <m/>
    <m/>
    <m/>
    <m/>
    <m/>
    <s v=""/>
    <m/>
    <n v="0"/>
    <m/>
    <e v="#VALUE!"/>
    <x v="93"/>
    <m/>
  </r>
  <r>
    <x v="8"/>
    <d v="2025-09-08T05:02:24"/>
    <s v="DS 5am"/>
    <m/>
    <m/>
    <m/>
    <m/>
    <s v=""/>
    <m/>
    <m/>
    <x v="18"/>
    <m/>
    <m/>
    <n v="0"/>
    <m/>
    <m/>
    <n v="0"/>
    <m/>
    <m/>
    <n v="0"/>
    <n v="0"/>
    <n v="0"/>
    <s v=""/>
    <m/>
    <m/>
    <m/>
    <m/>
    <n v="0"/>
    <m/>
    <m/>
    <m/>
    <m/>
    <m/>
    <m/>
    <m/>
    <m/>
    <m/>
    <s v=""/>
    <m/>
    <n v="0"/>
    <m/>
    <e v="#VALUE!"/>
    <x v="93"/>
    <m/>
  </r>
  <r>
    <x v="8"/>
    <d v="2025-09-08T17:02:24"/>
    <s v="NS 5pm"/>
    <m/>
    <m/>
    <m/>
    <m/>
    <s v=""/>
    <m/>
    <m/>
    <x v="18"/>
    <m/>
    <m/>
    <n v="0"/>
    <m/>
    <m/>
    <n v="0"/>
    <m/>
    <m/>
    <n v="0"/>
    <n v="0"/>
    <n v="0"/>
    <s v=""/>
    <m/>
    <m/>
    <m/>
    <m/>
    <n v="0"/>
    <m/>
    <m/>
    <m/>
    <m/>
    <m/>
    <m/>
    <m/>
    <m/>
    <m/>
    <s v=""/>
    <m/>
    <n v="0"/>
    <m/>
    <e v="#VALUE!"/>
    <x v="93"/>
    <m/>
  </r>
  <r>
    <x v="8"/>
    <d v="2025-09-09T05:02:24"/>
    <s v="DS 5am"/>
    <m/>
    <m/>
    <m/>
    <m/>
    <s v=""/>
    <m/>
    <m/>
    <x v="18"/>
    <m/>
    <m/>
    <n v="0"/>
    <m/>
    <m/>
    <n v="0"/>
    <m/>
    <m/>
    <n v="0"/>
    <n v="0"/>
    <n v="0"/>
    <s v=""/>
    <m/>
    <m/>
    <m/>
    <m/>
    <n v="0"/>
    <m/>
    <m/>
    <m/>
    <m/>
    <m/>
    <m/>
    <m/>
    <m/>
    <m/>
    <s v=""/>
    <m/>
    <n v="0"/>
    <m/>
    <e v="#VALUE!"/>
    <x v="93"/>
    <m/>
  </r>
  <r>
    <x v="8"/>
    <d v="2025-09-09T17:02:24"/>
    <s v="NS 5pm"/>
    <m/>
    <m/>
    <m/>
    <m/>
    <s v=""/>
    <m/>
    <m/>
    <x v="18"/>
    <m/>
    <m/>
    <n v="0"/>
    <m/>
    <m/>
    <n v="0"/>
    <m/>
    <m/>
    <n v="0"/>
    <n v="0"/>
    <n v="0"/>
    <s v=""/>
    <m/>
    <m/>
    <m/>
    <m/>
    <n v="0"/>
    <m/>
    <m/>
    <m/>
    <m/>
    <m/>
    <m/>
    <m/>
    <m/>
    <m/>
    <s v=""/>
    <m/>
    <n v="0"/>
    <m/>
    <e v="#VALUE!"/>
    <x v="93"/>
    <m/>
  </r>
  <r>
    <x v="8"/>
    <d v="2025-09-10T05:02:24"/>
    <s v="DS 5am"/>
    <m/>
    <m/>
    <m/>
    <m/>
    <s v=""/>
    <m/>
    <m/>
    <x v="18"/>
    <m/>
    <m/>
    <n v="0"/>
    <m/>
    <m/>
    <n v="0"/>
    <m/>
    <m/>
    <n v="0"/>
    <n v="0"/>
    <n v="0"/>
    <s v=""/>
    <m/>
    <m/>
    <m/>
    <m/>
    <n v="0"/>
    <m/>
    <m/>
    <m/>
    <m/>
    <m/>
    <m/>
    <m/>
    <m/>
    <m/>
    <s v=""/>
    <m/>
    <n v="0"/>
    <m/>
    <e v="#VALUE!"/>
    <x v="93"/>
    <m/>
  </r>
  <r>
    <x v="8"/>
    <d v="2025-09-10T17:02:24"/>
    <s v="NS 5pm"/>
    <m/>
    <m/>
    <m/>
    <m/>
    <s v=""/>
    <m/>
    <m/>
    <x v="18"/>
    <m/>
    <m/>
    <n v="0"/>
    <m/>
    <m/>
    <n v="0"/>
    <m/>
    <m/>
    <n v="0"/>
    <n v="0"/>
    <n v="0"/>
    <s v=""/>
    <m/>
    <m/>
    <m/>
    <m/>
    <n v="0"/>
    <m/>
    <m/>
    <m/>
    <m/>
    <m/>
    <m/>
    <m/>
    <m/>
    <m/>
    <s v=""/>
    <m/>
    <n v="0"/>
    <m/>
    <e v="#VALUE!"/>
    <x v="93"/>
    <m/>
  </r>
  <r>
    <x v="8"/>
    <d v="2025-09-11T05:02:24"/>
    <s v="DS 5am"/>
    <m/>
    <m/>
    <m/>
    <m/>
    <s v=""/>
    <m/>
    <m/>
    <x v="18"/>
    <m/>
    <m/>
    <n v="0"/>
    <m/>
    <m/>
    <n v="0"/>
    <m/>
    <m/>
    <n v="0"/>
    <n v="0"/>
    <n v="0"/>
    <s v=""/>
    <m/>
    <m/>
    <m/>
    <m/>
    <n v="0"/>
    <m/>
    <m/>
    <m/>
    <m/>
    <m/>
    <m/>
    <m/>
    <m/>
    <m/>
    <s v=""/>
    <m/>
    <n v="0"/>
    <m/>
    <e v="#VALUE!"/>
    <x v="93"/>
    <m/>
  </r>
  <r>
    <x v="8"/>
    <d v="2025-09-11T17:02:24"/>
    <s v="NS 5pm"/>
    <m/>
    <m/>
    <m/>
    <m/>
    <s v=""/>
    <m/>
    <m/>
    <x v="18"/>
    <m/>
    <m/>
    <n v="0"/>
    <m/>
    <m/>
    <n v="0"/>
    <m/>
    <m/>
    <n v="0"/>
    <n v="0"/>
    <n v="0"/>
    <s v=""/>
    <m/>
    <m/>
    <m/>
    <m/>
    <n v="0"/>
    <m/>
    <m/>
    <m/>
    <m/>
    <m/>
    <m/>
    <m/>
    <m/>
    <m/>
    <s v=""/>
    <m/>
    <n v="0"/>
    <m/>
    <e v="#VALUE!"/>
    <x v="93"/>
    <m/>
  </r>
  <r>
    <x v="8"/>
    <d v="2025-09-12T05:02:24"/>
    <s v="DS 5am"/>
    <m/>
    <m/>
    <m/>
    <m/>
    <s v=""/>
    <m/>
    <m/>
    <x v="18"/>
    <m/>
    <m/>
    <n v="0"/>
    <m/>
    <m/>
    <n v="0"/>
    <m/>
    <m/>
    <n v="0"/>
    <n v="0"/>
    <n v="0"/>
    <s v=""/>
    <m/>
    <m/>
    <m/>
    <m/>
    <n v="0"/>
    <m/>
    <m/>
    <m/>
    <m/>
    <m/>
    <m/>
    <m/>
    <m/>
    <m/>
    <s v=""/>
    <m/>
    <n v="0"/>
    <m/>
    <e v="#VALUE!"/>
    <x v="93"/>
    <m/>
  </r>
  <r>
    <x v="8"/>
    <d v="2025-09-12T17:02:24"/>
    <s v="NS 5pm"/>
    <m/>
    <m/>
    <m/>
    <m/>
    <s v=""/>
    <m/>
    <m/>
    <x v="18"/>
    <m/>
    <m/>
    <n v="0"/>
    <m/>
    <m/>
    <n v="0"/>
    <m/>
    <m/>
    <n v="0"/>
    <n v="0"/>
    <n v="0"/>
    <s v=""/>
    <m/>
    <m/>
    <m/>
    <m/>
    <n v="0"/>
    <m/>
    <m/>
    <m/>
    <m/>
    <m/>
    <m/>
    <m/>
    <m/>
    <m/>
    <s v=""/>
    <m/>
    <n v="0"/>
    <m/>
    <e v="#VALUE!"/>
    <x v="93"/>
    <m/>
  </r>
  <r>
    <x v="8"/>
    <d v="2025-09-13T05:02:24"/>
    <s v="DS 5am"/>
    <m/>
    <m/>
    <m/>
    <m/>
    <s v=""/>
    <m/>
    <m/>
    <x v="18"/>
    <m/>
    <m/>
    <n v="0"/>
    <m/>
    <m/>
    <n v="0"/>
    <m/>
    <m/>
    <n v="0"/>
    <n v="0"/>
    <n v="0"/>
    <s v=""/>
    <m/>
    <m/>
    <m/>
    <m/>
    <n v="0"/>
    <m/>
    <m/>
    <m/>
    <m/>
    <m/>
    <m/>
    <m/>
    <m/>
    <m/>
    <s v=""/>
    <m/>
    <n v="0"/>
    <m/>
    <e v="#VALUE!"/>
    <x v="93"/>
    <m/>
  </r>
  <r>
    <x v="8"/>
    <d v="2025-09-13T17:02:24"/>
    <s v="NS 5pm"/>
    <m/>
    <m/>
    <m/>
    <m/>
    <s v=""/>
    <m/>
    <m/>
    <x v="18"/>
    <m/>
    <m/>
    <n v="0"/>
    <m/>
    <m/>
    <n v="0"/>
    <m/>
    <m/>
    <n v="0"/>
    <n v="0"/>
    <n v="0"/>
    <s v=""/>
    <m/>
    <m/>
    <m/>
    <m/>
    <n v="0"/>
    <m/>
    <m/>
    <m/>
    <m/>
    <m/>
    <m/>
    <m/>
    <m/>
    <m/>
    <s v=""/>
    <m/>
    <n v="0"/>
    <m/>
    <e v="#VALUE!"/>
    <x v="93"/>
    <m/>
  </r>
  <r>
    <x v="8"/>
    <d v="2025-09-14T05:02:24"/>
    <s v="DS 5am"/>
    <m/>
    <m/>
    <m/>
    <m/>
    <s v=""/>
    <m/>
    <m/>
    <x v="18"/>
    <m/>
    <m/>
    <n v="0"/>
    <m/>
    <m/>
    <n v="0"/>
    <m/>
    <m/>
    <n v="0"/>
    <n v="0"/>
    <n v="0"/>
    <s v=""/>
    <m/>
    <m/>
    <m/>
    <m/>
    <n v="0"/>
    <m/>
    <m/>
    <m/>
    <m/>
    <m/>
    <m/>
    <m/>
    <m/>
    <m/>
    <s v=""/>
    <m/>
    <n v="0"/>
    <m/>
    <e v="#VALUE!"/>
    <x v="93"/>
    <m/>
  </r>
  <r>
    <x v="8"/>
    <d v="2025-09-14T17:02:24"/>
    <s v="NS 5pm"/>
    <m/>
    <m/>
    <m/>
    <m/>
    <s v=""/>
    <m/>
    <m/>
    <x v="18"/>
    <m/>
    <m/>
    <n v="0"/>
    <m/>
    <m/>
    <n v="0"/>
    <m/>
    <m/>
    <n v="0"/>
    <n v="0"/>
    <n v="0"/>
    <s v=""/>
    <m/>
    <m/>
    <m/>
    <m/>
    <n v="0"/>
    <m/>
    <m/>
    <m/>
    <m/>
    <m/>
    <m/>
    <m/>
    <m/>
    <m/>
    <s v=""/>
    <m/>
    <n v="0"/>
    <m/>
    <e v="#VALUE!"/>
    <x v="93"/>
    <m/>
  </r>
  <r>
    <x v="8"/>
    <d v="2025-09-15T05:02:24"/>
    <s v="DS 5am"/>
    <m/>
    <m/>
    <m/>
    <m/>
    <s v=""/>
    <m/>
    <m/>
    <x v="18"/>
    <m/>
    <m/>
    <n v="0"/>
    <m/>
    <m/>
    <n v="0"/>
    <m/>
    <m/>
    <n v="0"/>
    <n v="0"/>
    <n v="0"/>
    <s v=""/>
    <m/>
    <m/>
    <m/>
    <m/>
    <n v="0"/>
    <m/>
    <m/>
    <m/>
    <m/>
    <m/>
    <m/>
    <m/>
    <m/>
    <m/>
    <s v=""/>
    <m/>
    <n v="0"/>
    <m/>
    <e v="#VALUE!"/>
    <x v="93"/>
    <m/>
  </r>
  <r>
    <x v="8"/>
    <d v="2025-09-15T17:02:24"/>
    <s v="NS 5pm"/>
    <m/>
    <m/>
    <m/>
    <m/>
    <s v=""/>
    <m/>
    <m/>
    <x v="18"/>
    <m/>
    <m/>
    <n v="0"/>
    <m/>
    <m/>
    <n v="0"/>
    <m/>
    <m/>
    <n v="0"/>
    <n v="0"/>
    <n v="0"/>
    <s v=""/>
    <m/>
    <m/>
    <m/>
    <m/>
    <n v="0"/>
    <m/>
    <m/>
    <m/>
    <m/>
    <m/>
    <m/>
    <m/>
    <m/>
    <m/>
    <s v=""/>
    <m/>
    <n v="0"/>
    <m/>
    <e v="#VALUE!"/>
    <x v="93"/>
    <m/>
  </r>
  <r>
    <x v="8"/>
    <d v="2025-09-16T05:02:24"/>
    <s v="DS 5am"/>
    <m/>
    <m/>
    <m/>
    <m/>
    <s v=""/>
    <m/>
    <m/>
    <x v="18"/>
    <m/>
    <m/>
    <n v="0"/>
    <m/>
    <m/>
    <n v="0"/>
    <m/>
    <m/>
    <n v="0"/>
    <n v="0"/>
    <n v="0"/>
    <s v=""/>
    <m/>
    <m/>
    <m/>
    <m/>
    <n v="0"/>
    <m/>
    <m/>
    <m/>
    <m/>
    <m/>
    <m/>
    <m/>
    <m/>
    <m/>
    <s v=""/>
    <m/>
    <n v="0"/>
    <m/>
    <e v="#VALUE!"/>
    <x v="93"/>
    <m/>
  </r>
  <r>
    <x v="8"/>
    <d v="2025-09-16T17:02:24"/>
    <s v="NS 5pm"/>
    <m/>
    <m/>
    <m/>
    <m/>
    <s v=""/>
    <m/>
    <m/>
    <x v="18"/>
    <m/>
    <m/>
    <n v="0"/>
    <m/>
    <m/>
    <n v="0"/>
    <m/>
    <m/>
    <n v="0"/>
    <n v="0"/>
    <n v="0"/>
    <s v=""/>
    <m/>
    <m/>
    <m/>
    <m/>
    <n v="0"/>
    <m/>
    <m/>
    <m/>
    <m/>
    <m/>
    <m/>
    <m/>
    <m/>
    <m/>
    <s v=""/>
    <m/>
    <n v="0"/>
    <m/>
    <e v="#VALUE!"/>
    <x v="93"/>
    <m/>
  </r>
  <r>
    <x v="8"/>
    <d v="2025-09-17T05:02:24"/>
    <s v="DS 5am"/>
    <m/>
    <m/>
    <m/>
    <m/>
    <s v=""/>
    <m/>
    <m/>
    <x v="18"/>
    <m/>
    <m/>
    <n v="0"/>
    <m/>
    <m/>
    <n v="0"/>
    <m/>
    <m/>
    <n v="0"/>
    <n v="0"/>
    <n v="0"/>
    <s v=""/>
    <m/>
    <m/>
    <m/>
    <m/>
    <n v="0"/>
    <m/>
    <m/>
    <m/>
    <m/>
    <m/>
    <m/>
    <m/>
    <m/>
    <m/>
    <s v=""/>
    <m/>
    <n v="0"/>
    <m/>
    <e v="#VALUE!"/>
    <x v="93"/>
    <m/>
  </r>
  <r>
    <x v="8"/>
    <d v="2025-09-17T17:02:24"/>
    <s v="NS 5pm"/>
    <m/>
    <m/>
    <m/>
    <m/>
    <s v=""/>
    <m/>
    <m/>
    <x v="18"/>
    <m/>
    <m/>
    <n v="0"/>
    <m/>
    <m/>
    <n v="0"/>
    <m/>
    <m/>
    <n v="0"/>
    <n v="0"/>
    <n v="0"/>
    <s v=""/>
    <m/>
    <m/>
    <m/>
    <m/>
    <n v="0"/>
    <m/>
    <m/>
    <m/>
    <m/>
    <m/>
    <m/>
    <m/>
    <m/>
    <m/>
    <s v=""/>
    <m/>
    <n v="0"/>
    <m/>
    <e v="#VALUE!"/>
    <x v="93"/>
    <m/>
  </r>
  <r>
    <x v="8"/>
    <d v="2025-09-18T05:02:24"/>
    <s v="DS 5am"/>
    <m/>
    <m/>
    <m/>
    <m/>
    <s v=""/>
    <m/>
    <m/>
    <x v="18"/>
    <m/>
    <m/>
    <n v="0"/>
    <m/>
    <m/>
    <n v="0"/>
    <m/>
    <m/>
    <n v="0"/>
    <n v="0"/>
    <n v="0"/>
    <s v=""/>
    <m/>
    <m/>
    <m/>
    <m/>
    <n v="0"/>
    <m/>
    <m/>
    <m/>
    <m/>
    <m/>
    <m/>
    <m/>
    <m/>
    <m/>
    <s v=""/>
    <m/>
    <n v="0"/>
    <m/>
    <e v="#VALUE!"/>
    <x v="93"/>
    <m/>
  </r>
  <r>
    <x v="8"/>
    <d v="2025-09-18T17:02:24"/>
    <s v="NS 5pm"/>
    <m/>
    <m/>
    <m/>
    <m/>
    <s v=""/>
    <m/>
    <m/>
    <x v="18"/>
    <m/>
    <m/>
    <n v="0"/>
    <m/>
    <m/>
    <n v="0"/>
    <m/>
    <m/>
    <n v="0"/>
    <n v="0"/>
    <n v="0"/>
    <s v=""/>
    <m/>
    <m/>
    <m/>
    <m/>
    <n v="0"/>
    <m/>
    <m/>
    <m/>
    <m/>
    <m/>
    <m/>
    <m/>
    <m/>
    <m/>
    <s v=""/>
    <m/>
    <n v="0"/>
    <m/>
    <e v="#VALUE!"/>
    <x v="93"/>
    <m/>
  </r>
  <r>
    <x v="8"/>
    <d v="2025-09-19T05:02:24"/>
    <s v="DS 5am"/>
    <m/>
    <m/>
    <m/>
    <m/>
    <s v=""/>
    <m/>
    <m/>
    <x v="18"/>
    <m/>
    <m/>
    <n v="0"/>
    <m/>
    <m/>
    <n v="0"/>
    <m/>
    <m/>
    <n v="0"/>
    <n v="0"/>
    <n v="0"/>
    <s v=""/>
    <m/>
    <m/>
    <m/>
    <m/>
    <n v="0"/>
    <m/>
    <m/>
    <m/>
    <m/>
    <m/>
    <m/>
    <m/>
    <m/>
    <m/>
    <s v=""/>
    <m/>
    <n v="0"/>
    <m/>
    <e v="#VALUE!"/>
    <x v="93"/>
    <m/>
  </r>
  <r>
    <x v="8"/>
    <d v="2025-09-19T17:02:24"/>
    <s v="NS 5pm"/>
    <m/>
    <m/>
    <m/>
    <m/>
    <s v=""/>
    <m/>
    <m/>
    <x v="18"/>
    <m/>
    <m/>
    <n v="0"/>
    <m/>
    <m/>
    <n v="0"/>
    <m/>
    <m/>
    <n v="0"/>
    <n v="0"/>
    <n v="0"/>
    <s v=""/>
    <m/>
    <m/>
    <m/>
    <m/>
    <n v="0"/>
    <m/>
    <m/>
    <m/>
    <m/>
    <m/>
    <m/>
    <m/>
    <m/>
    <m/>
    <s v=""/>
    <m/>
    <n v="0"/>
    <m/>
    <e v="#VALUE!"/>
    <x v="93"/>
    <m/>
  </r>
  <r>
    <x v="8"/>
    <d v="2025-09-20T05:02:24"/>
    <s v="DS 5am"/>
    <m/>
    <m/>
    <m/>
    <m/>
    <s v=""/>
    <m/>
    <m/>
    <x v="18"/>
    <m/>
    <m/>
    <n v="0"/>
    <m/>
    <m/>
    <n v="0"/>
    <m/>
    <m/>
    <n v="0"/>
    <n v="0"/>
    <n v="0"/>
    <s v=""/>
    <m/>
    <m/>
    <m/>
    <m/>
    <n v="0"/>
    <m/>
    <m/>
    <m/>
    <m/>
    <m/>
    <m/>
    <m/>
    <m/>
    <m/>
    <s v=""/>
    <m/>
    <n v="0"/>
    <m/>
    <e v="#VALUE!"/>
    <x v="93"/>
    <m/>
  </r>
  <r>
    <x v="8"/>
    <d v="2025-09-20T17:02:24"/>
    <s v="NS 5pm"/>
    <m/>
    <m/>
    <m/>
    <m/>
    <s v=""/>
    <m/>
    <m/>
    <x v="18"/>
    <m/>
    <m/>
    <n v="0"/>
    <m/>
    <m/>
    <n v="0"/>
    <m/>
    <m/>
    <n v="0"/>
    <n v="0"/>
    <n v="0"/>
    <s v=""/>
    <m/>
    <m/>
    <m/>
    <m/>
    <n v="0"/>
    <m/>
    <m/>
    <m/>
    <m/>
    <m/>
    <m/>
    <m/>
    <m/>
    <m/>
    <s v=""/>
    <m/>
    <n v="0"/>
    <m/>
    <e v="#VALUE!"/>
    <x v="93"/>
    <m/>
  </r>
  <r>
    <x v="8"/>
    <d v="2025-09-21T05:02:24"/>
    <s v="DS 5am"/>
    <m/>
    <m/>
    <m/>
    <m/>
    <s v=""/>
    <m/>
    <m/>
    <x v="18"/>
    <m/>
    <m/>
    <n v="0"/>
    <m/>
    <m/>
    <n v="0"/>
    <m/>
    <m/>
    <n v="0"/>
    <n v="0"/>
    <n v="0"/>
    <s v=""/>
    <m/>
    <m/>
    <m/>
    <m/>
    <n v="0"/>
    <m/>
    <m/>
    <m/>
    <m/>
    <m/>
    <m/>
    <m/>
    <m/>
    <m/>
    <s v=""/>
    <m/>
    <n v="0"/>
    <m/>
    <e v="#VALUE!"/>
    <x v="93"/>
    <m/>
  </r>
  <r>
    <x v="8"/>
    <d v="2025-09-21T17:02:24"/>
    <s v="NS 5pm"/>
    <m/>
    <m/>
    <m/>
    <m/>
    <s v=""/>
    <m/>
    <m/>
    <x v="18"/>
    <m/>
    <m/>
    <n v="0"/>
    <m/>
    <m/>
    <n v="0"/>
    <m/>
    <m/>
    <n v="0"/>
    <n v="0"/>
    <n v="0"/>
    <s v=""/>
    <m/>
    <m/>
    <m/>
    <m/>
    <n v="0"/>
    <m/>
    <m/>
    <m/>
    <m/>
    <m/>
    <m/>
    <m/>
    <m/>
    <m/>
    <s v=""/>
    <m/>
    <n v="0"/>
    <m/>
    <e v="#VALUE!"/>
    <x v="93"/>
    <m/>
  </r>
  <r>
    <x v="8"/>
    <d v="2025-09-22T05:02:24"/>
    <s v="DS 5am"/>
    <m/>
    <m/>
    <m/>
    <m/>
    <s v=""/>
    <m/>
    <m/>
    <x v="18"/>
    <m/>
    <m/>
    <n v="0"/>
    <m/>
    <m/>
    <n v="0"/>
    <m/>
    <m/>
    <n v="0"/>
    <n v="0"/>
    <n v="0"/>
    <s v=""/>
    <m/>
    <m/>
    <m/>
    <m/>
    <n v="0"/>
    <m/>
    <m/>
    <m/>
    <m/>
    <m/>
    <m/>
    <m/>
    <m/>
    <m/>
    <s v=""/>
    <m/>
    <n v="0"/>
    <m/>
    <e v="#VALUE!"/>
    <x v="93"/>
    <m/>
  </r>
  <r>
    <x v="8"/>
    <d v="2025-09-22T17:02:24"/>
    <s v="NS 5pm"/>
    <m/>
    <m/>
    <m/>
    <m/>
    <s v=""/>
    <m/>
    <m/>
    <x v="18"/>
    <m/>
    <m/>
    <n v="0"/>
    <m/>
    <m/>
    <n v="0"/>
    <m/>
    <m/>
    <n v="0"/>
    <n v="0"/>
    <n v="0"/>
    <s v=""/>
    <m/>
    <m/>
    <m/>
    <m/>
    <n v="0"/>
    <m/>
    <m/>
    <m/>
    <m/>
    <m/>
    <m/>
    <m/>
    <m/>
    <m/>
    <s v=""/>
    <m/>
    <n v="0"/>
    <m/>
    <e v="#VALUE!"/>
    <x v="93"/>
    <m/>
  </r>
  <r>
    <x v="8"/>
    <d v="2025-09-23T05:02:24"/>
    <s v="DS 5am"/>
    <m/>
    <m/>
    <m/>
    <m/>
    <s v=""/>
    <m/>
    <m/>
    <x v="18"/>
    <m/>
    <m/>
    <n v="0"/>
    <m/>
    <m/>
    <n v="0"/>
    <m/>
    <m/>
    <n v="0"/>
    <n v="0"/>
    <n v="0"/>
    <s v=""/>
    <m/>
    <m/>
    <m/>
    <m/>
    <n v="0"/>
    <m/>
    <m/>
    <m/>
    <m/>
    <m/>
    <m/>
    <m/>
    <m/>
    <m/>
    <s v=""/>
    <m/>
    <n v="0"/>
    <m/>
    <e v="#VALUE!"/>
    <x v="93"/>
    <m/>
  </r>
  <r>
    <x v="8"/>
    <d v="2025-09-23T17:02:24"/>
    <s v="NS 5pm"/>
    <m/>
    <m/>
    <m/>
    <m/>
    <s v=""/>
    <m/>
    <m/>
    <x v="18"/>
    <m/>
    <m/>
    <n v="0"/>
    <m/>
    <m/>
    <n v="0"/>
    <m/>
    <m/>
    <n v="0"/>
    <n v="0"/>
    <n v="0"/>
    <s v=""/>
    <m/>
    <m/>
    <m/>
    <m/>
    <n v="0"/>
    <m/>
    <m/>
    <m/>
    <m/>
    <m/>
    <m/>
    <m/>
    <m/>
    <m/>
    <s v=""/>
    <m/>
    <n v="0"/>
    <m/>
    <e v="#VALUE!"/>
    <x v="93"/>
    <m/>
  </r>
  <r>
    <x v="8"/>
    <d v="2025-09-24T05:02:24"/>
    <s v="DS 5am"/>
    <m/>
    <m/>
    <m/>
    <m/>
    <s v=""/>
    <m/>
    <m/>
    <x v="18"/>
    <m/>
    <m/>
    <n v="0"/>
    <m/>
    <m/>
    <n v="0"/>
    <m/>
    <m/>
    <n v="0"/>
    <n v="0"/>
    <n v="0"/>
    <s v=""/>
    <m/>
    <m/>
    <m/>
    <m/>
    <n v="0"/>
    <m/>
    <m/>
    <m/>
    <m/>
    <m/>
    <m/>
    <m/>
    <m/>
    <m/>
    <s v=""/>
    <m/>
    <n v="0"/>
    <m/>
    <e v="#VALUE!"/>
    <x v="93"/>
    <m/>
  </r>
  <r>
    <x v="8"/>
    <d v="2025-09-24T17:02:24"/>
    <s v="NS 5pm"/>
    <m/>
    <m/>
    <m/>
    <m/>
    <s v=""/>
    <m/>
    <m/>
    <x v="18"/>
    <m/>
    <m/>
    <n v="0"/>
    <m/>
    <m/>
    <n v="0"/>
    <m/>
    <m/>
    <n v="0"/>
    <n v="0"/>
    <n v="0"/>
    <s v=""/>
    <m/>
    <m/>
    <m/>
    <m/>
    <n v="0"/>
    <m/>
    <m/>
    <m/>
    <m/>
    <m/>
    <m/>
    <m/>
    <m/>
    <m/>
    <s v=""/>
    <m/>
    <n v="0"/>
    <m/>
    <e v="#VALUE!"/>
    <x v="93"/>
    <m/>
  </r>
  <r>
    <x v="8"/>
    <d v="2025-09-25T05:02:24"/>
    <s v="DS 5am"/>
    <m/>
    <m/>
    <m/>
    <m/>
    <s v=""/>
    <m/>
    <m/>
    <x v="18"/>
    <m/>
    <m/>
    <n v="0"/>
    <m/>
    <m/>
    <n v="0"/>
    <m/>
    <m/>
    <n v="0"/>
    <n v="0"/>
    <n v="0"/>
    <s v=""/>
    <m/>
    <m/>
    <m/>
    <m/>
    <n v="0"/>
    <m/>
    <m/>
    <m/>
    <m/>
    <m/>
    <m/>
    <m/>
    <m/>
    <m/>
    <s v=""/>
    <m/>
    <n v="0"/>
    <m/>
    <e v="#VALUE!"/>
    <x v="93"/>
    <m/>
  </r>
  <r>
    <x v="8"/>
    <d v="2025-09-25T17:02:24"/>
    <s v="NS 5pm"/>
    <m/>
    <m/>
    <m/>
    <m/>
    <s v=""/>
    <m/>
    <m/>
    <x v="18"/>
    <m/>
    <m/>
    <n v="0"/>
    <m/>
    <m/>
    <n v="0"/>
    <m/>
    <m/>
    <n v="0"/>
    <n v="0"/>
    <n v="0"/>
    <s v=""/>
    <m/>
    <m/>
    <m/>
    <m/>
    <n v="0"/>
    <m/>
    <m/>
    <m/>
    <m/>
    <m/>
    <m/>
    <m/>
    <m/>
    <m/>
    <s v=""/>
    <m/>
    <n v="0"/>
    <m/>
    <e v="#VALUE!"/>
    <x v="93"/>
    <m/>
  </r>
  <r>
    <x v="8"/>
    <d v="2025-09-26T05:02:24"/>
    <s v="DS 5am"/>
    <m/>
    <m/>
    <m/>
    <m/>
    <s v=""/>
    <m/>
    <m/>
    <x v="18"/>
    <m/>
    <m/>
    <n v="0"/>
    <m/>
    <m/>
    <n v="0"/>
    <m/>
    <m/>
    <n v="0"/>
    <n v="0"/>
    <n v="0"/>
    <s v=""/>
    <m/>
    <m/>
    <m/>
    <m/>
    <n v="0"/>
    <m/>
    <m/>
    <m/>
    <m/>
    <m/>
    <m/>
    <m/>
    <m/>
    <m/>
    <s v=""/>
    <m/>
    <n v="0"/>
    <m/>
    <e v="#VALUE!"/>
    <x v="93"/>
    <m/>
  </r>
  <r>
    <x v="8"/>
    <d v="2025-09-26T17:02:24"/>
    <s v="NS 5pm"/>
    <m/>
    <m/>
    <m/>
    <m/>
    <s v=""/>
    <m/>
    <m/>
    <x v="18"/>
    <m/>
    <m/>
    <n v="0"/>
    <m/>
    <m/>
    <n v="0"/>
    <m/>
    <m/>
    <n v="0"/>
    <n v="0"/>
    <n v="0"/>
    <s v=""/>
    <m/>
    <m/>
    <m/>
    <m/>
    <n v="0"/>
    <m/>
    <m/>
    <m/>
    <m/>
    <m/>
    <m/>
    <m/>
    <m/>
    <m/>
    <s v=""/>
    <m/>
    <n v="0"/>
    <m/>
    <e v="#VALUE!"/>
    <x v="93"/>
    <m/>
  </r>
  <r>
    <x v="8"/>
    <d v="2025-09-27T05:02:24"/>
    <s v="DS 5am"/>
    <m/>
    <m/>
    <m/>
    <m/>
    <s v=""/>
    <m/>
    <m/>
    <x v="18"/>
    <m/>
    <m/>
    <n v="0"/>
    <m/>
    <m/>
    <n v="0"/>
    <m/>
    <m/>
    <n v="0"/>
    <n v="0"/>
    <n v="0"/>
    <s v=""/>
    <m/>
    <m/>
    <m/>
    <m/>
    <n v="0"/>
    <m/>
    <m/>
    <m/>
    <m/>
    <m/>
    <m/>
    <m/>
    <m/>
    <m/>
    <s v=""/>
    <m/>
    <n v="0"/>
    <m/>
    <e v="#VALUE!"/>
    <x v="93"/>
    <m/>
  </r>
  <r>
    <x v="8"/>
    <d v="2025-09-27T17:02:24"/>
    <s v="NS 5pm"/>
    <m/>
    <m/>
    <m/>
    <m/>
    <s v=""/>
    <m/>
    <m/>
    <x v="18"/>
    <m/>
    <m/>
    <n v="0"/>
    <m/>
    <m/>
    <n v="0"/>
    <m/>
    <m/>
    <n v="0"/>
    <n v="0"/>
    <n v="0"/>
    <s v=""/>
    <m/>
    <m/>
    <m/>
    <m/>
    <n v="0"/>
    <m/>
    <m/>
    <m/>
    <m/>
    <m/>
    <m/>
    <m/>
    <m/>
    <m/>
    <s v=""/>
    <m/>
    <n v="0"/>
    <m/>
    <e v="#VALUE!"/>
    <x v="93"/>
    <m/>
  </r>
  <r>
    <x v="8"/>
    <d v="2025-09-28T05:02:24"/>
    <s v="DS 5am"/>
    <m/>
    <m/>
    <m/>
    <m/>
    <s v=""/>
    <m/>
    <m/>
    <x v="18"/>
    <m/>
    <m/>
    <n v="0"/>
    <m/>
    <m/>
    <n v="0"/>
    <m/>
    <m/>
    <n v="0"/>
    <n v="0"/>
    <n v="0"/>
    <s v=""/>
    <m/>
    <m/>
    <m/>
    <m/>
    <n v="0"/>
    <m/>
    <m/>
    <m/>
    <m/>
    <m/>
    <m/>
    <m/>
    <m/>
    <m/>
    <s v=""/>
    <m/>
    <n v="0"/>
    <m/>
    <e v="#VALUE!"/>
    <x v="93"/>
    <m/>
  </r>
  <r>
    <x v="8"/>
    <d v="2025-09-28T17:02:24"/>
    <s v="NS 5pm"/>
    <m/>
    <m/>
    <m/>
    <m/>
    <s v=""/>
    <m/>
    <m/>
    <x v="18"/>
    <m/>
    <m/>
    <n v="0"/>
    <m/>
    <m/>
    <n v="0"/>
    <m/>
    <m/>
    <n v="0"/>
    <n v="0"/>
    <n v="0"/>
    <s v=""/>
    <m/>
    <m/>
    <m/>
    <m/>
    <n v="0"/>
    <m/>
    <m/>
    <m/>
    <m/>
    <m/>
    <m/>
    <m/>
    <m/>
    <m/>
    <s v=""/>
    <m/>
    <n v="0"/>
    <m/>
    <e v="#VALUE!"/>
    <x v="93"/>
    <m/>
  </r>
  <r>
    <x v="8"/>
    <d v="2025-09-29T05:02:24"/>
    <s v="DS 5am"/>
    <m/>
    <m/>
    <m/>
    <m/>
    <s v=""/>
    <m/>
    <m/>
    <x v="18"/>
    <m/>
    <m/>
    <n v="0"/>
    <m/>
    <m/>
    <n v="0"/>
    <m/>
    <m/>
    <n v="0"/>
    <n v="0"/>
    <n v="0"/>
    <s v=""/>
    <m/>
    <m/>
    <m/>
    <m/>
    <n v="0"/>
    <m/>
    <m/>
    <m/>
    <m/>
    <m/>
    <m/>
    <m/>
    <m/>
    <m/>
    <s v=""/>
    <m/>
    <n v="0"/>
    <m/>
    <e v="#VALUE!"/>
    <x v="93"/>
    <m/>
  </r>
  <r>
    <x v="8"/>
    <d v="2025-09-29T17:02:24"/>
    <s v="NS 5pm"/>
    <m/>
    <m/>
    <m/>
    <m/>
    <s v=""/>
    <m/>
    <m/>
    <x v="18"/>
    <m/>
    <m/>
    <n v="0"/>
    <m/>
    <m/>
    <n v="0"/>
    <m/>
    <m/>
    <n v="0"/>
    <n v="0"/>
    <n v="0"/>
    <s v=""/>
    <m/>
    <m/>
    <m/>
    <m/>
    <n v="0"/>
    <m/>
    <m/>
    <m/>
    <m/>
    <m/>
    <m/>
    <m/>
    <m/>
    <m/>
    <s v=""/>
    <m/>
    <n v="0"/>
    <m/>
    <e v="#VALUE!"/>
    <x v="93"/>
    <m/>
  </r>
  <r>
    <x v="8"/>
    <d v="2025-09-30T05:02:24"/>
    <s v="DS 5am"/>
    <m/>
    <m/>
    <m/>
    <m/>
    <s v=""/>
    <m/>
    <m/>
    <x v="18"/>
    <m/>
    <m/>
    <n v="0"/>
    <m/>
    <m/>
    <n v="0"/>
    <m/>
    <m/>
    <n v="0"/>
    <n v="0"/>
    <n v="0"/>
    <s v=""/>
    <m/>
    <m/>
    <m/>
    <m/>
    <n v="0"/>
    <m/>
    <m/>
    <m/>
    <m/>
    <m/>
    <m/>
    <m/>
    <m/>
    <m/>
    <s v=""/>
    <m/>
    <n v="0"/>
    <m/>
    <e v="#VALUE!"/>
    <x v="93"/>
    <m/>
  </r>
  <r>
    <x v="8"/>
    <d v="2025-09-30T17:02:24"/>
    <s v="NS 5pm"/>
    <m/>
    <m/>
    <m/>
    <m/>
    <s v=""/>
    <m/>
    <m/>
    <x v="18"/>
    <m/>
    <m/>
    <n v="0"/>
    <m/>
    <m/>
    <n v="0"/>
    <m/>
    <m/>
    <n v="0"/>
    <n v="0"/>
    <n v="0"/>
    <s v=""/>
    <m/>
    <m/>
    <m/>
    <m/>
    <n v="0"/>
    <m/>
    <m/>
    <m/>
    <m/>
    <m/>
    <m/>
    <m/>
    <m/>
    <m/>
    <s v=""/>
    <m/>
    <n v="0"/>
    <m/>
    <e v="#VALUE!"/>
    <x v="93"/>
    <m/>
  </r>
  <r>
    <x v="8"/>
    <d v="2025-10-01T05:02:24"/>
    <s v="DS 5am"/>
    <m/>
    <m/>
    <m/>
    <m/>
    <s v=""/>
    <m/>
    <m/>
    <x v="18"/>
    <m/>
    <m/>
    <n v="0"/>
    <m/>
    <m/>
    <n v="0"/>
    <m/>
    <m/>
    <n v="0"/>
    <n v="0"/>
    <n v="0"/>
    <s v=""/>
    <m/>
    <m/>
    <m/>
    <m/>
    <n v="0"/>
    <m/>
    <m/>
    <m/>
    <m/>
    <m/>
    <m/>
    <m/>
    <m/>
    <m/>
    <s v=""/>
    <m/>
    <n v="0"/>
    <m/>
    <e v="#VALUE!"/>
    <x v="93"/>
    <m/>
  </r>
  <r>
    <x v="8"/>
    <d v="2025-10-01T17:02:24"/>
    <s v="NS 5pm"/>
    <m/>
    <m/>
    <m/>
    <m/>
    <s v=""/>
    <m/>
    <m/>
    <x v="18"/>
    <m/>
    <m/>
    <n v="0"/>
    <m/>
    <m/>
    <n v="0"/>
    <m/>
    <m/>
    <n v="0"/>
    <n v="0"/>
    <n v="0"/>
    <s v=""/>
    <m/>
    <m/>
    <m/>
    <m/>
    <n v="0"/>
    <m/>
    <m/>
    <m/>
    <m/>
    <m/>
    <m/>
    <m/>
    <m/>
    <m/>
    <s v=""/>
    <m/>
    <n v="0"/>
    <m/>
    <e v="#VALUE!"/>
    <x v="93"/>
    <m/>
  </r>
  <r>
    <x v="8"/>
    <d v="2025-10-02T05:02:24"/>
    <s v="DS 5am"/>
    <m/>
    <m/>
    <m/>
    <m/>
    <s v=""/>
    <m/>
    <m/>
    <x v="18"/>
    <m/>
    <m/>
    <n v="0"/>
    <m/>
    <m/>
    <n v="0"/>
    <m/>
    <m/>
    <n v="0"/>
    <n v="0"/>
    <n v="0"/>
    <s v=""/>
    <m/>
    <m/>
    <m/>
    <m/>
    <n v="0"/>
    <m/>
    <m/>
    <m/>
    <m/>
    <m/>
    <m/>
    <m/>
    <m/>
    <m/>
    <s v=""/>
    <m/>
    <n v="0"/>
    <m/>
    <e v="#VALUE!"/>
    <x v="93"/>
    <m/>
  </r>
  <r>
    <x v="8"/>
    <d v="2025-10-02T17:02:24"/>
    <s v="NS 5pm"/>
    <m/>
    <m/>
    <m/>
    <m/>
    <s v=""/>
    <m/>
    <m/>
    <x v="18"/>
    <m/>
    <m/>
    <n v="0"/>
    <m/>
    <m/>
    <n v="0"/>
    <m/>
    <m/>
    <n v="0"/>
    <n v="0"/>
    <n v="0"/>
    <s v=""/>
    <m/>
    <m/>
    <m/>
    <m/>
    <n v="0"/>
    <m/>
    <m/>
    <m/>
    <m/>
    <m/>
    <m/>
    <m/>
    <m/>
    <m/>
    <s v=""/>
    <m/>
    <n v="0"/>
    <m/>
    <e v="#VALUE!"/>
    <x v="93"/>
    <m/>
  </r>
  <r>
    <x v="8"/>
    <d v="2025-10-03T05:02:24"/>
    <s v="DS 5am"/>
    <m/>
    <m/>
    <m/>
    <m/>
    <s v=""/>
    <m/>
    <m/>
    <x v="18"/>
    <m/>
    <m/>
    <n v="0"/>
    <m/>
    <m/>
    <n v="0"/>
    <m/>
    <m/>
    <n v="0"/>
    <n v="0"/>
    <n v="0"/>
    <s v=""/>
    <m/>
    <m/>
    <m/>
    <m/>
    <n v="0"/>
    <m/>
    <m/>
    <m/>
    <m/>
    <m/>
    <m/>
    <m/>
    <m/>
    <m/>
    <s v=""/>
    <m/>
    <n v="0"/>
    <m/>
    <e v="#VALUE!"/>
    <x v="93"/>
    <m/>
  </r>
  <r>
    <x v="8"/>
    <d v="2025-10-03T17:02:24"/>
    <s v="NS 5pm"/>
    <m/>
    <m/>
    <m/>
    <m/>
    <s v=""/>
    <m/>
    <m/>
    <x v="18"/>
    <m/>
    <m/>
    <n v="0"/>
    <m/>
    <m/>
    <n v="0"/>
    <m/>
    <m/>
    <n v="0"/>
    <n v="0"/>
    <n v="0"/>
    <s v=""/>
    <m/>
    <m/>
    <m/>
    <m/>
    <n v="0"/>
    <m/>
    <m/>
    <m/>
    <m/>
    <m/>
    <m/>
    <m/>
    <m/>
    <m/>
    <s v=""/>
    <m/>
    <n v="0"/>
    <m/>
    <e v="#VALUE!"/>
    <x v="93"/>
    <m/>
  </r>
  <r>
    <x v="8"/>
    <d v="2025-10-04T05:02:24"/>
    <s v="DS 5am"/>
    <m/>
    <m/>
    <m/>
    <m/>
    <s v=""/>
    <m/>
    <m/>
    <x v="18"/>
    <m/>
    <m/>
    <n v="0"/>
    <m/>
    <m/>
    <n v="0"/>
    <m/>
    <m/>
    <n v="0"/>
    <n v="0"/>
    <n v="0"/>
    <s v=""/>
    <m/>
    <m/>
    <m/>
    <m/>
    <n v="0"/>
    <m/>
    <m/>
    <m/>
    <m/>
    <m/>
    <m/>
    <m/>
    <m/>
    <m/>
    <s v=""/>
    <m/>
    <n v="0"/>
    <m/>
    <e v="#VALUE!"/>
    <x v="93"/>
    <m/>
  </r>
  <r>
    <x v="8"/>
    <d v="2025-10-04T17:02:24"/>
    <s v="NS 5pm"/>
    <m/>
    <m/>
    <m/>
    <m/>
    <s v=""/>
    <m/>
    <m/>
    <x v="18"/>
    <m/>
    <m/>
    <n v="0"/>
    <m/>
    <m/>
    <n v="0"/>
    <m/>
    <m/>
    <n v="0"/>
    <n v="0"/>
    <n v="0"/>
    <s v=""/>
    <m/>
    <m/>
    <m/>
    <m/>
    <n v="0"/>
    <m/>
    <m/>
    <m/>
    <m/>
    <m/>
    <m/>
    <m/>
    <m/>
    <m/>
    <s v=""/>
    <m/>
    <n v="0"/>
    <m/>
    <e v="#VALUE!"/>
    <x v="93"/>
    <m/>
  </r>
  <r>
    <x v="8"/>
    <d v="2025-10-05T05:02:24"/>
    <s v="DS 5am"/>
    <m/>
    <m/>
    <m/>
    <m/>
    <s v=""/>
    <m/>
    <m/>
    <x v="18"/>
    <m/>
    <m/>
    <n v="0"/>
    <m/>
    <m/>
    <n v="0"/>
    <m/>
    <m/>
    <n v="0"/>
    <n v="0"/>
    <n v="0"/>
    <s v=""/>
    <m/>
    <m/>
    <m/>
    <m/>
    <n v="0"/>
    <m/>
    <m/>
    <m/>
    <m/>
    <m/>
    <m/>
    <m/>
    <m/>
    <m/>
    <s v=""/>
    <m/>
    <n v="0"/>
    <m/>
    <e v="#VALUE!"/>
    <x v="93"/>
    <m/>
  </r>
  <r>
    <x v="8"/>
    <d v="2025-10-05T17:02:24"/>
    <s v="NS 5pm"/>
    <m/>
    <m/>
    <m/>
    <m/>
    <m/>
    <m/>
    <m/>
    <x v="71"/>
    <m/>
    <m/>
    <m/>
    <m/>
    <m/>
    <m/>
    <m/>
    <m/>
    <m/>
    <n v="0"/>
    <n v="0"/>
    <s v=""/>
    <m/>
    <m/>
    <m/>
    <m/>
    <n v="0"/>
    <m/>
    <m/>
    <m/>
    <m/>
    <m/>
    <m/>
    <m/>
    <m/>
    <m/>
    <m/>
    <m/>
    <m/>
    <m/>
    <n v="0"/>
    <x v="94"/>
    <m/>
  </r>
  <r>
    <x v="8"/>
    <d v="2025-10-06T05:02:24"/>
    <s v="DS 5am"/>
    <m/>
    <m/>
    <m/>
    <m/>
    <m/>
    <m/>
    <m/>
    <x v="71"/>
    <m/>
    <m/>
    <m/>
    <m/>
    <m/>
    <m/>
    <m/>
    <m/>
    <m/>
    <n v="0"/>
    <n v="0"/>
    <s v=""/>
    <m/>
    <m/>
    <m/>
    <m/>
    <n v="0"/>
    <m/>
    <m/>
    <m/>
    <m/>
    <m/>
    <m/>
    <m/>
    <m/>
    <m/>
    <m/>
    <m/>
    <m/>
    <m/>
    <n v="0"/>
    <x v="94"/>
    <m/>
  </r>
  <r>
    <x v="8"/>
    <d v="2025-10-06T17:02:24"/>
    <s v="NS 5pm"/>
    <m/>
    <m/>
    <m/>
    <m/>
    <m/>
    <m/>
    <m/>
    <x v="71"/>
    <m/>
    <m/>
    <m/>
    <m/>
    <m/>
    <m/>
    <m/>
    <m/>
    <m/>
    <n v="0"/>
    <n v="0"/>
    <s v=""/>
    <m/>
    <m/>
    <m/>
    <m/>
    <n v="0"/>
    <m/>
    <m/>
    <m/>
    <m/>
    <m/>
    <m/>
    <m/>
    <m/>
    <m/>
    <m/>
    <m/>
    <m/>
    <m/>
    <n v="0"/>
    <x v="94"/>
    <m/>
  </r>
  <r>
    <x v="8"/>
    <d v="2025-10-07T05:02:24"/>
    <s v="DS 5am"/>
    <m/>
    <m/>
    <m/>
    <m/>
    <m/>
    <m/>
    <m/>
    <x v="71"/>
    <m/>
    <m/>
    <m/>
    <m/>
    <m/>
    <m/>
    <m/>
    <m/>
    <m/>
    <n v="0"/>
    <n v="0"/>
    <s v=""/>
    <m/>
    <m/>
    <m/>
    <m/>
    <n v="0"/>
    <m/>
    <m/>
    <m/>
    <m/>
    <m/>
    <m/>
    <m/>
    <m/>
    <m/>
    <m/>
    <m/>
    <m/>
    <m/>
    <n v="0"/>
    <x v="94"/>
    <m/>
  </r>
  <r>
    <x v="8"/>
    <d v="2025-10-07T17:02:24"/>
    <s v="NS 5pm"/>
    <m/>
    <m/>
    <m/>
    <m/>
    <m/>
    <m/>
    <m/>
    <x v="71"/>
    <m/>
    <m/>
    <m/>
    <m/>
    <m/>
    <m/>
    <m/>
    <m/>
    <m/>
    <n v="0"/>
    <n v="0"/>
    <s v=""/>
    <m/>
    <m/>
    <m/>
    <m/>
    <n v="0"/>
    <m/>
    <m/>
    <m/>
    <m/>
    <m/>
    <m/>
    <m/>
    <m/>
    <m/>
    <m/>
    <m/>
    <m/>
    <m/>
    <n v="0"/>
    <x v="94"/>
    <m/>
  </r>
  <r>
    <x v="8"/>
    <d v="2025-10-08T05:02:24"/>
    <s v="DS 5am"/>
    <m/>
    <m/>
    <m/>
    <m/>
    <m/>
    <m/>
    <m/>
    <x v="71"/>
    <m/>
    <m/>
    <m/>
    <m/>
    <m/>
    <m/>
    <m/>
    <m/>
    <m/>
    <n v="0"/>
    <n v="0"/>
    <s v=""/>
    <m/>
    <m/>
    <m/>
    <m/>
    <n v="0"/>
    <m/>
    <m/>
    <m/>
    <m/>
    <m/>
    <m/>
    <m/>
    <m/>
    <m/>
    <m/>
    <m/>
    <m/>
    <m/>
    <n v="0"/>
    <x v="94"/>
    <m/>
  </r>
  <r>
    <x v="8"/>
    <d v="2025-10-08T17:02:24"/>
    <s v="NS 5pm"/>
    <m/>
    <m/>
    <m/>
    <m/>
    <m/>
    <m/>
    <m/>
    <x v="71"/>
    <m/>
    <m/>
    <m/>
    <m/>
    <m/>
    <m/>
    <m/>
    <m/>
    <m/>
    <n v="0"/>
    <n v="0"/>
    <s v=""/>
    <m/>
    <m/>
    <m/>
    <m/>
    <n v="0"/>
    <m/>
    <m/>
    <m/>
    <m/>
    <m/>
    <m/>
    <m/>
    <m/>
    <m/>
    <m/>
    <m/>
    <m/>
    <m/>
    <n v="0"/>
    <x v="94"/>
    <m/>
  </r>
  <r>
    <x v="8"/>
    <d v="2025-10-09T05:02:24"/>
    <s v="DS 5am"/>
    <m/>
    <m/>
    <m/>
    <m/>
    <m/>
    <m/>
    <m/>
    <x v="71"/>
    <m/>
    <m/>
    <m/>
    <m/>
    <m/>
    <m/>
    <m/>
    <m/>
    <m/>
    <n v="0"/>
    <n v="0"/>
    <s v=""/>
    <m/>
    <m/>
    <m/>
    <m/>
    <n v="0"/>
    <m/>
    <m/>
    <m/>
    <m/>
    <m/>
    <m/>
    <m/>
    <m/>
    <m/>
    <m/>
    <m/>
    <m/>
    <m/>
    <n v="0"/>
    <x v="94"/>
    <m/>
  </r>
  <r>
    <x v="8"/>
    <d v="2025-10-09T17:02:24"/>
    <s v="NS 5pm"/>
    <m/>
    <m/>
    <m/>
    <m/>
    <m/>
    <m/>
    <m/>
    <x v="71"/>
    <m/>
    <m/>
    <m/>
    <m/>
    <m/>
    <m/>
    <m/>
    <m/>
    <m/>
    <n v="0"/>
    <n v="0"/>
    <s v=""/>
    <m/>
    <m/>
    <m/>
    <m/>
    <n v="0"/>
    <m/>
    <m/>
    <m/>
    <m/>
    <m/>
    <m/>
    <m/>
    <m/>
    <m/>
    <m/>
    <m/>
    <m/>
    <m/>
    <n v="0"/>
    <x v="94"/>
    <m/>
  </r>
  <r>
    <x v="8"/>
    <d v="2025-10-10T05:02:24"/>
    <s v="DS 5am"/>
    <m/>
    <m/>
    <m/>
    <m/>
    <m/>
    <m/>
    <m/>
    <x v="71"/>
    <m/>
    <m/>
    <m/>
    <m/>
    <m/>
    <m/>
    <m/>
    <m/>
    <m/>
    <n v="0"/>
    <n v="0"/>
    <s v=""/>
    <m/>
    <m/>
    <m/>
    <m/>
    <n v="0"/>
    <m/>
    <m/>
    <m/>
    <m/>
    <m/>
    <m/>
    <m/>
    <m/>
    <m/>
    <m/>
    <m/>
    <m/>
    <m/>
    <n v="0"/>
    <x v="94"/>
    <m/>
  </r>
  <r>
    <x v="8"/>
    <d v="2025-10-10T17:02:24"/>
    <s v="NS 5pm"/>
    <m/>
    <m/>
    <m/>
    <m/>
    <m/>
    <m/>
    <m/>
    <x v="71"/>
    <m/>
    <m/>
    <m/>
    <m/>
    <m/>
    <m/>
    <m/>
    <m/>
    <m/>
    <n v="0"/>
    <n v="0"/>
    <s v=""/>
    <m/>
    <m/>
    <m/>
    <m/>
    <n v="0"/>
    <m/>
    <m/>
    <m/>
    <m/>
    <m/>
    <m/>
    <m/>
    <m/>
    <m/>
    <m/>
    <m/>
    <m/>
    <m/>
    <n v="0"/>
    <x v="94"/>
    <m/>
  </r>
  <r>
    <x v="8"/>
    <d v="2025-10-11T05:02:24"/>
    <s v="DS 5am"/>
    <m/>
    <m/>
    <m/>
    <m/>
    <m/>
    <m/>
    <m/>
    <x v="71"/>
    <m/>
    <m/>
    <m/>
    <m/>
    <m/>
    <m/>
    <m/>
    <m/>
    <m/>
    <n v="0"/>
    <n v="0"/>
    <s v=""/>
    <m/>
    <m/>
    <m/>
    <m/>
    <n v="0"/>
    <m/>
    <m/>
    <m/>
    <m/>
    <m/>
    <m/>
    <m/>
    <m/>
    <m/>
    <m/>
    <m/>
    <m/>
    <m/>
    <n v="0"/>
    <x v="94"/>
    <m/>
  </r>
  <r>
    <x v="8"/>
    <d v="2025-10-11T17:02:24"/>
    <s v="NS 5pm"/>
    <m/>
    <m/>
    <m/>
    <m/>
    <m/>
    <m/>
    <m/>
    <x v="71"/>
    <m/>
    <m/>
    <m/>
    <m/>
    <m/>
    <m/>
    <m/>
    <m/>
    <m/>
    <n v="0"/>
    <n v="0"/>
    <s v=""/>
    <m/>
    <m/>
    <m/>
    <m/>
    <n v="0"/>
    <m/>
    <m/>
    <m/>
    <m/>
    <m/>
    <m/>
    <m/>
    <m/>
    <m/>
    <m/>
    <m/>
    <m/>
    <m/>
    <n v="0"/>
    <x v="94"/>
    <m/>
  </r>
  <r>
    <x v="8"/>
    <d v="2025-10-12T05:02:24"/>
    <s v="DS 5am"/>
    <m/>
    <m/>
    <m/>
    <m/>
    <m/>
    <m/>
    <m/>
    <x v="71"/>
    <m/>
    <m/>
    <m/>
    <m/>
    <m/>
    <m/>
    <m/>
    <m/>
    <m/>
    <n v="0"/>
    <n v="0"/>
    <s v=""/>
    <m/>
    <m/>
    <m/>
    <m/>
    <n v="0"/>
    <m/>
    <m/>
    <m/>
    <m/>
    <m/>
    <m/>
    <m/>
    <m/>
    <m/>
    <m/>
    <m/>
    <m/>
    <m/>
    <n v="0"/>
    <x v="94"/>
    <m/>
  </r>
  <r>
    <x v="8"/>
    <d v="2025-10-12T17:02:24"/>
    <s v="NS 5pm"/>
    <m/>
    <m/>
    <m/>
    <m/>
    <m/>
    <m/>
    <m/>
    <x v="71"/>
    <m/>
    <m/>
    <m/>
    <m/>
    <m/>
    <m/>
    <m/>
    <m/>
    <m/>
    <n v="0"/>
    <n v="0"/>
    <s v=""/>
    <m/>
    <m/>
    <m/>
    <m/>
    <n v="0"/>
    <m/>
    <m/>
    <m/>
    <m/>
    <m/>
    <m/>
    <m/>
    <m/>
    <m/>
    <m/>
    <m/>
    <m/>
    <m/>
    <n v="0"/>
    <x v="94"/>
    <m/>
  </r>
  <r>
    <x v="8"/>
    <d v="2025-10-13T05:02:24"/>
    <s v="DS 5am"/>
    <m/>
    <m/>
    <m/>
    <m/>
    <m/>
    <m/>
    <m/>
    <x v="71"/>
    <m/>
    <m/>
    <m/>
    <m/>
    <m/>
    <m/>
    <m/>
    <m/>
    <m/>
    <n v="0"/>
    <n v="0"/>
    <s v=""/>
    <m/>
    <m/>
    <m/>
    <m/>
    <n v="0"/>
    <m/>
    <m/>
    <m/>
    <m/>
    <m/>
    <m/>
    <m/>
    <m/>
    <m/>
    <m/>
    <m/>
    <m/>
    <m/>
    <n v="0"/>
    <x v="94"/>
    <m/>
  </r>
  <r>
    <x v="8"/>
    <d v="2025-10-13T17:02:24"/>
    <s v="NS 5pm"/>
    <m/>
    <m/>
    <m/>
    <m/>
    <m/>
    <m/>
    <m/>
    <x v="71"/>
    <m/>
    <m/>
    <m/>
    <m/>
    <m/>
    <m/>
    <m/>
    <m/>
    <m/>
    <n v="0"/>
    <n v="0"/>
    <s v=""/>
    <m/>
    <m/>
    <m/>
    <m/>
    <n v="0"/>
    <m/>
    <m/>
    <m/>
    <m/>
    <m/>
    <m/>
    <m/>
    <m/>
    <m/>
    <m/>
    <m/>
    <m/>
    <m/>
    <n v="0"/>
    <x v="94"/>
    <m/>
  </r>
  <r>
    <x v="8"/>
    <d v="2025-10-14T05:02:24"/>
    <s v="DS 5am"/>
    <m/>
    <m/>
    <m/>
    <m/>
    <m/>
    <m/>
    <m/>
    <x v="71"/>
    <m/>
    <m/>
    <m/>
    <m/>
    <m/>
    <m/>
    <m/>
    <m/>
    <m/>
    <n v="0"/>
    <n v="0"/>
    <s v=""/>
    <m/>
    <m/>
    <m/>
    <m/>
    <n v="0"/>
    <m/>
    <m/>
    <m/>
    <m/>
    <m/>
    <m/>
    <m/>
    <m/>
    <m/>
    <m/>
    <m/>
    <m/>
    <m/>
    <n v="0"/>
    <x v="94"/>
    <m/>
  </r>
  <r>
    <x v="8"/>
    <d v="2025-10-14T17:02:24"/>
    <s v="NS 5pm"/>
    <m/>
    <m/>
    <m/>
    <m/>
    <m/>
    <m/>
    <m/>
    <x v="71"/>
    <m/>
    <m/>
    <m/>
    <m/>
    <m/>
    <m/>
    <m/>
    <m/>
    <m/>
    <n v="0"/>
    <n v="0"/>
    <s v=""/>
    <m/>
    <m/>
    <m/>
    <m/>
    <n v="0"/>
    <m/>
    <m/>
    <m/>
    <m/>
    <m/>
    <m/>
    <m/>
    <m/>
    <m/>
    <m/>
    <m/>
    <m/>
    <m/>
    <n v="0"/>
    <x v="94"/>
    <m/>
  </r>
  <r>
    <x v="8"/>
    <d v="2025-10-15T05:02:24"/>
    <s v="DS 5am"/>
    <m/>
    <m/>
    <m/>
    <m/>
    <m/>
    <m/>
    <m/>
    <x v="71"/>
    <m/>
    <m/>
    <m/>
    <m/>
    <m/>
    <m/>
    <m/>
    <m/>
    <m/>
    <n v="0"/>
    <n v="0"/>
    <s v=""/>
    <m/>
    <m/>
    <m/>
    <m/>
    <n v="0"/>
    <m/>
    <m/>
    <m/>
    <m/>
    <m/>
    <m/>
    <m/>
    <m/>
    <m/>
    <m/>
    <m/>
    <m/>
    <m/>
    <n v="0"/>
    <x v="94"/>
    <m/>
  </r>
  <r>
    <x v="8"/>
    <d v="2025-10-15T17:02:24"/>
    <s v="NS 5pm"/>
    <m/>
    <m/>
    <m/>
    <m/>
    <m/>
    <m/>
    <m/>
    <x v="71"/>
    <m/>
    <m/>
    <m/>
    <m/>
    <m/>
    <m/>
    <m/>
    <m/>
    <m/>
    <n v="0"/>
    <n v="0"/>
    <s v=""/>
    <m/>
    <m/>
    <m/>
    <m/>
    <n v="0"/>
    <m/>
    <m/>
    <m/>
    <m/>
    <m/>
    <m/>
    <m/>
    <m/>
    <m/>
    <m/>
    <m/>
    <m/>
    <m/>
    <n v="0"/>
    <x v="94"/>
    <m/>
  </r>
  <r>
    <x v="8"/>
    <d v="2025-10-16T05:02:24"/>
    <s v="DS 5am"/>
    <m/>
    <m/>
    <m/>
    <m/>
    <m/>
    <m/>
    <m/>
    <x v="71"/>
    <m/>
    <m/>
    <m/>
    <m/>
    <m/>
    <m/>
    <m/>
    <m/>
    <m/>
    <n v="0"/>
    <n v="0"/>
    <s v=""/>
    <m/>
    <m/>
    <m/>
    <m/>
    <n v="0"/>
    <m/>
    <m/>
    <m/>
    <m/>
    <m/>
    <m/>
    <m/>
    <m/>
    <m/>
    <m/>
    <m/>
    <m/>
    <m/>
    <n v="0"/>
    <x v="94"/>
    <m/>
  </r>
  <r>
    <x v="8"/>
    <d v="2025-10-16T17:02:24"/>
    <s v="NS 5pm"/>
    <m/>
    <m/>
    <m/>
    <m/>
    <m/>
    <m/>
    <m/>
    <x v="71"/>
    <m/>
    <m/>
    <m/>
    <m/>
    <m/>
    <m/>
    <m/>
    <m/>
    <m/>
    <n v="0"/>
    <n v="0"/>
    <s v=""/>
    <m/>
    <m/>
    <m/>
    <m/>
    <n v="0"/>
    <m/>
    <m/>
    <m/>
    <m/>
    <m/>
    <m/>
    <m/>
    <m/>
    <m/>
    <m/>
    <m/>
    <m/>
    <m/>
    <n v="0"/>
    <x v="94"/>
    <m/>
  </r>
  <r>
    <x v="8"/>
    <d v="2025-10-17T05:02:24"/>
    <s v="DS 5am"/>
    <m/>
    <m/>
    <m/>
    <m/>
    <m/>
    <m/>
    <m/>
    <x v="71"/>
    <m/>
    <m/>
    <m/>
    <m/>
    <m/>
    <m/>
    <m/>
    <m/>
    <m/>
    <n v="0"/>
    <n v="0"/>
    <s v=""/>
    <m/>
    <m/>
    <m/>
    <m/>
    <n v="0"/>
    <m/>
    <m/>
    <m/>
    <m/>
    <m/>
    <m/>
    <m/>
    <m/>
    <m/>
    <m/>
    <m/>
    <m/>
    <m/>
    <n v="0"/>
    <x v="94"/>
    <m/>
  </r>
  <r>
    <x v="8"/>
    <d v="2025-10-17T17:02:24"/>
    <s v="NS 5pm"/>
    <m/>
    <m/>
    <m/>
    <m/>
    <m/>
    <m/>
    <m/>
    <x v="71"/>
    <m/>
    <m/>
    <m/>
    <m/>
    <m/>
    <m/>
    <m/>
    <m/>
    <m/>
    <n v="0"/>
    <n v="0"/>
    <s v=""/>
    <m/>
    <m/>
    <m/>
    <m/>
    <n v="0"/>
    <m/>
    <m/>
    <m/>
    <m/>
    <m/>
    <m/>
    <m/>
    <m/>
    <m/>
    <m/>
    <m/>
    <m/>
    <m/>
    <n v="0"/>
    <x v="94"/>
    <m/>
  </r>
  <r>
    <x v="8"/>
    <d v="2025-10-18T05:02:24"/>
    <s v="DS 5am"/>
    <m/>
    <m/>
    <m/>
    <m/>
    <m/>
    <m/>
    <m/>
    <x v="71"/>
    <m/>
    <m/>
    <m/>
    <m/>
    <m/>
    <m/>
    <m/>
    <m/>
    <m/>
    <n v="0"/>
    <n v="0"/>
    <s v=""/>
    <m/>
    <m/>
    <m/>
    <m/>
    <n v="0"/>
    <m/>
    <m/>
    <m/>
    <m/>
    <m/>
    <m/>
    <m/>
    <m/>
    <m/>
    <m/>
    <m/>
    <m/>
    <m/>
    <n v="0"/>
    <x v="94"/>
    <m/>
  </r>
  <r>
    <x v="8"/>
    <d v="2025-10-18T17:02:24"/>
    <s v="NS 5pm"/>
    <m/>
    <m/>
    <m/>
    <m/>
    <m/>
    <m/>
    <m/>
    <x v="71"/>
    <m/>
    <m/>
    <m/>
    <m/>
    <m/>
    <m/>
    <m/>
    <m/>
    <m/>
    <n v="0"/>
    <n v="0"/>
    <s v=""/>
    <m/>
    <m/>
    <m/>
    <m/>
    <n v="0"/>
    <m/>
    <m/>
    <m/>
    <m/>
    <m/>
    <m/>
    <m/>
    <m/>
    <m/>
    <m/>
    <m/>
    <m/>
    <m/>
    <n v="0"/>
    <x v="94"/>
    <m/>
  </r>
  <r>
    <x v="8"/>
    <d v="2025-10-19T05:02:24"/>
    <s v="DS 5am"/>
    <m/>
    <m/>
    <m/>
    <m/>
    <m/>
    <m/>
    <m/>
    <x v="71"/>
    <m/>
    <m/>
    <m/>
    <m/>
    <m/>
    <m/>
    <m/>
    <m/>
    <m/>
    <n v="0"/>
    <n v="0"/>
    <s v=""/>
    <m/>
    <m/>
    <m/>
    <m/>
    <n v="0"/>
    <m/>
    <m/>
    <m/>
    <m/>
    <m/>
    <m/>
    <m/>
    <m/>
    <m/>
    <m/>
    <m/>
    <m/>
    <m/>
    <n v="0"/>
    <x v="94"/>
    <m/>
  </r>
  <r>
    <x v="8"/>
    <d v="2025-10-19T17:02:24"/>
    <s v="NS 5pm"/>
    <m/>
    <m/>
    <m/>
    <m/>
    <m/>
    <m/>
    <m/>
    <x v="71"/>
    <m/>
    <m/>
    <m/>
    <m/>
    <m/>
    <m/>
    <m/>
    <m/>
    <m/>
    <n v="0"/>
    <n v="0"/>
    <s v=""/>
    <m/>
    <m/>
    <m/>
    <m/>
    <n v="0"/>
    <m/>
    <m/>
    <m/>
    <m/>
    <m/>
    <m/>
    <m/>
    <m/>
    <m/>
    <m/>
    <m/>
    <m/>
    <m/>
    <n v="0"/>
    <x v="94"/>
    <m/>
  </r>
  <r>
    <x v="8"/>
    <d v="2025-10-20T05:02:24"/>
    <s v="DS 5am"/>
    <m/>
    <m/>
    <m/>
    <m/>
    <m/>
    <m/>
    <m/>
    <x v="71"/>
    <m/>
    <m/>
    <m/>
    <m/>
    <m/>
    <m/>
    <m/>
    <m/>
    <m/>
    <n v="0"/>
    <n v="0"/>
    <s v=""/>
    <m/>
    <m/>
    <m/>
    <m/>
    <n v="0"/>
    <m/>
    <m/>
    <m/>
    <m/>
    <m/>
    <m/>
    <m/>
    <m/>
    <m/>
    <m/>
    <m/>
    <m/>
    <m/>
    <n v="0"/>
    <x v="94"/>
    <m/>
  </r>
  <r>
    <x v="8"/>
    <d v="2025-10-20T17:02:24"/>
    <s v="NS 5pm"/>
    <m/>
    <m/>
    <m/>
    <m/>
    <m/>
    <m/>
    <m/>
    <x v="71"/>
    <m/>
    <m/>
    <m/>
    <m/>
    <m/>
    <m/>
    <m/>
    <m/>
    <m/>
    <n v="0"/>
    <n v="0"/>
    <s v=""/>
    <m/>
    <m/>
    <m/>
    <m/>
    <n v="0"/>
    <m/>
    <m/>
    <m/>
    <m/>
    <m/>
    <m/>
    <m/>
    <m/>
    <m/>
    <m/>
    <m/>
    <m/>
    <m/>
    <n v="0"/>
    <x v="94"/>
    <m/>
  </r>
  <r>
    <x v="8"/>
    <d v="2025-10-21T05:02:24"/>
    <s v="DS 5am"/>
    <m/>
    <m/>
    <m/>
    <m/>
    <m/>
    <m/>
    <m/>
    <x v="71"/>
    <m/>
    <m/>
    <m/>
    <m/>
    <m/>
    <m/>
    <m/>
    <m/>
    <m/>
    <n v="0"/>
    <n v="0"/>
    <s v=""/>
    <m/>
    <m/>
    <m/>
    <m/>
    <n v="0"/>
    <m/>
    <m/>
    <m/>
    <m/>
    <m/>
    <m/>
    <m/>
    <m/>
    <m/>
    <m/>
    <m/>
    <m/>
    <m/>
    <n v="0"/>
    <x v="94"/>
    <m/>
  </r>
  <r>
    <x v="8"/>
    <d v="2025-10-21T17:02:24"/>
    <s v="NS 5pm"/>
    <m/>
    <m/>
    <m/>
    <m/>
    <m/>
    <m/>
    <m/>
    <x v="71"/>
    <m/>
    <m/>
    <m/>
    <m/>
    <m/>
    <m/>
    <m/>
    <m/>
    <m/>
    <n v="0"/>
    <n v="0"/>
    <s v=""/>
    <m/>
    <m/>
    <m/>
    <m/>
    <n v="0"/>
    <m/>
    <m/>
    <m/>
    <m/>
    <m/>
    <m/>
    <m/>
    <m/>
    <m/>
    <m/>
    <m/>
    <m/>
    <m/>
    <n v="0"/>
    <x v="94"/>
    <m/>
  </r>
  <r>
    <x v="8"/>
    <d v="2025-10-22T05:02:24"/>
    <s v="DS 5am"/>
    <m/>
    <m/>
    <m/>
    <m/>
    <m/>
    <m/>
    <m/>
    <x v="71"/>
    <m/>
    <m/>
    <m/>
    <m/>
    <m/>
    <m/>
    <m/>
    <m/>
    <m/>
    <n v="0"/>
    <n v="0"/>
    <s v=""/>
    <m/>
    <m/>
    <m/>
    <m/>
    <n v="0"/>
    <m/>
    <m/>
    <m/>
    <m/>
    <m/>
    <m/>
    <m/>
    <m/>
    <m/>
    <m/>
    <m/>
    <m/>
    <m/>
    <n v="0"/>
    <x v="94"/>
    <m/>
  </r>
  <r>
    <x v="8"/>
    <d v="2025-10-22T17:02:24"/>
    <s v="NS 5pm"/>
    <m/>
    <m/>
    <m/>
    <m/>
    <m/>
    <m/>
    <m/>
    <x v="71"/>
    <m/>
    <m/>
    <m/>
    <m/>
    <m/>
    <m/>
    <m/>
    <m/>
    <m/>
    <n v="0"/>
    <n v="0"/>
    <s v=""/>
    <m/>
    <m/>
    <m/>
    <m/>
    <n v="0"/>
    <m/>
    <m/>
    <m/>
    <m/>
    <m/>
    <m/>
    <m/>
    <m/>
    <m/>
    <m/>
    <m/>
    <m/>
    <m/>
    <n v="0"/>
    <x v="94"/>
    <m/>
  </r>
  <r>
    <x v="8"/>
    <d v="2025-10-23T05:02:24"/>
    <s v="DS 5am"/>
    <m/>
    <m/>
    <m/>
    <m/>
    <m/>
    <m/>
    <m/>
    <x v="71"/>
    <m/>
    <m/>
    <m/>
    <m/>
    <m/>
    <m/>
    <m/>
    <m/>
    <m/>
    <n v="0"/>
    <n v="0"/>
    <s v=""/>
    <m/>
    <m/>
    <m/>
    <m/>
    <n v="0"/>
    <m/>
    <m/>
    <m/>
    <m/>
    <m/>
    <m/>
    <m/>
    <m/>
    <m/>
    <m/>
    <m/>
    <m/>
    <m/>
    <n v="0"/>
    <x v="94"/>
    <m/>
  </r>
  <r>
    <x v="8"/>
    <d v="2025-10-23T17:02:24"/>
    <s v="NS 5pm"/>
    <m/>
    <m/>
    <m/>
    <m/>
    <m/>
    <m/>
    <m/>
    <x v="71"/>
    <m/>
    <m/>
    <m/>
    <m/>
    <m/>
    <m/>
    <m/>
    <m/>
    <m/>
    <n v="0"/>
    <n v="0"/>
    <s v=""/>
    <m/>
    <m/>
    <m/>
    <m/>
    <n v="0"/>
    <m/>
    <m/>
    <m/>
    <m/>
    <m/>
    <m/>
    <m/>
    <m/>
    <m/>
    <m/>
    <m/>
    <m/>
    <m/>
    <n v="0"/>
    <x v="94"/>
    <m/>
  </r>
  <r>
    <x v="8"/>
    <d v="2025-10-24T05:02:24"/>
    <s v="DS 5am"/>
    <m/>
    <m/>
    <m/>
    <m/>
    <m/>
    <m/>
    <m/>
    <x v="71"/>
    <m/>
    <m/>
    <m/>
    <m/>
    <m/>
    <m/>
    <m/>
    <m/>
    <m/>
    <n v="0"/>
    <n v="0"/>
    <s v=""/>
    <m/>
    <m/>
    <m/>
    <m/>
    <n v="0"/>
    <m/>
    <m/>
    <m/>
    <m/>
    <m/>
    <m/>
    <m/>
    <m/>
    <m/>
    <m/>
    <m/>
    <m/>
    <m/>
    <n v="0"/>
    <x v="94"/>
    <m/>
  </r>
  <r>
    <x v="8"/>
    <d v="2025-10-24T17:02:24"/>
    <s v="NS 5pm"/>
    <m/>
    <m/>
    <m/>
    <m/>
    <m/>
    <m/>
    <m/>
    <x v="71"/>
    <m/>
    <m/>
    <m/>
    <m/>
    <m/>
    <m/>
    <m/>
    <m/>
    <m/>
    <n v="0"/>
    <n v="0"/>
    <s v=""/>
    <m/>
    <m/>
    <m/>
    <m/>
    <n v="0"/>
    <m/>
    <m/>
    <m/>
    <m/>
    <m/>
    <m/>
    <m/>
    <m/>
    <m/>
    <m/>
    <m/>
    <m/>
    <m/>
    <n v="0"/>
    <x v="94"/>
    <m/>
  </r>
  <r>
    <x v="8"/>
    <d v="2025-10-25T05:02:24"/>
    <s v="DS 5am"/>
    <m/>
    <m/>
    <m/>
    <m/>
    <m/>
    <m/>
    <m/>
    <x v="71"/>
    <m/>
    <m/>
    <m/>
    <m/>
    <m/>
    <m/>
    <m/>
    <m/>
    <m/>
    <n v="0"/>
    <n v="0"/>
    <s v=""/>
    <m/>
    <m/>
    <m/>
    <m/>
    <n v="0"/>
    <m/>
    <m/>
    <m/>
    <m/>
    <m/>
    <m/>
    <m/>
    <m/>
    <m/>
    <m/>
    <m/>
    <m/>
    <m/>
    <n v="0"/>
    <x v="94"/>
    <m/>
  </r>
  <r>
    <x v="8"/>
    <d v="2025-10-25T17:02:24"/>
    <s v="NS 5pm"/>
    <m/>
    <m/>
    <m/>
    <m/>
    <m/>
    <m/>
    <m/>
    <x v="71"/>
    <m/>
    <m/>
    <m/>
    <m/>
    <m/>
    <m/>
    <m/>
    <m/>
    <m/>
    <n v="0"/>
    <n v="0"/>
    <s v=""/>
    <m/>
    <m/>
    <m/>
    <m/>
    <n v="0"/>
    <m/>
    <m/>
    <m/>
    <m/>
    <m/>
    <m/>
    <m/>
    <m/>
    <m/>
    <m/>
    <m/>
    <m/>
    <m/>
    <n v="0"/>
    <x v="94"/>
    <m/>
  </r>
  <r>
    <x v="8"/>
    <d v="2025-10-26T05:02:24"/>
    <s v="DS 5am"/>
    <m/>
    <m/>
    <m/>
    <m/>
    <m/>
    <m/>
    <m/>
    <x v="71"/>
    <m/>
    <m/>
    <m/>
    <m/>
    <m/>
    <m/>
    <m/>
    <m/>
    <m/>
    <n v="0"/>
    <n v="0"/>
    <s v=""/>
    <m/>
    <m/>
    <m/>
    <m/>
    <n v="0"/>
    <m/>
    <m/>
    <m/>
    <m/>
    <m/>
    <m/>
    <m/>
    <m/>
    <m/>
    <m/>
    <m/>
    <m/>
    <m/>
    <n v="0"/>
    <x v="94"/>
    <m/>
  </r>
  <r>
    <x v="8"/>
    <d v="2025-10-26T17:02:24"/>
    <s v="NS 5pm"/>
    <m/>
    <m/>
    <m/>
    <m/>
    <m/>
    <m/>
    <m/>
    <x v="71"/>
    <m/>
    <m/>
    <m/>
    <m/>
    <m/>
    <m/>
    <m/>
    <m/>
    <m/>
    <n v="0"/>
    <n v="0"/>
    <s v=""/>
    <m/>
    <m/>
    <m/>
    <m/>
    <n v="0"/>
    <m/>
    <m/>
    <m/>
    <m/>
    <m/>
    <m/>
    <m/>
    <m/>
    <m/>
    <m/>
    <m/>
    <m/>
    <m/>
    <n v="0"/>
    <x v="94"/>
    <m/>
  </r>
  <r>
    <x v="8"/>
    <d v="2025-10-27T05:02:24"/>
    <s v="DS 5am"/>
    <m/>
    <m/>
    <m/>
    <m/>
    <m/>
    <m/>
    <m/>
    <x v="71"/>
    <m/>
    <m/>
    <m/>
    <m/>
    <m/>
    <m/>
    <m/>
    <m/>
    <m/>
    <n v="0"/>
    <n v="0"/>
    <s v=""/>
    <m/>
    <m/>
    <m/>
    <m/>
    <n v="0"/>
    <m/>
    <m/>
    <m/>
    <m/>
    <m/>
    <m/>
    <m/>
    <m/>
    <m/>
    <m/>
    <m/>
    <m/>
    <m/>
    <n v="0"/>
    <x v="94"/>
    <m/>
  </r>
  <r>
    <x v="8"/>
    <d v="2025-10-27T17:02:24"/>
    <s v="NS 5pm"/>
    <m/>
    <m/>
    <m/>
    <m/>
    <m/>
    <m/>
    <m/>
    <x v="71"/>
    <m/>
    <m/>
    <m/>
    <m/>
    <m/>
    <m/>
    <m/>
    <m/>
    <m/>
    <n v="0"/>
    <n v="0"/>
    <s v=""/>
    <m/>
    <m/>
    <m/>
    <m/>
    <n v="0"/>
    <m/>
    <m/>
    <m/>
    <m/>
    <m/>
    <m/>
    <m/>
    <m/>
    <m/>
    <m/>
    <m/>
    <m/>
    <m/>
    <n v="0"/>
    <x v="94"/>
    <m/>
  </r>
  <r>
    <x v="8"/>
    <d v="2025-10-28T05:02:24"/>
    <s v="DS 5am"/>
    <m/>
    <m/>
    <m/>
    <m/>
    <m/>
    <m/>
    <m/>
    <x v="71"/>
    <m/>
    <m/>
    <m/>
    <m/>
    <m/>
    <m/>
    <m/>
    <m/>
    <m/>
    <n v="0"/>
    <n v="0"/>
    <s v=""/>
    <m/>
    <m/>
    <m/>
    <m/>
    <n v="0"/>
    <m/>
    <m/>
    <m/>
    <m/>
    <m/>
    <m/>
    <m/>
    <m/>
    <m/>
    <m/>
    <m/>
    <m/>
    <m/>
    <n v="0"/>
    <x v="94"/>
    <m/>
  </r>
  <r>
    <x v="8"/>
    <d v="2025-10-28T17:02:24"/>
    <s v="NS 5pm"/>
    <m/>
    <m/>
    <m/>
    <m/>
    <m/>
    <m/>
    <m/>
    <x v="71"/>
    <m/>
    <m/>
    <m/>
    <m/>
    <m/>
    <m/>
    <m/>
    <m/>
    <m/>
    <n v="0"/>
    <n v="0"/>
    <s v=""/>
    <m/>
    <m/>
    <m/>
    <m/>
    <n v="0"/>
    <m/>
    <m/>
    <m/>
    <m/>
    <m/>
    <m/>
    <m/>
    <m/>
    <m/>
    <m/>
    <m/>
    <m/>
    <m/>
    <n v="0"/>
    <x v="94"/>
    <m/>
  </r>
  <r>
    <x v="8"/>
    <d v="2025-10-29T05:02:24"/>
    <s v="DS 5am"/>
    <m/>
    <m/>
    <m/>
    <m/>
    <m/>
    <m/>
    <m/>
    <x v="71"/>
    <m/>
    <m/>
    <m/>
    <m/>
    <m/>
    <m/>
    <m/>
    <m/>
    <m/>
    <n v="0"/>
    <n v="0"/>
    <s v=""/>
    <m/>
    <m/>
    <m/>
    <m/>
    <n v="0"/>
    <m/>
    <m/>
    <m/>
    <m/>
    <m/>
    <m/>
    <m/>
    <m/>
    <m/>
    <m/>
    <m/>
    <m/>
    <m/>
    <n v="0"/>
    <x v="94"/>
    <m/>
  </r>
  <r>
    <x v="8"/>
    <d v="2025-10-29T17:02:24"/>
    <s v="NS 5pm"/>
    <m/>
    <m/>
    <m/>
    <m/>
    <m/>
    <m/>
    <m/>
    <x v="71"/>
    <m/>
    <m/>
    <m/>
    <m/>
    <m/>
    <m/>
    <m/>
    <m/>
    <m/>
    <n v="0"/>
    <n v="0"/>
    <s v=""/>
    <m/>
    <m/>
    <m/>
    <m/>
    <n v="0"/>
    <m/>
    <m/>
    <m/>
    <m/>
    <m/>
    <m/>
    <m/>
    <m/>
    <m/>
    <m/>
    <m/>
    <m/>
    <m/>
    <n v="0"/>
    <x v="94"/>
    <m/>
  </r>
  <r>
    <x v="8"/>
    <d v="2025-10-30T05:02:24"/>
    <s v="DS 5am"/>
    <m/>
    <m/>
    <m/>
    <m/>
    <m/>
    <m/>
    <m/>
    <x v="71"/>
    <m/>
    <m/>
    <m/>
    <m/>
    <m/>
    <m/>
    <m/>
    <m/>
    <m/>
    <n v="0"/>
    <n v="0"/>
    <s v=""/>
    <m/>
    <m/>
    <m/>
    <m/>
    <n v="0"/>
    <m/>
    <m/>
    <m/>
    <m/>
    <m/>
    <m/>
    <m/>
    <m/>
    <m/>
    <m/>
    <m/>
    <m/>
    <m/>
    <n v="0"/>
    <x v="94"/>
    <m/>
  </r>
  <r>
    <x v="8"/>
    <d v="2025-10-30T17:02:24"/>
    <s v="NS 5pm"/>
    <m/>
    <m/>
    <m/>
    <m/>
    <m/>
    <m/>
    <m/>
    <x v="71"/>
    <m/>
    <m/>
    <m/>
    <m/>
    <m/>
    <m/>
    <m/>
    <m/>
    <m/>
    <n v="0"/>
    <n v="0"/>
    <s v=""/>
    <m/>
    <m/>
    <m/>
    <m/>
    <n v="0"/>
    <m/>
    <m/>
    <m/>
    <m/>
    <m/>
    <m/>
    <m/>
    <m/>
    <m/>
    <m/>
    <m/>
    <m/>
    <m/>
    <n v="0"/>
    <x v="94"/>
    <m/>
  </r>
  <r>
    <x v="8"/>
    <s v="END OF SHEET"/>
    <s v="END OF SHEET"/>
    <s v="END OF SHEET"/>
    <s v="END OF SHEET"/>
    <s v="END OF SHEET"/>
    <s v="END OF SHEET"/>
    <s v="END OF SHEET"/>
    <s v="END OF SHEET"/>
    <s v="END OF SHEET"/>
    <x v="72"/>
    <s v="END OF SHEET"/>
    <s v="END OF SHEET"/>
    <s v="END OF SHEET"/>
    <s v="END OF SHEET"/>
    <s v="END OF SHEET"/>
    <s v="END OF SHEET"/>
    <s v="END OF SHEET"/>
    <s v="END OF SHEET"/>
    <s v="END OF SHEET"/>
    <s v=""/>
    <s v=""/>
    <e v="#VALUE!"/>
    <m/>
    <s v="END OF SHEET"/>
    <s v="END OF SHEET"/>
    <s v="END OF SHEET"/>
    <n v="0"/>
    <s v="END OF SHEET"/>
    <s v="END OF SHEET"/>
    <s v="END OF SHEET"/>
    <s v="END OF SHEET"/>
    <s v="END OF SHEET"/>
    <s v="END OF SHEET"/>
    <s v="END OF SHEET"/>
    <s v="END OF SHEET"/>
    <m/>
    <s v="END OF SHEET"/>
    <s v="END OF SHEET"/>
    <s v="END OF SHEET"/>
    <m/>
    <e v="#VALUE!"/>
    <x v="95"/>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8">
  <r>
    <x v="0"/>
    <n v="1"/>
    <n v="2"/>
    <n v="3"/>
    <n v="4"/>
    <n v="5"/>
    <n v="6"/>
    <n v="7"/>
    <n v="8"/>
    <n v="9"/>
    <n v="10"/>
    <n v="11"/>
    <n v="12"/>
    <n v="13"/>
    <n v="14"/>
    <n v="15"/>
    <n v="16"/>
    <n v="17"/>
    <n v="18"/>
    <n v="19"/>
    <n v="20"/>
    <n v="21"/>
    <n v="22"/>
    <m/>
    <n v="23"/>
    <n v="24"/>
    <n v="25"/>
    <m/>
    <m/>
    <m/>
    <m/>
    <m/>
    <m/>
    <n v="26"/>
    <m/>
    <n v="27"/>
    <x v="0"/>
  </r>
  <r>
    <x v="1"/>
    <d v="2025-06-22T00:00:00"/>
    <m/>
    <m/>
    <m/>
    <m/>
    <s v="Tim Leaman"/>
    <m/>
    <m/>
    <m/>
    <m/>
    <m/>
    <m/>
    <m/>
    <m/>
    <m/>
    <m/>
    <n v="0"/>
    <n v="0"/>
    <n v="0"/>
    <n v="0"/>
    <m/>
    <m/>
    <n v="0"/>
    <n v="9.5"/>
    <n v="2"/>
    <m/>
    <n v="0.5"/>
    <m/>
    <m/>
    <n v="12"/>
    <n v="0"/>
    <n v="0"/>
    <n v="6182.5"/>
    <m/>
    <m/>
    <x v="1"/>
  </r>
  <r>
    <x v="1"/>
    <d v="2025-06-23T00:00:00"/>
    <m/>
    <m/>
    <m/>
    <m/>
    <s v="Tim Leaman"/>
    <n v="3"/>
    <n v="390"/>
    <m/>
    <m/>
    <m/>
    <m/>
    <m/>
    <m/>
    <m/>
    <m/>
    <m/>
    <n v="0"/>
    <m/>
    <m/>
    <m/>
    <m/>
    <n v="0"/>
    <n v="7.75"/>
    <m/>
    <m/>
    <n v="4.25"/>
    <m/>
    <m/>
    <n v="12"/>
    <n v="0"/>
    <n v="0"/>
    <n v="4456.25"/>
    <m/>
    <m/>
    <x v="2"/>
  </r>
  <r>
    <x v="1"/>
    <d v="2025-06-24T00:00:00"/>
    <s v="SF25_RCRD055"/>
    <m/>
    <m/>
    <m/>
    <s v="Tim Leaman"/>
    <n v="3"/>
    <n v="390"/>
    <n v="46"/>
    <m/>
    <m/>
    <m/>
    <m/>
    <m/>
    <n v="46"/>
    <n v="1840"/>
    <n v="3.25"/>
    <n v="1868.75"/>
    <n v="2"/>
    <n v="2"/>
    <n v="1"/>
    <n v="1"/>
    <n v="3.25"/>
    <n v="8"/>
    <m/>
    <n v="0.5"/>
    <n v="0.25"/>
    <m/>
    <m/>
    <n v="12"/>
    <n v="595"/>
    <n v="440"/>
    <n v="4780"/>
    <m/>
    <n v="444.97"/>
    <x v="3"/>
  </r>
  <r>
    <x v="1"/>
    <d v="2025-06-25T00:00:00"/>
    <s v="SF25_RCRD055"/>
    <s v="SF25_RCRD056"/>
    <m/>
    <m/>
    <s v="Tim Leaman"/>
    <n v="3"/>
    <n v="390"/>
    <n v="54"/>
    <n v="46"/>
    <m/>
    <m/>
    <m/>
    <m/>
    <n v="100"/>
    <n v="4230"/>
    <n v="6.5"/>
    <n v="4230"/>
    <n v="5"/>
    <n v="5"/>
    <n v="1"/>
    <n v="1"/>
    <n v="6.5"/>
    <n v="2.5"/>
    <n v="0.75"/>
    <m/>
    <n v="2.25"/>
    <m/>
    <m/>
    <n v="12"/>
    <n v="595"/>
    <n v="1100"/>
    <n v="1707.5"/>
    <m/>
    <n v="444.97"/>
    <x v="4"/>
  </r>
  <r>
    <x v="1"/>
    <d v="2025-06-26T00:00:00"/>
    <s v="SF25_RCRD056"/>
    <s v="SF25_RCRD057"/>
    <m/>
    <m/>
    <s v="Tim Leaman"/>
    <n v="3"/>
    <n v="390"/>
    <n v="50"/>
    <n v="62"/>
    <n v="48"/>
    <m/>
    <m/>
    <m/>
    <n v="160"/>
    <n v="7190"/>
    <n v="4.75"/>
    <n v="7190"/>
    <n v="6"/>
    <n v="6"/>
    <n v="1"/>
    <n v="1"/>
    <n v="4.75"/>
    <n v="2.5"/>
    <n v="1.25"/>
    <m/>
    <n v="3.5"/>
    <m/>
    <m/>
    <n v="12"/>
    <n v="595"/>
    <n v="1320"/>
    <n v="1887.5"/>
    <m/>
    <n v="1396.82"/>
    <x v="5"/>
  </r>
  <r>
    <x v="1"/>
    <d v="2025-06-27T00:00:00"/>
    <s v="SF25_RCRD058"/>
    <s v="SF25_RCRD060"/>
    <m/>
    <m/>
    <s v="Tim Leaman"/>
    <n v="3"/>
    <n v="390"/>
    <n v="100"/>
    <n v="58"/>
    <n v="48"/>
    <m/>
    <m/>
    <m/>
    <n v="206"/>
    <n v="9010"/>
    <n v="7"/>
    <n v="9010"/>
    <n v="6"/>
    <n v="6"/>
    <n v="1"/>
    <n v="1"/>
    <n v="7"/>
    <n v="3.5"/>
    <n v="0.25"/>
    <m/>
    <n v="1.25"/>
    <m/>
    <m/>
    <n v="12"/>
    <n v="595"/>
    <n v="1320"/>
    <n v="2102.5"/>
    <m/>
    <n v="798.37"/>
    <x v="6"/>
  </r>
  <r>
    <x v="1"/>
    <d v="2025-06-28T00:00:00"/>
    <s v="SF25_RCRD060"/>
    <s v="SF25_RCRD061"/>
    <s v="SF25_RCRD062"/>
    <m/>
    <s v="Tim Leaman"/>
    <n v="3"/>
    <n v="390"/>
    <n v="138"/>
    <n v="50"/>
    <m/>
    <m/>
    <m/>
    <m/>
    <n v="188"/>
    <n v="7770"/>
    <n v="5.75"/>
    <n v="7770"/>
    <n v="5"/>
    <n v="5"/>
    <n v="1"/>
    <n v="1"/>
    <n v="5.75"/>
    <n v="3.5"/>
    <n v="2"/>
    <m/>
    <n v="0.75"/>
    <m/>
    <m/>
    <n v="12"/>
    <n v="595"/>
    <n v="1100"/>
    <n v="2732.5"/>
    <m/>
    <n v="1125.57"/>
    <x v="7"/>
  </r>
  <r>
    <x v="1"/>
    <d v="2025-06-29T00:00:00"/>
    <s v="SF25_RCRD062"/>
    <s v="SF25_RCRD063"/>
    <s v="SF25_RCRD064"/>
    <m/>
    <s v="Tim Leaman"/>
    <n v="3"/>
    <n v="390"/>
    <n v="106"/>
    <n v="58"/>
    <n v="48"/>
    <m/>
    <m/>
    <m/>
    <n v="212"/>
    <n v="9250"/>
    <n v="7.25"/>
    <n v="9250"/>
    <n v="6"/>
    <n v="6"/>
    <n v="1"/>
    <n v="1"/>
    <n v="7.25"/>
    <n v="2.75"/>
    <n v="1"/>
    <n v="0.25"/>
    <n v="0.75"/>
    <m/>
    <m/>
    <n v="12"/>
    <n v="595"/>
    <n v="1320"/>
    <n v="2031.25"/>
    <n v="59214.69"/>
    <n v="58824.69"/>
    <x v="8"/>
  </r>
  <r>
    <x v="1"/>
    <d v="2025-06-30T00:00:00"/>
    <s v="SF25_RCRD065"/>
    <s v="SF25_RCRD066"/>
    <m/>
    <m/>
    <s v="Tim Leaman"/>
    <n v="3"/>
    <n v="390"/>
    <n v="54"/>
    <n v="100"/>
    <n v="27"/>
    <m/>
    <m/>
    <m/>
    <n v="181"/>
    <n v="8010"/>
    <n v="7.25"/>
    <n v="8010"/>
    <n v="7"/>
    <n v="7"/>
    <n v="1"/>
    <n v="1"/>
    <n v="7.25"/>
    <n v="2.75"/>
    <n v="1.25"/>
    <m/>
    <n v="0.75"/>
    <m/>
    <m/>
    <n v="12"/>
    <n v="595"/>
    <n v="1540"/>
    <n v="2031.25"/>
    <m/>
    <n v="613.67999999999995"/>
    <x v="9"/>
  </r>
  <r>
    <x v="1"/>
    <d v="2025-07-01T00:00:00"/>
    <s v="SF25_RCRD038"/>
    <s v="SF25_RCRD039"/>
    <m/>
    <m/>
    <s v="Tim Leaman"/>
    <n v="4"/>
    <n v="520"/>
    <n v="98"/>
    <n v="50"/>
    <m/>
    <m/>
    <m/>
    <m/>
    <n v="148"/>
    <n v="6170"/>
    <n v="4.5"/>
    <n v="6170"/>
    <n v="2"/>
    <n v="2"/>
    <n v="1"/>
    <n v="1"/>
    <n v="4.5"/>
    <n v="2"/>
    <n v="0.75"/>
    <n v="0"/>
    <n v="4.75"/>
    <m/>
    <m/>
    <n v="12"/>
    <n v="595"/>
    <n v="440"/>
    <n v="1420"/>
    <m/>
    <n v="798.36999999999989"/>
    <x v="10"/>
  </r>
  <r>
    <x v="1"/>
    <d v="2025-07-02T00:00:00"/>
    <s v="SF25_RCRC039"/>
    <s v="SF25_RCRD081"/>
    <s v="SF25_RCRD082"/>
    <m/>
    <s v="Tim Leaman"/>
    <n v="4"/>
    <n v="520"/>
    <n v="100"/>
    <n v="52"/>
    <n v="35"/>
    <m/>
    <m/>
    <m/>
    <n v="187"/>
    <n v="8090"/>
    <n v="6.5"/>
    <n v="8090"/>
    <n v="7"/>
    <n v="7"/>
    <n v="1"/>
    <n v="1"/>
    <n v="6.5"/>
    <n v="3.25"/>
    <n v="1.5"/>
    <m/>
    <n v="0.75"/>
    <m/>
    <m/>
    <n v="12"/>
    <n v="595"/>
    <n v="1540"/>
    <n v="2408.75"/>
    <m/>
    <n v="798.37"/>
    <x v="11"/>
  </r>
  <r>
    <x v="1"/>
    <d v="2025-07-03T00:00:00"/>
    <s v="SF25_RCRD083"/>
    <s v="SF25_RCRD084"/>
    <m/>
    <m/>
    <s v="Tim Leaman"/>
    <n v="4"/>
    <n v="520"/>
    <n v="100"/>
    <n v="58"/>
    <n v="42"/>
    <m/>
    <m/>
    <m/>
    <n v="200"/>
    <n v="8710"/>
    <n v="6"/>
    <n v="8710"/>
    <n v="7"/>
    <n v="7"/>
    <n v="1"/>
    <n v="1"/>
    <n v="6"/>
    <n v="2.75"/>
    <n v="0.75"/>
    <m/>
    <n v="2.5"/>
    <m/>
    <m/>
    <n v="12"/>
    <n v="595"/>
    <n v="1540"/>
    <n v="1851.25"/>
    <m/>
    <n v="798.36999999999989"/>
    <x v="12"/>
  </r>
  <r>
    <x v="1"/>
    <d v="2025-07-04T00:00:00"/>
    <s v="SF25_RCRD084"/>
    <m/>
    <m/>
    <m/>
    <s v="Hugh Reynolds"/>
    <n v="4"/>
    <n v="520"/>
    <m/>
    <n v="42"/>
    <n v="30"/>
    <m/>
    <m/>
    <m/>
    <n v="72"/>
    <n v="3390"/>
    <n v="5"/>
    <n v="3390"/>
    <n v="4"/>
    <n v="4"/>
    <n v="1"/>
    <n v="1"/>
    <n v="5"/>
    <n v="0.25"/>
    <n v="0"/>
    <m/>
    <n v="6.75"/>
    <m/>
    <m/>
    <n v="12"/>
    <n v="595"/>
    <n v="880"/>
    <n v="143.75"/>
    <m/>
    <n v="143.97000000000003"/>
    <x v="13"/>
  </r>
  <r>
    <x v="1"/>
    <d v="2025-07-05T00:00:00"/>
    <s v="SF25_RCRD084"/>
    <s v="SF25_RCRD085"/>
    <m/>
    <m/>
    <s v="Hugh Reynolds"/>
    <n v="3"/>
    <n v="390"/>
    <n v="50"/>
    <n v="14"/>
    <n v="20"/>
    <n v="34"/>
    <m/>
    <m/>
    <n v="118"/>
    <n v="5500"/>
    <n v="5.25"/>
    <n v="5500"/>
    <n v="5"/>
    <n v="5"/>
    <n v="1"/>
    <n v="1"/>
    <n v="5.25"/>
    <n v="4"/>
    <n v="1.5"/>
    <n v="0"/>
    <n v="1.25"/>
    <m/>
    <m/>
    <n v="12"/>
    <n v="595"/>
    <n v="1100"/>
    <n v="2840"/>
    <m/>
    <n v="613.67999999999995"/>
    <x v="14"/>
  </r>
  <r>
    <x v="1"/>
    <d v="2025-07-06T00:00:00"/>
    <s v="SF25_RCRD086"/>
    <s v="SF25_RCRD087"/>
    <m/>
    <m/>
    <s v="Hugh Reynolds"/>
    <n v="3"/>
    <n v="390"/>
    <n v="100"/>
    <n v="100"/>
    <n v="42"/>
    <m/>
    <m/>
    <m/>
    <n v="242"/>
    <n v="10600"/>
    <n v="6.75"/>
    <n v="10600"/>
    <n v="6"/>
    <n v="6"/>
    <n v="1"/>
    <n v="1"/>
    <n v="6.75"/>
    <n v="3.5"/>
    <n v="1"/>
    <m/>
    <n v="0.75"/>
    <m/>
    <m/>
    <n v="12"/>
    <n v="595"/>
    <n v="1320"/>
    <n v="2372.5"/>
    <m/>
    <n v="798.36999999999989"/>
    <x v="15"/>
  </r>
  <r>
    <x v="2"/>
    <d v="2025-07-07T00:00:00"/>
    <s v="SF25_RCRD088"/>
    <m/>
    <m/>
    <m/>
    <s v="Hugh Reynolds"/>
    <n v="3"/>
    <n v="390"/>
    <n v="50"/>
    <n v="50"/>
    <n v="50"/>
    <n v="40"/>
    <m/>
    <m/>
    <n v="190"/>
    <n v="8950"/>
    <n v="6"/>
    <n v="8950"/>
    <n v="5"/>
    <n v="5"/>
    <n v="1"/>
    <n v="1"/>
    <n v="6"/>
    <n v="1.75"/>
    <n v="1.75"/>
    <m/>
    <n v="2.5"/>
    <m/>
    <m/>
    <n v="12"/>
    <n v="595"/>
    <n v="1100"/>
    <n v="1636.25"/>
    <m/>
    <n v="613.67999999999995"/>
    <x v="16"/>
  </r>
  <r>
    <x v="2"/>
    <d v="2025-07-08T00:00:00"/>
    <s v="SF25_RCRD088"/>
    <m/>
    <m/>
    <m/>
    <s v="Hugh Reynolds"/>
    <n v="3"/>
    <n v="390"/>
    <n v="0"/>
    <n v="0"/>
    <n v="0"/>
    <n v="0"/>
    <m/>
    <m/>
    <n v="0"/>
    <n v="0"/>
    <m/>
    <n v="0"/>
    <n v="0"/>
    <n v="0"/>
    <n v="1"/>
    <n v="1"/>
    <n v="0"/>
    <n v="2.5"/>
    <n v="0"/>
    <m/>
    <n v="9.5"/>
    <m/>
    <m/>
    <n v="12"/>
    <n v="595"/>
    <n v="0"/>
    <n v="1437.5"/>
    <m/>
    <n v="0"/>
    <x v="17"/>
  </r>
  <r>
    <x v="2"/>
    <d v="2025-07-09T00:00:00"/>
    <s v="SF25_RCRD088"/>
    <m/>
    <m/>
    <m/>
    <s v="Hugh Reynolds"/>
    <n v="3"/>
    <n v="390"/>
    <n v="0"/>
    <n v="0"/>
    <n v="0"/>
    <n v="0"/>
    <m/>
    <m/>
    <n v="0"/>
    <n v="0"/>
    <m/>
    <n v="0"/>
    <n v="0"/>
    <n v="0"/>
    <n v="1"/>
    <n v="1"/>
    <n v="0"/>
    <n v="0.5"/>
    <n v="0.5"/>
    <m/>
    <n v="11"/>
    <m/>
    <m/>
    <n v="12"/>
    <n v="595"/>
    <n v="0"/>
    <n v="467.5"/>
    <m/>
    <n v="0"/>
    <x v="18"/>
  </r>
  <r>
    <x v="2"/>
    <d v="2025-07-10T00:00:00"/>
    <s v="SF25_RCRD002"/>
    <m/>
    <m/>
    <m/>
    <s v="Hugh Reynolds"/>
    <n v="3"/>
    <n v="390"/>
    <n v="0"/>
    <n v="0"/>
    <n v="0"/>
    <n v="0"/>
    <m/>
    <m/>
    <n v="0"/>
    <n v="0"/>
    <m/>
    <n v="0"/>
    <n v="0"/>
    <n v="0"/>
    <n v="1"/>
    <n v="1"/>
    <n v="0"/>
    <n v="0.5"/>
    <n v="0"/>
    <m/>
    <n v="11.5"/>
    <m/>
    <m/>
    <n v="12"/>
    <n v="595"/>
    <n v="0"/>
    <n v="287.5"/>
    <m/>
    <m/>
    <x v="19"/>
  </r>
  <r>
    <x v="2"/>
    <d v="2025-07-11T00:00:00"/>
    <s v="SF25_RCRD002"/>
    <s v="SF25_RCRD001"/>
    <m/>
    <m/>
    <s v="Hugh Reynolds"/>
    <n v="3"/>
    <n v="390"/>
    <n v="96"/>
    <n v="50"/>
    <n v="6"/>
    <n v="0"/>
    <m/>
    <m/>
    <n v="152"/>
    <n v="6390"/>
    <n v="6.5"/>
    <n v="6390"/>
    <n v="7"/>
    <n v="7"/>
    <n v="1"/>
    <n v="1"/>
    <n v="6.5"/>
    <n v="3.25"/>
    <n v="0.5"/>
    <m/>
    <n v="1.75"/>
    <m/>
    <m/>
    <n v="12"/>
    <n v="595"/>
    <n v="1540"/>
    <n v="2048.75"/>
    <m/>
    <n v="798.37"/>
    <x v="20"/>
  </r>
  <r>
    <x v="2"/>
    <d v="2025-07-12T00:00:00"/>
    <s v="SF25_RCRD001"/>
    <s v="SF25_RCRD005"/>
    <s v="SF25_RCRD004"/>
    <m/>
    <s v="Hugh Reynolds"/>
    <n v="3"/>
    <n v="390"/>
    <n v="90"/>
    <n v="20"/>
    <n v="36"/>
    <m/>
    <m/>
    <m/>
    <n v="146"/>
    <n v="6300"/>
    <n v="5.5"/>
    <n v="6300"/>
    <n v="6"/>
    <n v="6"/>
    <n v="1"/>
    <n v="1"/>
    <n v="5.5"/>
    <n v="4.25"/>
    <n v="1.5"/>
    <m/>
    <n v="0.75"/>
    <m/>
    <m/>
    <n v="12"/>
    <n v="595"/>
    <n v="1320"/>
    <n v="2983.75"/>
    <m/>
    <n v="798.36999999999989"/>
    <x v="21"/>
  </r>
  <r>
    <x v="2"/>
    <d v="2025-07-13T00:00:00"/>
    <s v="SF25_RCRD004"/>
    <s v="SF25_RCRD003"/>
    <m/>
    <m/>
    <s v="Hugh Reynolds"/>
    <n v="3"/>
    <n v="390"/>
    <n v="50"/>
    <n v="74"/>
    <n v="30"/>
    <m/>
    <m/>
    <m/>
    <n v="154"/>
    <n v="6830"/>
    <n v="6"/>
    <n v="6830"/>
    <n v="8"/>
    <n v="8"/>
    <n v="1"/>
    <n v="1"/>
    <n v="6"/>
    <n v="3.5"/>
    <n v="1.75"/>
    <m/>
    <n v="0.75"/>
    <m/>
    <m/>
    <n v="12"/>
    <n v="595"/>
    <n v="1760"/>
    <n v="2642.5"/>
    <m/>
    <n v="471.16999999999996"/>
    <x v="22"/>
  </r>
  <r>
    <x v="2"/>
    <d v="2025-07-14T00:00:00"/>
    <s v="SF25_RCRD006"/>
    <s v="SF25_RCRD007"/>
    <m/>
    <m/>
    <s v="Hugh Reynolds"/>
    <n v="3"/>
    <n v="390"/>
    <n v="96"/>
    <n v="44"/>
    <m/>
    <m/>
    <m/>
    <m/>
    <n v="140"/>
    <n v="5820"/>
    <n v="3.75"/>
    <n v="5820"/>
    <n v="6"/>
    <n v="6"/>
    <n v="1"/>
    <n v="1"/>
    <n v="3.75"/>
    <n v="4.5"/>
    <n v="0.75"/>
    <m/>
    <n v="3"/>
    <m/>
    <m/>
    <n v="12"/>
    <n v="595"/>
    <n v="1320"/>
    <n v="2857.5"/>
    <m/>
    <n v="798.37"/>
    <x v="23"/>
  </r>
  <r>
    <x v="2"/>
    <d v="2025-07-15T00:00:00"/>
    <s v="SF25_RCRD008"/>
    <m/>
    <m/>
    <m/>
    <s v="Hugh Reynolds"/>
    <n v="4"/>
    <n v="520"/>
    <n v="50"/>
    <n v="50"/>
    <n v="24"/>
    <m/>
    <m/>
    <m/>
    <n v="124"/>
    <n v="5450"/>
    <n v="4.5"/>
    <n v="5450"/>
    <n v="6"/>
    <n v="6"/>
    <n v="1"/>
    <n v="1"/>
    <n v="4.5"/>
    <n v="3"/>
    <n v="1"/>
    <m/>
    <n v="3.5"/>
    <m/>
    <m/>
    <n v="12"/>
    <n v="595"/>
    <n v="1320"/>
    <n v="2085"/>
    <m/>
    <n v="6069.4"/>
    <x v="24"/>
  </r>
  <r>
    <x v="2"/>
    <d v="2025-07-16T00:00:00"/>
    <s v="SF25_RCRD009"/>
    <m/>
    <m/>
    <m/>
    <s v="Hugh Reynolds"/>
    <n v="3"/>
    <n v="390"/>
    <n v="46"/>
    <m/>
    <m/>
    <m/>
    <m/>
    <m/>
    <n v="46"/>
    <n v="1840"/>
    <n v="1.25"/>
    <n v="1840"/>
    <n v="0"/>
    <n v="0"/>
    <n v="1"/>
    <n v="1"/>
    <n v="1.25"/>
    <n v="4.25"/>
    <n v="0.25"/>
    <m/>
    <n v="6.25"/>
    <m/>
    <m/>
    <n v="12"/>
    <n v="595"/>
    <n v="0"/>
    <n v="2533.75"/>
    <n v="1017.37"/>
    <n v="627.37"/>
    <x v="25"/>
  </r>
  <r>
    <x v="2"/>
    <d v="2025-07-17T00:00:00"/>
    <s v="SF25_RCRD010"/>
    <s v="SF25_RCRD011"/>
    <m/>
    <m/>
    <s v="Kane Barton"/>
    <n v="3"/>
    <n v="390"/>
    <n v="60"/>
    <n v="50"/>
    <n v="40"/>
    <m/>
    <m/>
    <m/>
    <n v="150"/>
    <n v="6650"/>
    <n v="3.5"/>
    <n v="6650"/>
    <n v="4"/>
    <n v="4"/>
    <n v="1"/>
    <n v="1"/>
    <n v="3.5"/>
    <n v="5.25"/>
    <n v="0.75"/>
    <m/>
    <n v="0.75"/>
    <n v="1.75"/>
    <s v="Planned maintenance"/>
    <n v="12"/>
    <n v="595"/>
    <n v="880"/>
    <n v="3288.75"/>
    <m/>
    <n v="548.30999999999995"/>
    <x v="26"/>
  </r>
  <r>
    <x v="2"/>
    <d v="2025-07-18T00:00:00"/>
    <s v="SF25_RCRD011"/>
    <s v="SF25_RCRD012"/>
    <s v="SF25_RCRD013"/>
    <m/>
    <s v="Kane Barton"/>
    <n v="3"/>
    <n v="390"/>
    <n v="136"/>
    <n v="64"/>
    <m/>
    <m/>
    <m/>
    <m/>
    <n v="200"/>
    <n v="8320"/>
    <n v="5"/>
    <n v="8320"/>
    <n v="5"/>
    <n v="5"/>
    <n v="1"/>
    <n v="1"/>
    <n v="5"/>
    <n v="3.25"/>
    <n v="0.75"/>
    <m/>
    <n v="3"/>
    <m/>
    <m/>
    <n v="12"/>
    <n v="595"/>
    <n v="1100"/>
    <n v="2138.75"/>
    <n v="1685.3"/>
    <n v="1295.3"/>
    <x v="27"/>
  </r>
  <r>
    <x v="2"/>
    <d v="2025-07-19T00:00:00"/>
    <s v="SF25_RCRD013"/>
    <s v="SF25_RCRD014"/>
    <s v="SF25_RCRD015"/>
    <s v="SF25_RCRD016"/>
    <s v="Kane Barton"/>
    <n v="3"/>
    <n v="390"/>
    <n v="106"/>
    <n v="74"/>
    <n v="36"/>
    <m/>
    <m/>
    <m/>
    <n v="216"/>
    <n v="9370"/>
    <n v="4"/>
    <n v="9370"/>
    <n v="5"/>
    <n v="5"/>
    <n v="1"/>
    <n v="1"/>
    <n v="4"/>
    <n v="5.5"/>
    <n v="2"/>
    <m/>
    <n v="0.5"/>
    <m/>
    <m/>
    <n v="12"/>
    <n v="595"/>
    <n v="1100"/>
    <n v="3882.5"/>
    <m/>
    <n v="759.2"/>
    <x v="28"/>
  </r>
  <r>
    <x v="2"/>
    <d v="2025-07-20T00:00:00"/>
    <s v="SF25_RCRD016"/>
    <s v="SF25_RCRD017"/>
    <s v="SF25_RCRD018"/>
    <m/>
    <s v="Kane Barton"/>
    <n v="3"/>
    <n v="390"/>
    <n v="136"/>
    <n v="100"/>
    <n v="48"/>
    <m/>
    <m/>
    <m/>
    <n v="284"/>
    <n v="12340"/>
    <n v="7.25"/>
    <n v="12340"/>
    <n v="8"/>
    <n v="8"/>
    <n v="1"/>
    <n v="1"/>
    <n v="7.25"/>
    <n v="3.25"/>
    <n v="0.75"/>
    <m/>
    <n v="0.75"/>
    <m/>
    <m/>
    <n v="12"/>
    <n v="595"/>
    <n v="1760"/>
    <n v="2138.75"/>
    <n v="1082.28"/>
    <n v="692.28"/>
    <x v="29"/>
  </r>
  <r>
    <x v="2"/>
    <d v="2025-07-21T00:00:00"/>
    <s v="SF25_RCRD018"/>
    <s v="SF25_RCRD019"/>
    <s v="SF25_RCRD020"/>
    <s v="SF25_RCRD021"/>
    <s v="Kane Barton"/>
    <n v="3"/>
    <n v="390"/>
    <n v="146"/>
    <n v="42"/>
    <n v="24"/>
    <m/>
    <m/>
    <m/>
    <n v="212"/>
    <n v="8930"/>
    <n v="5.25"/>
    <n v="8930"/>
    <n v="6"/>
    <n v="6"/>
    <n v="1"/>
    <n v="1"/>
    <n v="5.25"/>
    <n v="4"/>
    <n v="1.25"/>
    <m/>
    <n v="1.5"/>
    <m/>
    <m/>
    <n v="12"/>
    <n v="595"/>
    <n v="1320"/>
    <n v="2750"/>
    <n v="1293.17"/>
    <n v="903.17000000000007"/>
    <x v="30"/>
  </r>
  <r>
    <x v="2"/>
    <d v="2025-07-22T00:00:00"/>
    <s v="SF25_RCRD021"/>
    <s v="SF25_RCRD022"/>
    <s v="SF25_RCRD023"/>
    <m/>
    <s v="Kane Barton"/>
    <n v="4"/>
    <n v="520"/>
    <n v="96"/>
    <n v="70"/>
    <n v="36"/>
    <m/>
    <m/>
    <m/>
    <n v="202"/>
    <n v="8790"/>
    <n v="5.5"/>
    <n v="8790"/>
    <n v="5"/>
    <n v="5"/>
    <n v="1"/>
    <n v="1"/>
    <n v="5.5"/>
    <n v="5"/>
    <n v="1"/>
    <m/>
    <n v="0.5"/>
    <m/>
    <m/>
    <n v="12"/>
    <n v="595"/>
    <n v="1100"/>
    <n v="3235"/>
    <m/>
    <n v="903.17"/>
    <x v="31"/>
  </r>
  <r>
    <x v="2"/>
    <d v="2025-07-23T00:00:00"/>
    <s v="SF25_RCRD023"/>
    <s v="SF25_RCRD024"/>
    <s v="SF25_RCRD025"/>
    <m/>
    <s v="Kane Barton"/>
    <n v="4"/>
    <n v="520"/>
    <n v="72"/>
    <n v="68"/>
    <n v="36"/>
    <m/>
    <m/>
    <m/>
    <n v="176"/>
    <n v="7740"/>
    <n v="4.5"/>
    <n v="7740"/>
    <n v="5"/>
    <n v="5"/>
    <n v="1"/>
    <n v="1"/>
    <n v="4.5"/>
    <n v="3.5"/>
    <n v="1.25"/>
    <m/>
    <n v="2.75"/>
    <m/>
    <m/>
    <n v="12"/>
    <n v="595"/>
    <n v="1100"/>
    <n v="2462.5"/>
    <m/>
    <n v="850.77"/>
    <x v="32"/>
  </r>
  <r>
    <x v="2"/>
    <d v="2025-07-24T00:00:00"/>
    <s v="SF25_RCRD025"/>
    <m/>
    <m/>
    <m/>
    <s v="Kane Barton"/>
    <n v="4"/>
    <n v="520"/>
    <m/>
    <m/>
    <m/>
    <m/>
    <m/>
    <m/>
    <n v="0"/>
    <n v="0"/>
    <n v="0"/>
    <n v="0"/>
    <n v="0"/>
    <n v="0"/>
    <n v="0"/>
    <n v="0"/>
    <n v="0"/>
    <n v="0"/>
    <n v="0"/>
    <m/>
    <n v="12"/>
    <m/>
    <m/>
    <n v="12"/>
    <n v="0"/>
    <n v="0"/>
    <n v="0"/>
    <m/>
    <n v="182.12"/>
    <x v="33"/>
  </r>
  <r>
    <x v="2"/>
    <d v="2025-07-25T00:00:00"/>
    <s v="SF25_RCRD025"/>
    <m/>
    <m/>
    <m/>
    <s v="Kane Barton"/>
    <n v="4"/>
    <n v="520"/>
    <m/>
    <m/>
    <m/>
    <m/>
    <m/>
    <m/>
    <n v="0"/>
    <n v="0"/>
    <n v="0"/>
    <n v="0"/>
    <n v="0"/>
    <n v="0"/>
    <n v="0"/>
    <n v="0"/>
    <n v="0"/>
    <n v="0"/>
    <n v="0"/>
    <m/>
    <n v="12"/>
    <m/>
    <m/>
    <n v="12"/>
    <n v="0"/>
    <n v="0"/>
    <n v="0"/>
    <m/>
    <n v="0"/>
    <x v="34"/>
  </r>
  <r>
    <x v="2"/>
    <d v="2025-07-26T00:00:00"/>
    <s v="SF25_RCRD025"/>
    <s v="SF25_RCRD026"/>
    <s v="SF25_RCRD115"/>
    <m/>
    <s v="Kane Barton"/>
    <n v="4"/>
    <n v="520"/>
    <n v="108"/>
    <n v="50"/>
    <n v="36"/>
    <m/>
    <m/>
    <m/>
    <n v="194"/>
    <n v="8370"/>
    <n v="4.75"/>
    <n v="8370"/>
    <n v="4.25"/>
    <n v="4.25"/>
    <n v="1"/>
    <n v="1"/>
    <n v="4.75"/>
    <n v="6"/>
    <n v="0.75"/>
    <m/>
    <n v="0.5"/>
    <m/>
    <m/>
    <n v="12"/>
    <n v="595"/>
    <n v="935"/>
    <n v="3720"/>
    <m/>
    <n v="1045.68"/>
    <x v="35"/>
  </r>
  <r>
    <x v="1"/>
    <d v="2025-07-27T00:00:00"/>
    <s v="SF25_RCRD115"/>
    <s v="SF25_RCRD162"/>
    <m/>
    <m/>
    <s v="Kane Barton"/>
    <n v="4"/>
    <n v="520"/>
    <n v="82"/>
    <n v="100"/>
    <n v="50"/>
    <n v="10"/>
    <m/>
    <m/>
    <n v="242"/>
    <n v="10830"/>
    <n v="7.25"/>
    <n v="10830"/>
    <n v="7"/>
    <n v="7"/>
    <n v="1"/>
    <n v="1"/>
    <n v="7.25"/>
    <n v="2.5"/>
    <n v="0.75"/>
    <m/>
    <n v="1.5"/>
    <m/>
    <m/>
    <n v="12"/>
    <n v="595"/>
    <n v="1540"/>
    <n v="1707.5"/>
    <m/>
    <n v="549.77"/>
    <x v="36"/>
  </r>
  <r>
    <x v="1"/>
    <d v="2025-07-28T00:00:00"/>
    <s v="SF25_RCRD0162"/>
    <s v="SF25_RCRD158"/>
    <m/>
    <m/>
    <s v="Kane Barton"/>
    <n v="4"/>
    <n v="520"/>
    <n v="50"/>
    <n v="50"/>
    <n v="98"/>
    <n v="22"/>
    <m/>
    <m/>
    <n v="220"/>
    <n v="10360"/>
    <n v="6.25"/>
    <n v="10360"/>
    <n v="7"/>
    <n v="7"/>
    <n v="1"/>
    <n v="1"/>
    <n v="6.25"/>
    <n v="4"/>
    <n v="1.25"/>
    <m/>
    <n v="0.5"/>
    <m/>
    <m/>
    <n v="12"/>
    <n v="595"/>
    <n v="1540"/>
    <n v="2750"/>
    <n v="1643.28"/>
    <n v="1123.28"/>
    <x v="37"/>
  </r>
  <r>
    <x v="1"/>
    <d v="2025-07-29T00:00:00"/>
    <s v="SF25_RCRD158"/>
    <s v="SF25_RCRD160"/>
    <m/>
    <m/>
    <s v="Kane Barton"/>
    <n v="4"/>
    <n v="520"/>
    <n v="50"/>
    <n v="50"/>
    <n v="26"/>
    <n v="10"/>
    <m/>
    <m/>
    <n v="136"/>
    <n v="6100"/>
    <n v="4"/>
    <n v="6100"/>
    <n v="4"/>
    <n v="4"/>
    <n v="1"/>
    <n v="1"/>
    <n v="4"/>
    <n v="6.75"/>
    <n v="0.75"/>
    <m/>
    <n v="0.5"/>
    <m/>
    <m/>
    <n v="12"/>
    <n v="595"/>
    <n v="880"/>
    <n v="4151.25"/>
    <n v="1643.28"/>
    <n v="1123.28"/>
    <x v="38"/>
  </r>
  <r>
    <x v="1"/>
    <d v="2025-07-30T00:00:00"/>
    <s v="SF25_RCRD160"/>
    <s v="SF25_RCRD0149"/>
    <m/>
    <m/>
    <s v="Kane Barton"/>
    <n v="4"/>
    <n v="520"/>
    <n v="34"/>
    <m/>
    <n v="12"/>
    <m/>
    <m/>
    <m/>
    <n v="46"/>
    <n v="1960"/>
    <n v="1.75"/>
    <n v="1960"/>
    <n v="2"/>
    <n v="2"/>
    <n v="1"/>
    <n v="1"/>
    <n v="1.75"/>
    <n v="9"/>
    <n v="0.75"/>
    <m/>
    <n v="0.5"/>
    <m/>
    <m/>
    <n v="12"/>
    <n v="595"/>
    <n v="440"/>
    <n v="5445"/>
    <n v="1029.8800000000001"/>
    <n v="509.88000000000011"/>
    <x v="39"/>
  </r>
  <r>
    <x v="1"/>
    <d v="2025-07-31T00:00:00"/>
    <s v="SF25_RCRD0149"/>
    <s v="SF25_RCRD0145"/>
    <m/>
    <m/>
    <s v="Hugh Reynolds"/>
    <n v="3"/>
    <n v="390"/>
    <n v="66"/>
    <n v="52"/>
    <n v="50"/>
    <n v="22"/>
    <m/>
    <m/>
    <n v="190"/>
    <n v="8690"/>
    <n v="6.75"/>
    <n v="8690"/>
    <n v="6"/>
    <n v="6"/>
    <n v="1"/>
    <n v="1"/>
    <n v="6.75"/>
    <n v="4.25"/>
    <n v="0.5"/>
    <m/>
    <n v="0.5"/>
    <m/>
    <m/>
    <n v="12"/>
    <n v="595"/>
    <n v="1320"/>
    <n v="2623.75"/>
    <n v="24048.14"/>
    <n v="23658.14"/>
    <x v="40"/>
  </r>
  <r>
    <x v="1"/>
    <d v="2025-08-01T00:00:00"/>
    <s v="SF25_RCRD0145"/>
    <s v="SF25_RCRD0133"/>
    <m/>
    <m/>
    <s v="Hugh Reynolds"/>
    <n v="3"/>
    <n v="390"/>
    <n v="50"/>
    <n v="98"/>
    <n v="56"/>
    <n v="10"/>
    <m/>
    <m/>
    <n v="214"/>
    <n v="9760"/>
    <n v="7.5"/>
    <n v="9760"/>
    <n v="7"/>
    <n v="7"/>
    <n v="1"/>
    <n v="1"/>
    <n v="7.5"/>
    <n v="3.25"/>
    <n v="0.75"/>
    <m/>
    <n v="0.5"/>
    <m/>
    <m/>
    <n v="12"/>
    <n v="595"/>
    <n v="1540"/>
    <n v="2138.75"/>
    <n v="887.37"/>
    <n v="497.37"/>
    <x v="41"/>
  </r>
  <r>
    <x v="1"/>
    <d v="2025-08-02T00:00:00"/>
    <s v="SF25_RCRD0133"/>
    <s v="SF25_RCRD0136"/>
    <m/>
    <m/>
    <s v="Hugh Reynolds"/>
    <n v="3"/>
    <n v="390"/>
    <n v="50"/>
    <n v="50"/>
    <n v="44"/>
    <n v="40"/>
    <m/>
    <m/>
    <n v="184"/>
    <n v="8650"/>
    <n v="6"/>
    <n v="8650"/>
    <n v="6"/>
    <n v="6"/>
    <n v="1"/>
    <n v="1"/>
    <n v="6"/>
    <n v="3.5"/>
    <n v="1"/>
    <m/>
    <n v="0.5"/>
    <n v="1"/>
    <m/>
    <n v="12"/>
    <n v="595"/>
    <n v="1320"/>
    <n v="2372.5"/>
    <n v="1029.8800000000001"/>
    <n v="639.88000000000011"/>
    <x v="42"/>
  </r>
  <r>
    <x v="1"/>
    <d v="2025-08-03T00:00:00"/>
    <s v="SF25_RCRD0136"/>
    <m/>
    <m/>
    <m/>
    <s v="Hugh Reynolds"/>
    <n v="3"/>
    <n v="390"/>
    <n v="0"/>
    <n v="0"/>
    <n v="50"/>
    <n v="46"/>
    <m/>
    <m/>
    <n v="96"/>
    <n v="5030"/>
    <n v="6.25"/>
    <n v="5030"/>
    <n v="7"/>
    <n v="7"/>
    <n v="1"/>
    <n v="1"/>
    <n v="6.25"/>
    <n v="4.5"/>
    <n v="0.25"/>
    <m/>
    <n v="0.5"/>
    <n v="0.5"/>
    <s v="Repair blown sample hosee"/>
    <n v="12"/>
    <n v="595"/>
    <n v="1540"/>
    <n v="2677.5"/>
    <n v="728.88"/>
    <n v="338.88"/>
    <x v="43"/>
  </r>
  <r>
    <x v="1"/>
    <d v="2025-08-04T00:00:00"/>
    <s v="SF25_RCRD0136"/>
    <s v="SF25_RCRD140"/>
    <m/>
    <m/>
    <s v="Hugh Reynolds"/>
    <n v="3"/>
    <n v="390"/>
    <n v="50"/>
    <n v="50"/>
    <n v="50"/>
    <n v="44"/>
    <m/>
    <m/>
    <n v="194"/>
    <n v="9170"/>
    <n v="6"/>
    <n v="9170"/>
    <n v="7"/>
    <n v="7"/>
    <n v="1"/>
    <n v="1"/>
    <n v="6"/>
    <n v="3.75"/>
    <n v="1"/>
    <m/>
    <n v="1.25"/>
    <m/>
    <m/>
    <n v="12"/>
    <n v="595"/>
    <n v="1540"/>
    <n v="2516.25"/>
    <n v="1029.8800000000001"/>
    <n v="639.88000000000011"/>
    <x v="44"/>
  </r>
  <r>
    <x v="1"/>
    <d v="2025-08-05T00:00:00"/>
    <s v="SF25_RCRD0143"/>
    <m/>
    <m/>
    <m/>
    <s v="Hugh Reynolds"/>
    <n v="5"/>
    <n v="650"/>
    <n v="50"/>
    <n v="50"/>
    <n v="50"/>
    <n v="30"/>
    <m/>
    <m/>
    <n v="180"/>
    <n v="8400"/>
    <n v="5"/>
    <n v="8400"/>
    <n v="6"/>
    <n v="6"/>
    <n v="1"/>
    <n v="1"/>
    <n v="5"/>
    <n v="3"/>
    <n v="2"/>
    <m/>
    <n v="2"/>
    <m/>
    <m/>
    <n v="12"/>
    <n v="595"/>
    <n v="1320"/>
    <n v="2445"/>
    <n v="1289.8800000000001"/>
    <n v="639.88000000000011"/>
    <x v="45"/>
  </r>
  <r>
    <x v="1"/>
    <d v="2025-08-06T00:00:00"/>
    <s v="SF25_RCRD0146"/>
    <m/>
    <m/>
    <m/>
    <s v="Kane Barton"/>
    <n v="3"/>
    <n v="390"/>
    <n v="50"/>
    <n v="50"/>
    <n v="50"/>
    <n v="50"/>
    <n v="2"/>
    <m/>
    <n v="202"/>
    <n v="9620"/>
    <n v="5.5"/>
    <n v="9620"/>
    <n v="6"/>
    <n v="6"/>
    <n v="1"/>
    <n v="1"/>
    <n v="5.5"/>
    <n v="4.25"/>
    <n v="0.75"/>
    <m/>
    <n v="0.5"/>
    <n v="1"/>
    <s v="Cyclone removed to replace worn bolts"/>
    <n v="12"/>
    <n v="595"/>
    <n v="1320"/>
    <n v="2713.75"/>
    <n v="1029.8800000000001"/>
    <n v="639.88000000000011"/>
    <x v="46"/>
  </r>
  <r>
    <x v="1"/>
    <d v="2025-08-07T00:00:00"/>
    <s v="SF25_RCRD0131"/>
    <m/>
    <m/>
    <m/>
    <s v="Kane Barton"/>
    <n v="4"/>
    <n v="520"/>
    <n v="50"/>
    <n v="2"/>
    <m/>
    <m/>
    <m/>
    <m/>
    <n v="52"/>
    <n v="2090"/>
    <n v="1"/>
    <n v="2090"/>
    <n v="1"/>
    <n v="1"/>
    <n v="1"/>
    <n v="1"/>
    <n v="1"/>
    <n v="1.5"/>
    <n v="0"/>
    <n v="0"/>
    <n v="0.5"/>
    <n v="9"/>
    <s v="Replace all cyclone rotation bolts and attach cyclone. Await parts until 11:30am"/>
    <n v="12"/>
    <n v="595"/>
    <n v="220"/>
    <n v="862.5"/>
    <n v="1121.56"/>
    <n v="601.55999999999995"/>
    <x v="47"/>
  </r>
  <r>
    <x v="1"/>
    <d v="2025-08-08T00:00:00"/>
    <s v="SF25_RCRD0131"/>
    <s v="SF25_RCRD127"/>
    <m/>
    <m/>
    <s v="Kane Barton"/>
    <n v="4"/>
    <n v="520"/>
    <n v="50"/>
    <n v="98"/>
    <n v="78"/>
    <m/>
    <m/>
    <m/>
    <n v="226"/>
    <n v="10310"/>
    <n v="6.5"/>
    <n v="10310"/>
    <n v="6"/>
    <n v="6"/>
    <n v="1"/>
    <n v="1"/>
    <n v="6.5"/>
    <n v="4.25"/>
    <n v="0.75"/>
    <n v="0"/>
    <n v="0.5"/>
    <m/>
    <s v="Bit change and break down hammer due to abrasive ground conditions"/>
    <n v="12"/>
    <n v="595"/>
    <n v="1320"/>
    <n v="2713.75"/>
    <n v="1121.56"/>
    <n v="601.55999999999995"/>
    <x v="48"/>
  </r>
  <r>
    <x v="1"/>
    <d v="2025-08-09T00:00:00"/>
    <s v="SF25_RCRD127"/>
    <s v="SF25_RCRD123"/>
    <s v="SF25_RCRD120"/>
    <m/>
    <s v="Kane Barton"/>
    <n v="4"/>
    <n v="520"/>
    <n v="60"/>
    <n v="50"/>
    <n v="64"/>
    <n v="68"/>
    <m/>
    <m/>
    <n v="242"/>
    <n v="11590"/>
    <n v="5.75"/>
    <n v="11590"/>
    <n v="5"/>
    <n v="5"/>
    <n v="1"/>
    <n v="1"/>
    <n v="5.75"/>
    <n v="4.25"/>
    <n v="1.5"/>
    <n v="0"/>
    <n v="0.5"/>
    <m/>
    <m/>
    <n v="12"/>
    <n v="595"/>
    <n v="1100"/>
    <n v="2983.75"/>
    <n v="1370.77"/>
    <n v="850.77"/>
    <x v="49"/>
  </r>
  <r>
    <x v="1"/>
    <d v="2025-08-10T00:00:00"/>
    <s v="SF25_RCRD120"/>
    <s v="SF25_RCRD054"/>
    <m/>
    <m/>
    <s v="Kane Barton"/>
    <n v="4"/>
    <n v="520"/>
    <n v="90"/>
    <n v="100"/>
    <n v="86"/>
    <n v="22"/>
    <m/>
    <m/>
    <n v="298"/>
    <n v="13610"/>
    <n v="7.25"/>
    <n v="13610"/>
    <n v="7"/>
    <n v="7"/>
    <n v="1"/>
    <n v="1"/>
    <n v="7.25"/>
    <n v="3.5"/>
    <n v="0.75"/>
    <m/>
    <n v="0.5"/>
    <m/>
    <m/>
    <n v="12"/>
    <n v="595"/>
    <n v="1540"/>
    <n v="2282.5"/>
    <n v="1069.77"/>
    <n v="549.77"/>
    <x v="50"/>
  </r>
  <r>
    <x v="1"/>
    <d v="2025-08-11T00:00:00"/>
    <s v="SF25_RCRD054"/>
    <s v="SF25_RCRD055"/>
    <s v="SF25_RCRD056"/>
    <m/>
    <s v="Kane Barton"/>
    <n v="3"/>
    <n v="390"/>
    <n v="100"/>
    <n v="52"/>
    <n v="32"/>
    <n v="40"/>
    <m/>
    <m/>
    <n v="224"/>
    <n v="10140"/>
    <n v="4.25"/>
    <n v="10140"/>
    <n v="4"/>
    <n v="4"/>
    <n v="1"/>
    <n v="1"/>
    <n v="4.25"/>
    <n v="3.25"/>
    <n v="4"/>
    <m/>
    <n v="0.5"/>
    <m/>
    <s v="Travel Half way to Doon Doon to assist offsider with tyre change."/>
    <n v="12"/>
    <n v="595"/>
    <n v="880"/>
    <n v="3308.75"/>
    <n v="549.77"/>
    <n v="159.76999999999998"/>
    <x v="51"/>
  </r>
  <r>
    <x v="3"/>
    <d v="2025-08-12T00:00:00"/>
    <s v="SF25_RCRD058"/>
    <s v="SF25_RCRD300"/>
    <m/>
    <m/>
    <s v="Kane Barton"/>
    <n v="3"/>
    <n v="390"/>
    <n v="100"/>
    <n v="94"/>
    <n v="50"/>
    <n v="50"/>
    <n v="8"/>
    <m/>
    <n v="302"/>
    <n v="13960"/>
    <n v="6"/>
    <n v="13960"/>
    <n v="6"/>
    <n v="6"/>
    <n v="1"/>
    <n v="1"/>
    <n v="6"/>
    <n v="3.75"/>
    <n v="1.75"/>
    <m/>
    <n v="0.5"/>
    <m/>
    <m/>
    <n v="12"/>
    <n v="595"/>
    <n v="1320"/>
    <n v="2786.25"/>
    <n v="539.77"/>
    <n v="149.76999999999998"/>
    <x v="52"/>
  </r>
  <r>
    <x v="3"/>
    <d v="2025-08-13T00:00:00"/>
    <m/>
    <m/>
    <m/>
    <m/>
    <m/>
    <m/>
    <n v="0"/>
    <m/>
    <m/>
    <m/>
    <m/>
    <m/>
    <m/>
    <n v="0"/>
    <n v="0"/>
    <n v="0"/>
    <n v="0"/>
    <m/>
    <m/>
    <m/>
    <m/>
    <n v="0"/>
    <m/>
    <m/>
    <m/>
    <m/>
    <m/>
    <m/>
    <n v="0"/>
    <n v="0"/>
    <n v="0"/>
    <m/>
    <m/>
    <n v="0"/>
    <x v="53"/>
  </r>
  <r>
    <x v="3"/>
    <d v="2025-08-14T00:00:00"/>
    <m/>
    <m/>
    <m/>
    <m/>
    <m/>
    <m/>
    <n v="0"/>
    <m/>
    <m/>
    <m/>
    <m/>
    <m/>
    <m/>
    <n v="0"/>
    <n v="0"/>
    <n v="0"/>
    <n v="0"/>
    <m/>
    <m/>
    <m/>
    <m/>
    <n v="0"/>
    <m/>
    <m/>
    <m/>
    <m/>
    <m/>
    <m/>
    <n v="0"/>
    <n v="0"/>
    <n v="0"/>
    <m/>
    <m/>
    <n v="0"/>
    <x v="54"/>
  </r>
  <r>
    <x v="3"/>
    <d v="2025-08-15T00:00:00"/>
    <m/>
    <m/>
    <m/>
    <m/>
    <m/>
    <m/>
    <m/>
    <m/>
    <m/>
    <m/>
    <m/>
    <m/>
    <m/>
    <n v="0"/>
    <n v="0"/>
    <n v="0"/>
    <n v="0"/>
    <m/>
    <m/>
    <m/>
    <m/>
    <n v="0"/>
    <m/>
    <m/>
    <m/>
    <m/>
    <m/>
    <m/>
    <n v="0"/>
    <n v="0"/>
    <n v="0"/>
    <m/>
    <m/>
    <n v="0"/>
    <x v="54"/>
  </r>
  <r>
    <x v="3"/>
    <d v="2025-08-16T00:00:00"/>
    <m/>
    <m/>
    <m/>
    <m/>
    <m/>
    <m/>
    <m/>
    <m/>
    <m/>
    <m/>
    <m/>
    <m/>
    <m/>
    <n v="0"/>
    <n v="0"/>
    <n v="0"/>
    <n v="0"/>
    <m/>
    <m/>
    <m/>
    <m/>
    <n v="0"/>
    <m/>
    <m/>
    <m/>
    <m/>
    <m/>
    <m/>
    <n v="0"/>
    <n v="0"/>
    <n v="0"/>
    <m/>
    <m/>
    <n v="0"/>
    <x v="54"/>
  </r>
  <r>
    <x v="3"/>
    <d v="2025-08-17T00:00:00"/>
    <m/>
    <m/>
    <m/>
    <m/>
    <m/>
    <m/>
    <m/>
    <m/>
    <m/>
    <m/>
    <m/>
    <m/>
    <m/>
    <n v="0"/>
    <n v="0"/>
    <n v="0"/>
    <n v="0"/>
    <m/>
    <m/>
    <m/>
    <m/>
    <n v="0"/>
    <m/>
    <m/>
    <m/>
    <m/>
    <m/>
    <m/>
    <n v="0"/>
    <n v="0"/>
    <n v="0"/>
    <m/>
    <m/>
    <n v="0"/>
    <x v="54"/>
  </r>
  <r>
    <x v="3"/>
    <d v="2025-08-18T00:00:00"/>
    <m/>
    <m/>
    <m/>
    <m/>
    <m/>
    <m/>
    <m/>
    <m/>
    <m/>
    <m/>
    <m/>
    <m/>
    <m/>
    <n v="0"/>
    <n v="0"/>
    <n v="0"/>
    <n v="0"/>
    <m/>
    <m/>
    <m/>
    <m/>
    <n v="0"/>
    <m/>
    <m/>
    <m/>
    <m/>
    <m/>
    <m/>
    <n v="0"/>
    <n v="0"/>
    <n v="0"/>
    <m/>
    <m/>
    <n v="0"/>
    <x v="54"/>
  </r>
  <r>
    <x v="3"/>
    <d v="2025-08-19T00:00:00"/>
    <m/>
    <m/>
    <m/>
    <m/>
    <m/>
    <m/>
    <m/>
    <m/>
    <m/>
    <m/>
    <m/>
    <m/>
    <m/>
    <n v="0"/>
    <n v="0"/>
    <n v="0"/>
    <n v="0"/>
    <m/>
    <m/>
    <m/>
    <m/>
    <n v="0"/>
    <m/>
    <m/>
    <m/>
    <m/>
    <m/>
    <m/>
    <n v="0"/>
    <n v="0"/>
    <n v="0"/>
    <m/>
    <m/>
    <n v="0"/>
    <x v="54"/>
  </r>
  <r>
    <x v="3"/>
    <d v="2025-08-20T00:00:00"/>
    <m/>
    <m/>
    <m/>
    <m/>
    <m/>
    <m/>
    <m/>
    <m/>
    <m/>
    <m/>
    <m/>
    <m/>
    <m/>
    <n v="0"/>
    <n v="0"/>
    <n v="0"/>
    <n v="0"/>
    <m/>
    <m/>
    <m/>
    <m/>
    <n v="0"/>
    <m/>
    <m/>
    <m/>
    <m/>
    <m/>
    <m/>
    <n v="0"/>
    <n v="0"/>
    <n v="0"/>
    <m/>
    <m/>
    <n v="0"/>
    <x v="54"/>
  </r>
  <r>
    <x v="3"/>
    <d v="2025-08-21T00:00:00"/>
    <m/>
    <m/>
    <m/>
    <m/>
    <m/>
    <m/>
    <m/>
    <m/>
    <m/>
    <m/>
    <m/>
    <m/>
    <m/>
    <n v="0"/>
    <n v="0"/>
    <n v="0"/>
    <n v="0"/>
    <m/>
    <m/>
    <m/>
    <m/>
    <n v="0"/>
    <m/>
    <m/>
    <m/>
    <m/>
    <m/>
    <m/>
    <n v="0"/>
    <n v="0"/>
    <n v="0"/>
    <m/>
    <m/>
    <n v="0"/>
    <x v="54"/>
  </r>
  <r>
    <x v="3"/>
    <d v="2025-08-22T00:00:00"/>
    <m/>
    <m/>
    <m/>
    <m/>
    <m/>
    <m/>
    <m/>
    <m/>
    <m/>
    <m/>
    <m/>
    <m/>
    <m/>
    <n v="0"/>
    <n v="0"/>
    <n v="0"/>
    <n v="0"/>
    <m/>
    <m/>
    <m/>
    <m/>
    <n v="0"/>
    <m/>
    <m/>
    <m/>
    <m/>
    <m/>
    <m/>
    <n v="0"/>
    <n v="0"/>
    <n v="0"/>
    <m/>
    <m/>
    <n v="0"/>
    <x v="54"/>
  </r>
  <r>
    <x v="3"/>
    <d v="2025-08-23T00:00:00"/>
    <m/>
    <m/>
    <m/>
    <m/>
    <m/>
    <m/>
    <m/>
    <m/>
    <m/>
    <m/>
    <m/>
    <m/>
    <m/>
    <n v="0"/>
    <n v="0"/>
    <n v="0"/>
    <n v="0"/>
    <m/>
    <m/>
    <m/>
    <m/>
    <n v="0"/>
    <m/>
    <m/>
    <m/>
    <m/>
    <m/>
    <m/>
    <n v="0"/>
    <n v="0"/>
    <n v="0"/>
    <m/>
    <m/>
    <n v="0"/>
    <x v="54"/>
  </r>
  <r>
    <x v="3"/>
    <d v="2025-08-24T00:00:00"/>
    <m/>
    <m/>
    <m/>
    <m/>
    <m/>
    <m/>
    <m/>
    <m/>
    <m/>
    <m/>
    <m/>
    <m/>
    <m/>
    <n v="0"/>
    <n v="0"/>
    <n v="0"/>
    <n v="0"/>
    <m/>
    <m/>
    <m/>
    <m/>
    <n v="0"/>
    <m/>
    <m/>
    <m/>
    <m/>
    <m/>
    <m/>
    <n v="0"/>
    <n v="0"/>
    <n v="0"/>
    <m/>
    <m/>
    <n v="0"/>
    <x v="54"/>
  </r>
  <r>
    <x v="3"/>
    <d v="2025-08-25T00:00:00"/>
    <m/>
    <m/>
    <m/>
    <m/>
    <m/>
    <m/>
    <m/>
    <m/>
    <m/>
    <m/>
    <m/>
    <m/>
    <m/>
    <n v="0"/>
    <n v="0"/>
    <n v="0"/>
    <n v="0"/>
    <m/>
    <m/>
    <m/>
    <m/>
    <n v="0"/>
    <m/>
    <m/>
    <m/>
    <m/>
    <m/>
    <m/>
    <n v="0"/>
    <n v="0"/>
    <n v="0"/>
    <m/>
    <m/>
    <n v="0"/>
    <x v="54"/>
  </r>
  <r>
    <x v="3"/>
    <d v="2025-08-26T00:00:00"/>
    <m/>
    <m/>
    <m/>
    <m/>
    <m/>
    <m/>
    <m/>
    <m/>
    <m/>
    <m/>
    <m/>
    <m/>
    <m/>
    <n v="0"/>
    <n v="0"/>
    <n v="0"/>
    <n v="0"/>
    <m/>
    <m/>
    <m/>
    <m/>
    <n v="0"/>
    <m/>
    <m/>
    <m/>
    <m/>
    <m/>
    <m/>
    <n v="0"/>
    <n v="0"/>
    <n v="0"/>
    <m/>
    <m/>
    <n v="0"/>
    <x v="54"/>
  </r>
  <r>
    <x v="3"/>
    <d v="2025-08-27T00:00:00"/>
    <m/>
    <m/>
    <m/>
    <m/>
    <m/>
    <m/>
    <m/>
    <m/>
    <m/>
    <m/>
    <m/>
    <m/>
    <m/>
    <n v="0"/>
    <n v="0"/>
    <n v="0"/>
    <n v="0"/>
    <m/>
    <m/>
    <m/>
    <m/>
    <n v="0"/>
    <m/>
    <m/>
    <m/>
    <m/>
    <m/>
    <m/>
    <n v="0"/>
    <n v="0"/>
    <n v="0"/>
    <m/>
    <m/>
    <n v="0"/>
    <x v="54"/>
  </r>
  <r>
    <x v="3"/>
    <d v="2025-08-28T00:00:00"/>
    <m/>
    <m/>
    <m/>
    <m/>
    <m/>
    <m/>
    <m/>
    <m/>
    <m/>
    <m/>
    <m/>
    <m/>
    <m/>
    <n v="0"/>
    <n v="0"/>
    <n v="0"/>
    <n v="0"/>
    <m/>
    <m/>
    <m/>
    <m/>
    <n v="0"/>
    <m/>
    <m/>
    <m/>
    <m/>
    <m/>
    <m/>
    <n v="0"/>
    <n v="0"/>
    <n v="0"/>
    <m/>
    <m/>
    <n v="0"/>
    <x v="54"/>
  </r>
  <r>
    <x v="3"/>
    <d v="2025-08-29T00:00:00"/>
    <m/>
    <m/>
    <m/>
    <m/>
    <m/>
    <m/>
    <m/>
    <m/>
    <m/>
    <m/>
    <m/>
    <m/>
    <m/>
    <n v="0"/>
    <n v="0"/>
    <n v="0"/>
    <n v="0"/>
    <m/>
    <m/>
    <m/>
    <m/>
    <n v="0"/>
    <m/>
    <m/>
    <m/>
    <m/>
    <m/>
    <m/>
    <n v="0"/>
    <n v="0"/>
    <n v="0"/>
    <m/>
    <m/>
    <n v="0"/>
    <x v="54"/>
  </r>
  <r>
    <x v="3"/>
    <d v="2025-08-30T00:00:00"/>
    <m/>
    <m/>
    <m/>
    <m/>
    <m/>
    <m/>
    <m/>
    <m/>
    <m/>
    <m/>
    <m/>
    <m/>
    <m/>
    <n v="0"/>
    <n v="0"/>
    <n v="0"/>
    <n v="0"/>
    <m/>
    <m/>
    <m/>
    <m/>
    <n v="0"/>
    <m/>
    <m/>
    <m/>
    <m/>
    <m/>
    <m/>
    <n v="0"/>
    <n v="0"/>
    <n v="0"/>
    <m/>
    <m/>
    <n v="0"/>
    <x v="54"/>
  </r>
  <r>
    <x v="3"/>
    <d v="2025-08-31T00:00:00"/>
    <m/>
    <m/>
    <m/>
    <m/>
    <m/>
    <m/>
    <m/>
    <m/>
    <m/>
    <m/>
    <m/>
    <m/>
    <m/>
    <n v="0"/>
    <n v="0"/>
    <n v="0"/>
    <n v="0"/>
    <m/>
    <m/>
    <m/>
    <m/>
    <n v="0"/>
    <m/>
    <m/>
    <m/>
    <m/>
    <m/>
    <m/>
    <n v="0"/>
    <n v="0"/>
    <n v="0"/>
    <m/>
    <m/>
    <n v="0"/>
    <x v="54"/>
  </r>
  <r>
    <x v="3"/>
    <d v="2025-09-01T00:00:00"/>
    <m/>
    <m/>
    <m/>
    <m/>
    <m/>
    <m/>
    <m/>
    <m/>
    <m/>
    <m/>
    <m/>
    <m/>
    <m/>
    <n v="0"/>
    <n v="0"/>
    <n v="0"/>
    <n v="0"/>
    <m/>
    <m/>
    <m/>
    <m/>
    <n v="0"/>
    <m/>
    <m/>
    <m/>
    <m/>
    <m/>
    <m/>
    <n v="0"/>
    <n v="0"/>
    <n v="0"/>
    <m/>
    <m/>
    <n v="0"/>
    <x v="54"/>
  </r>
  <r>
    <x v="3"/>
    <d v="2025-09-02T00:00:00"/>
    <m/>
    <m/>
    <m/>
    <m/>
    <m/>
    <m/>
    <m/>
    <m/>
    <m/>
    <m/>
    <m/>
    <m/>
    <m/>
    <n v="0"/>
    <n v="0"/>
    <n v="0"/>
    <n v="0"/>
    <m/>
    <m/>
    <m/>
    <m/>
    <n v="0"/>
    <m/>
    <m/>
    <m/>
    <m/>
    <m/>
    <m/>
    <n v="0"/>
    <n v="0"/>
    <n v="0"/>
    <m/>
    <m/>
    <n v="0"/>
    <x v="54"/>
  </r>
  <r>
    <x v="3"/>
    <d v="2025-09-03T00:00:00"/>
    <m/>
    <m/>
    <m/>
    <m/>
    <m/>
    <m/>
    <m/>
    <m/>
    <m/>
    <m/>
    <m/>
    <m/>
    <m/>
    <n v="0"/>
    <n v="0"/>
    <n v="0"/>
    <n v="0"/>
    <m/>
    <m/>
    <m/>
    <m/>
    <n v="0"/>
    <m/>
    <m/>
    <m/>
    <m/>
    <m/>
    <m/>
    <n v="0"/>
    <n v="0"/>
    <n v="0"/>
    <m/>
    <m/>
    <n v="0"/>
    <x v="54"/>
  </r>
  <r>
    <x v="3"/>
    <d v="2025-09-04T00:00:00"/>
    <m/>
    <m/>
    <m/>
    <m/>
    <m/>
    <m/>
    <m/>
    <m/>
    <m/>
    <m/>
    <m/>
    <m/>
    <m/>
    <n v="0"/>
    <n v="0"/>
    <n v="0"/>
    <n v="0"/>
    <m/>
    <m/>
    <m/>
    <m/>
    <n v="0"/>
    <m/>
    <m/>
    <m/>
    <m/>
    <m/>
    <m/>
    <n v="0"/>
    <n v="0"/>
    <n v="0"/>
    <m/>
    <m/>
    <n v="0"/>
    <x v="54"/>
  </r>
  <r>
    <x v="3"/>
    <d v="2025-09-05T00:00:00"/>
    <m/>
    <m/>
    <m/>
    <m/>
    <m/>
    <m/>
    <m/>
    <m/>
    <m/>
    <m/>
    <m/>
    <m/>
    <m/>
    <n v="0"/>
    <n v="0"/>
    <n v="0"/>
    <n v="0"/>
    <m/>
    <m/>
    <m/>
    <m/>
    <n v="0"/>
    <m/>
    <m/>
    <m/>
    <m/>
    <m/>
    <m/>
    <n v="0"/>
    <n v="0"/>
    <n v="0"/>
    <m/>
    <m/>
    <n v="0"/>
    <x v="54"/>
  </r>
  <r>
    <x v="3"/>
    <d v="2025-09-06T00:00:00"/>
    <m/>
    <m/>
    <m/>
    <m/>
    <m/>
    <m/>
    <m/>
    <m/>
    <m/>
    <m/>
    <m/>
    <m/>
    <m/>
    <n v="0"/>
    <n v="0"/>
    <n v="0"/>
    <n v="0"/>
    <m/>
    <m/>
    <m/>
    <m/>
    <n v="0"/>
    <m/>
    <m/>
    <m/>
    <m/>
    <m/>
    <m/>
    <n v="0"/>
    <n v="0"/>
    <n v="0"/>
    <m/>
    <m/>
    <n v="0"/>
    <x v="54"/>
  </r>
  <r>
    <x v="3"/>
    <d v="2025-09-07T00:00:00"/>
    <m/>
    <m/>
    <m/>
    <m/>
    <m/>
    <m/>
    <m/>
    <m/>
    <m/>
    <m/>
    <m/>
    <m/>
    <m/>
    <n v="0"/>
    <n v="0"/>
    <n v="0"/>
    <n v="0"/>
    <m/>
    <m/>
    <m/>
    <m/>
    <n v="0"/>
    <m/>
    <m/>
    <m/>
    <m/>
    <m/>
    <m/>
    <n v="0"/>
    <n v="0"/>
    <n v="0"/>
    <m/>
    <m/>
    <n v="0"/>
    <x v="54"/>
  </r>
  <r>
    <x v="3"/>
    <d v="2025-09-08T00:00:00"/>
    <m/>
    <m/>
    <m/>
    <m/>
    <m/>
    <m/>
    <m/>
    <m/>
    <m/>
    <m/>
    <m/>
    <m/>
    <m/>
    <n v="0"/>
    <n v="0"/>
    <n v="0"/>
    <n v="0"/>
    <m/>
    <m/>
    <m/>
    <m/>
    <n v="0"/>
    <m/>
    <m/>
    <m/>
    <m/>
    <m/>
    <m/>
    <n v="0"/>
    <n v="0"/>
    <n v="0"/>
    <m/>
    <m/>
    <n v="0"/>
    <x v="54"/>
  </r>
  <r>
    <x v="3"/>
    <d v="2025-09-09T00:00:00"/>
    <m/>
    <m/>
    <m/>
    <m/>
    <m/>
    <m/>
    <m/>
    <m/>
    <m/>
    <m/>
    <m/>
    <m/>
    <m/>
    <n v="0"/>
    <n v="0"/>
    <n v="0"/>
    <n v="0"/>
    <m/>
    <m/>
    <m/>
    <m/>
    <n v="0"/>
    <m/>
    <m/>
    <m/>
    <m/>
    <m/>
    <m/>
    <n v="0"/>
    <n v="0"/>
    <n v="0"/>
    <m/>
    <m/>
    <n v="0"/>
    <x v="54"/>
  </r>
  <r>
    <x v="3"/>
    <d v="2025-09-10T00:00:00"/>
    <m/>
    <m/>
    <m/>
    <m/>
    <m/>
    <m/>
    <m/>
    <m/>
    <m/>
    <m/>
    <m/>
    <m/>
    <m/>
    <n v="0"/>
    <n v="0"/>
    <n v="0"/>
    <n v="0"/>
    <m/>
    <m/>
    <m/>
    <m/>
    <n v="0"/>
    <m/>
    <m/>
    <m/>
    <m/>
    <m/>
    <m/>
    <n v="0"/>
    <n v="0"/>
    <n v="0"/>
    <m/>
    <m/>
    <n v="0"/>
    <x v="54"/>
  </r>
  <r>
    <x v="3"/>
    <d v="2025-09-11T00:00:00"/>
    <m/>
    <m/>
    <m/>
    <m/>
    <m/>
    <m/>
    <m/>
    <m/>
    <m/>
    <m/>
    <m/>
    <m/>
    <m/>
    <n v="0"/>
    <n v="0"/>
    <n v="0"/>
    <n v="0"/>
    <m/>
    <m/>
    <m/>
    <m/>
    <n v="0"/>
    <m/>
    <m/>
    <m/>
    <m/>
    <m/>
    <m/>
    <n v="0"/>
    <n v="0"/>
    <n v="0"/>
    <m/>
    <m/>
    <n v="0"/>
    <x v="54"/>
  </r>
  <r>
    <x v="3"/>
    <d v="2025-09-12T00:00:00"/>
    <m/>
    <m/>
    <m/>
    <m/>
    <m/>
    <m/>
    <m/>
    <m/>
    <m/>
    <m/>
    <m/>
    <m/>
    <m/>
    <n v="0"/>
    <n v="0"/>
    <n v="0"/>
    <n v="0"/>
    <m/>
    <m/>
    <m/>
    <m/>
    <n v="0"/>
    <m/>
    <m/>
    <m/>
    <m/>
    <m/>
    <m/>
    <n v="0"/>
    <n v="0"/>
    <n v="0"/>
    <m/>
    <m/>
    <n v="0"/>
    <x v="54"/>
  </r>
  <r>
    <x v="3"/>
    <d v="2025-09-13T00:00:00"/>
    <m/>
    <m/>
    <m/>
    <m/>
    <m/>
    <m/>
    <m/>
    <m/>
    <m/>
    <m/>
    <m/>
    <m/>
    <m/>
    <n v="0"/>
    <n v="0"/>
    <n v="0"/>
    <n v="0"/>
    <m/>
    <m/>
    <m/>
    <m/>
    <n v="0"/>
    <m/>
    <m/>
    <m/>
    <m/>
    <m/>
    <m/>
    <n v="0"/>
    <n v="0"/>
    <n v="0"/>
    <m/>
    <m/>
    <n v="0"/>
    <x v="54"/>
  </r>
  <r>
    <x v="3"/>
    <d v="2025-09-14T00:00:00"/>
    <m/>
    <m/>
    <m/>
    <m/>
    <m/>
    <m/>
    <m/>
    <m/>
    <m/>
    <m/>
    <m/>
    <m/>
    <m/>
    <n v="0"/>
    <n v="0"/>
    <n v="0"/>
    <n v="0"/>
    <m/>
    <m/>
    <m/>
    <m/>
    <n v="0"/>
    <m/>
    <m/>
    <m/>
    <m/>
    <m/>
    <m/>
    <n v="0"/>
    <n v="0"/>
    <n v="0"/>
    <m/>
    <m/>
    <n v="0"/>
    <x v="54"/>
  </r>
  <r>
    <x v="3"/>
    <d v="2025-09-15T00:00:00"/>
    <m/>
    <m/>
    <m/>
    <m/>
    <m/>
    <m/>
    <m/>
    <m/>
    <m/>
    <m/>
    <m/>
    <m/>
    <m/>
    <n v="0"/>
    <n v="0"/>
    <n v="0"/>
    <n v="0"/>
    <m/>
    <m/>
    <m/>
    <m/>
    <n v="0"/>
    <m/>
    <m/>
    <m/>
    <m/>
    <m/>
    <m/>
    <n v="0"/>
    <n v="0"/>
    <n v="0"/>
    <m/>
    <m/>
    <n v="0"/>
    <x v="54"/>
  </r>
  <r>
    <x v="3"/>
    <d v="2025-09-16T00:00:00"/>
    <m/>
    <m/>
    <m/>
    <m/>
    <m/>
    <m/>
    <m/>
    <m/>
    <m/>
    <m/>
    <m/>
    <m/>
    <m/>
    <n v="0"/>
    <n v="0"/>
    <n v="0"/>
    <n v="0"/>
    <m/>
    <m/>
    <m/>
    <m/>
    <n v="0"/>
    <m/>
    <m/>
    <m/>
    <m/>
    <m/>
    <m/>
    <n v="0"/>
    <n v="0"/>
    <n v="0"/>
    <m/>
    <m/>
    <n v="0"/>
    <x v="54"/>
  </r>
  <r>
    <x v="3"/>
    <d v="2025-09-17T00:00:00"/>
    <m/>
    <m/>
    <m/>
    <m/>
    <m/>
    <m/>
    <m/>
    <m/>
    <m/>
    <m/>
    <m/>
    <m/>
    <m/>
    <n v="0"/>
    <n v="0"/>
    <n v="0"/>
    <n v="0"/>
    <m/>
    <m/>
    <m/>
    <m/>
    <n v="0"/>
    <m/>
    <m/>
    <m/>
    <m/>
    <m/>
    <m/>
    <n v="0"/>
    <n v="0"/>
    <n v="0"/>
    <m/>
    <m/>
    <n v="0"/>
    <x v="54"/>
  </r>
  <r>
    <x v="3"/>
    <d v="2025-09-18T00:00:00"/>
    <m/>
    <m/>
    <m/>
    <m/>
    <m/>
    <m/>
    <m/>
    <m/>
    <m/>
    <m/>
    <m/>
    <m/>
    <m/>
    <n v="0"/>
    <n v="0"/>
    <n v="0"/>
    <n v="0"/>
    <m/>
    <m/>
    <m/>
    <m/>
    <n v="0"/>
    <m/>
    <m/>
    <m/>
    <m/>
    <m/>
    <m/>
    <n v="0"/>
    <n v="0"/>
    <n v="0"/>
    <m/>
    <m/>
    <n v="0"/>
    <x v="54"/>
  </r>
  <r>
    <x v="3"/>
    <d v="2025-09-19T00:00:00"/>
    <m/>
    <m/>
    <m/>
    <m/>
    <m/>
    <m/>
    <m/>
    <m/>
    <m/>
    <m/>
    <m/>
    <m/>
    <m/>
    <n v="0"/>
    <n v="0"/>
    <n v="0"/>
    <n v="0"/>
    <m/>
    <m/>
    <m/>
    <m/>
    <n v="0"/>
    <m/>
    <m/>
    <m/>
    <m/>
    <m/>
    <m/>
    <n v="0"/>
    <n v="0"/>
    <n v="0"/>
    <m/>
    <m/>
    <n v="0"/>
    <x v="54"/>
  </r>
  <r>
    <x v="3"/>
    <d v="2025-09-20T00:00:00"/>
    <m/>
    <m/>
    <m/>
    <m/>
    <m/>
    <m/>
    <m/>
    <m/>
    <m/>
    <m/>
    <m/>
    <m/>
    <m/>
    <n v="0"/>
    <n v="0"/>
    <n v="0"/>
    <n v="0"/>
    <m/>
    <m/>
    <m/>
    <m/>
    <n v="0"/>
    <m/>
    <m/>
    <m/>
    <m/>
    <m/>
    <m/>
    <n v="0"/>
    <n v="0"/>
    <n v="0"/>
    <m/>
    <m/>
    <n v="0"/>
    <x v="54"/>
  </r>
  <r>
    <x v="3"/>
    <d v="2025-09-21T00:00:00"/>
    <m/>
    <m/>
    <m/>
    <m/>
    <m/>
    <m/>
    <m/>
    <m/>
    <m/>
    <m/>
    <m/>
    <m/>
    <m/>
    <n v="0"/>
    <n v="0"/>
    <n v="0"/>
    <n v="0"/>
    <m/>
    <m/>
    <m/>
    <m/>
    <n v="0"/>
    <m/>
    <m/>
    <m/>
    <m/>
    <m/>
    <m/>
    <n v="0"/>
    <n v="0"/>
    <n v="0"/>
    <m/>
    <m/>
    <n v="0"/>
    <x v="54"/>
  </r>
  <r>
    <x v="3"/>
    <d v="2025-09-22T00:00:00"/>
    <m/>
    <m/>
    <m/>
    <m/>
    <m/>
    <m/>
    <m/>
    <m/>
    <m/>
    <m/>
    <m/>
    <m/>
    <m/>
    <n v="0"/>
    <n v="0"/>
    <n v="0"/>
    <n v="0"/>
    <m/>
    <m/>
    <m/>
    <m/>
    <n v="0"/>
    <m/>
    <m/>
    <m/>
    <m/>
    <m/>
    <m/>
    <n v="0"/>
    <n v="0"/>
    <n v="0"/>
    <m/>
    <m/>
    <n v="0"/>
    <x v="54"/>
  </r>
  <r>
    <x v="3"/>
    <d v="2025-09-23T00:00:00"/>
    <m/>
    <m/>
    <m/>
    <m/>
    <m/>
    <m/>
    <m/>
    <m/>
    <m/>
    <m/>
    <m/>
    <m/>
    <m/>
    <n v="0"/>
    <n v="0"/>
    <n v="0"/>
    <n v="0"/>
    <m/>
    <m/>
    <m/>
    <m/>
    <n v="0"/>
    <m/>
    <m/>
    <m/>
    <m/>
    <m/>
    <m/>
    <n v="0"/>
    <n v="0"/>
    <n v="0"/>
    <m/>
    <m/>
    <n v="0"/>
    <x v="54"/>
  </r>
  <r>
    <x v="3"/>
    <d v="2025-09-24T00:00:00"/>
    <m/>
    <m/>
    <m/>
    <m/>
    <m/>
    <m/>
    <m/>
    <m/>
    <m/>
    <m/>
    <m/>
    <m/>
    <m/>
    <n v="0"/>
    <n v="0"/>
    <n v="0"/>
    <n v="0"/>
    <m/>
    <m/>
    <m/>
    <m/>
    <n v="0"/>
    <m/>
    <m/>
    <m/>
    <m/>
    <m/>
    <m/>
    <n v="0"/>
    <n v="0"/>
    <n v="0"/>
    <m/>
    <m/>
    <n v="0"/>
    <x v="54"/>
  </r>
  <r>
    <x v="3"/>
    <d v="2025-09-25T00:00:00"/>
    <m/>
    <m/>
    <m/>
    <m/>
    <m/>
    <m/>
    <m/>
    <m/>
    <m/>
    <m/>
    <m/>
    <m/>
    <m/>
    <n v="0"/>
    <n v="0"/>
    <n v="0"/>
    <n v="0"/>
    <m/>
    <m/>
    <m/>
    <m/>
    <n v="0"/>
    <m/>
    <m/>
    <m/>
    <m/>
    <m/>
    <m/>
    <n v="0"/>
    <n v="0"/>
    <n v="0"/>
    <m/>
    <m/>
    <n v="0"/>
    <x v="54"/>
  </r>
  <r>
    <x v="3"/>
    <d v="2025-09-26T00:00:00"/>
    <m/>
    <m/>
    <m/>
    <m/>
    <m/>
    <m/>
    <m/>
    <m/>
    <m/>
    <m/>
    <m/>
    <m/>
    <m/>
    <n v="0"/>
    <n v="0"/>
    <n v="0"/>
    <n v="0"/>
    <m/>
    <m/>
    <m/>
    <m/>
    <n v="0"/>
    <m/>
    <m/>
    <m/>
    <m/>
    <m/>
    <m/>
    <n v="0"/>
    <n v="0"/>
    <n v="0"/>
    <m/>
    <m/>
    <n v="0"/>
    <x v="54"/>
  </r>
  <r>
    <x v="3"/>
    <d v="2025-09-27T00:00:00"/>
    <m/>
    <m/>
    <m/>
    <m/>
    <m/>
    <m/>
    <m/>
    <m/>
    <m/>
    <m/>
    <m/>
    <m/>
    <m/>
    <n v="0"/>
    <n v="0"/>
    <n v="0"/>
    <n v="0"/>
    <m/>
    <m/>
    <m/>
    <m/>
    <n v="0"/>
    <m/>
    <m/>
    <m/>
    <m/>
    <m/>
    <m/>
    <n v="0"/>
    <n v="0"/>
    <n v="0"/>
    <m/>
    <m/>
    <n v="0"/>
    <x v="54"/>
  </r>
  <r>
    <x v="3"/>
    <d v="2025-09-28T00:00:00"/>
    <m/>
    <m/>
    <m/>
    <m/>
    <m/>
    <m/>
    <m/>
    <m/>
    <m/>
    <m/>
    <m/>
    <m/>
    <m/>
    <n v="0"/>
    <n v="0"/>
    <n v="0"/>
    <n v="0"/>
    <m/>
    <m/>
    <m/>
    <m/>
    <n v="0"/>
    <m/>
    <m/>
    <m/>
    <m/>
    <m/>
    <m/>
    <n v="0"/>
    <n v="0"/>
    <n v="0"/>
    <m/>
    <m/>
    <n v="0"/>
    <x v="54"/>
  </r>
  <r>
    <x v="3"/>
    <d v="2025-09-29T00:00:00"/>
    <m/>
    <m/>
    <m/>
    <m/>
    <m/>
    <m/>
    <m/>
    <m/>
    <m/>
    <m/>
    <m/>
    <m/>
    <m/>
    <n v="0"/>
    <n v="0"/>
    <n v="0"/>
    <n v="0"/>
    <m/>
    <m/>
    <m/>
    <m/>
    <n v="0"/>
    <m/>
    <m/>
    <m/>
    <m/>
    <m/>
    <m/>
    <n v="0"/>
    <n v="0"/>
    <n v="0"/>
    <m/>
    <m/>
    <n v="0"/>
    <x v="54"/>
  </r>
  <r>
    <x v="3"/>
    <d v="2025-09-30T00:00:00"/>
    <m/>
    <m/>
    <m/>
    <m/>
    <m/>
    <m/>
    <m/>
    <m/>
    <m/>
    <m/>
    <m/>
    <m/>
    <m/>
    <n v="0"/>
    <n v="0"/>
    <n v="0"/>
    <n v="0"/>
    <m/>
    <m/>
    <m/>
    <m/>
    <n v="0"/>
    <m/>
    <m/>
    <m/>
    <m/>
    <m/>
    <m/>
    <n v="0"/>
    <n v="0"/>
    <n v="0"/>
    <m/>
    <m/>
    <n v="0"/>
    <x v="54"/>
  </r>
  <r>
    <x v="3"/>
    <d v="2025-10-01T00:00:00"/>
    <m/>
    <m/>
    <m/>
    <m/>
    <m/>
    <m/>
    <m/>
    <m/>
    <m/>
    <m/>
    <m/>
    <m/>
    <m/>
    <n v="0"/>
    <n v="0"/>
    <n v="0"/>
    <n v="0"/>
    <m/>
    <m/>
    <m/>
    <m/>
    <n v="0"/>
    <m/>
    <m/>
    <m/>
    <m/>
    <m/>
    <m/>
    <n v="0"/>
    <n v="0"/>
    <n v="0"/>
    <m/>
    <m/>
    <n v="0"/>
    <x v="54"/>
  </r>
  <r>
    <x v="3"/>
    <d v="2025-10-02T00:00:00"/>
    <m/>
    <m/>
    <m/>
    <m/>
    <m/>
    <m/>
    <m/>
    <m/>
    <m/>
    <m/>
    <m/>
    <m/>
    <m/>
    <n v="0"/>
    <n v="0"/>
    <n v="0"/>
    <n v="0"/>
    <m/>
    <m/>
    <m/>
    <m/>
    <n v="0"/>
    <m/>
    <m/>
    <m/>
    <m/>
    <m/>
    <m/>
    <n v="0"/>
    <n v="0"/>
    <n v="0"/>
    <m/>
    <m/>
    <n v="0"/>
    <x v="54"/>
  </r>
  <r>
    <x v="3"/>
    <d v="2025-10-03T00:00:00"/>
    <m/>
    <m/>
    <m/>
    <m/>
    <m/>
    <m/>
    <m/>
    <m/>
    <m/>
    <m/>
    <m/>
    <m/>
    <m/>
    <n v="0"/>
    <n v="0"/>
    <n v="0"/>
    <n v="0"/>
    <m/>
    <m/>
    <m/>
    <m/>
    <n v="0"/>
    <m/>
    <m/>
    <m/>
    <m/>
    <m/>
    <m/>
    <n v="0"/>
    <n v="0"/>
    <n v="0"/>
    <m/>
    <m/>
    <n v="0"/>
    <x v="54"/>
  </r>
  <r>
    <x v="3"/>
    <d v="2025-10-04T00:00:00"/>
    <m/>
    <m/>
    <m/>
    <m/>
    <m/>
    <m/>
    <m/>
    <m/>
    <m/>
    <m/>
    <m/>
    <m/>
    <m/>
    <n v="0"/>
    <n v="0"/>
    <n v="0"/>
    <n v="0"/>
    <m/>
    <m/>
    <m/>
    <m/>
    <n v="0"/>
    <m/>
    <m/>
    <m/>
    <m/>
    <m/>
    <m/>
    <n v="0"/>
    <n v="0"/>
    <n v="0"/>
    <m/>
    <m/>
    <n v="0"/>
    <x v="54"/>
  </r>
  <r>
    <x v="3"/>
    <d v="2025-10-05T00:00:00"/>
    <m/>
    <m/>
    <m/>
    <m/>
    <m/>
    <m/>
    <m/>
    <m/>
    <m/>
    <m/>
    <m/>
    <m/>
    <m/>
    <n v="0"/>
    <n v="0"/>
    <n v="0"/>
    <n v="0"/>
    <m/>
    <m/>
    <m/>
    <m/>
    <n v="0"/>
    <m/>
    <m/>
    <m/>
    <m/>
    <m/>
    <m/>
    <n v="0"/>
    <n v="0"/>
    <n v="0"/>
    <m/>
    <m/>
    <n v="0"/>
    <x v="54"/>
  </r>
  <r>
    <x v="3"/>
    <d v="2025-10-06T00:00:00"/>
    <m/>
    <m/>
    <m/>
    <m/>
    <m/>
    <m/>
    <m/>
    <m/>
    <m/>
    <m/>
    <m/>
    <m/>
    <m/>
    <n v="0"/>
    <n v="0"/>
    <n v="0"/>
    <n v="0"/>
    <m/>
    <m/>
    <m/>
    <m/>
    <n v="0"/>
    <m/>
    <m/>
    <m/>
    <m/>
    <m/>
    <m/>
    <n v="0"/>
    <n v="0"/>
    <n v="0"/>
    <m/>
    <m/>
    <n v="0"/>
    <x v="54"/>
  </r>
  <r>
    <x v="3"/>
    <d v="2025-10-07T00:00:00"/>
    <m/>
    <m/>
    <m/>
    <m/>
    <m/>
    <m/>
    <m/>
    <m/>
    <m/>
    <m/>
    <m/>
    <m/>
    <m/>
    <n v="0"/>
    <n v="0"/>
    <n v="0"/>
    <n v="0"/>
    <m/>
    <m/>
    <m/>
    <m/>
    <n v="0"/>
    <m/>
    <m/>
    <m/>
    <m/>
    <m/>
    <m/>
    <n v="0"/>
    <n v="0"/>
    <n v="0"/>
    <m/>
    <m/>
    <n v="0"/>
    <x v="54"/>
  </r>
  <r>
    <x v="3"/>
    <d v="2025-10-08T00:00:00"/>
    <m/>
    <m/>
    <m/>
    <m/>
    <m/>
    <m/>
    <m/>
    <m/>
    <m/>
    <m/>
    <m/>
    <m/>
    <m/>
    <n v="0"/>
    <n v="0"/>
    <n v="0"/>
    <n v="0"/>
    <m/>
    <m/>
    <m/>
    <m/>
    <n v="0"/>
    <m/>
    <m/>
    <m/>
    <m/>
    <m/>
    <m/>
    <n v="0"/>
    <n v="0"/>
    <n v="0"/>
    <m/>
    <m/>
    <n v="0"/>
    <x v="54"/>
  </r>
  <r>
    <x v="3"/>
    <d v="2025-10-09T00:00:00"/>
    <m/>
    <m/>
    <m/>
    <m/>
    <m/>
    <m/>
    <m/>
    <m/>
    <m/>
    <m/>
    <m/>
    <m/>
    <m/>
    <n v="0"/>
    <n v="0"/>
    <n v="0"/>
    <n v="0"/>
    <m/>
    <m/>
    <m/>
    <m/>
    <n v="0"/>
    <m/>
    <m/>
    <m/>
    <m/>
    <m/>
    <m/>
    <n v="0"/>
    <n v="0"/>
    <n v="0"/>
    <m/>
    <m/>
    <n v="0"/>
    <x v="54"/>
  </r>
  <r>
    <x v="3"/>
    <d v="2025-10-10T00:00:00"/>
    <m/>
    <m/>
    <m/>
    <m/>
    <m/>
    <m/>
    <m/>
    <m/>
    <m/>
    <m/>
    <m/>
    <m/>
    <m/>
    <n v="0"/>
    <n v="0"/>
    <n v="0"/>
    <n v="0"/>
    <m/>
    <m/>
    <m/>
    <m/>
    <n v="0"/>
    <m/>
    <m/>
    <m/>
    <m/>
    <m/>
    <m/>
    <n v="0"/>
    <n v="0"/>
    <n v="0"/>
    <m/>
    <m/>
    <n v="0"/>
    <x v="54"/>
  </r>
  <r>
    <x v="3"/>
    <d v="2025-10-11T00:00:00"/>
    <m/>
    <m/>
    <m/>
    <m/>
    <m/>
    <m/>
    <m/>
    <m/>
    <m/>
    <m/>
    <m/>
    <m/>
    <m/>
    <n v="0"/>
    <n v="0"/>
    <n v="0"/>
    <n v="0"/>
    <m/>
    <m/>
    <m/>
    <m/>
    <n v="0"/>
    <m/>
    <m/>
    <m/>
    <m/>
    <m/>
    <m/>
    <n v="0"/>
    <n v="0"/>
    <n v="0"/>
    <m/>
    <m/>
    <n v="0"/>
    <x v="54"/>
  </r>
  <r>
    <x v="3"/>
    <d v="2025-10-12T00:00:00"/>
    <m/>
    <m/>
    <m/>
    <m/>
    <m/>
    <m/>
    <m/>
    <m/>
    <m/>
    <m/>
    <m/>
    <m/>
    <m/>
    <n v="0"/>
    <n v="0"/>
    <n v="0"/>
    <n v="0"/>
    <m/>
    <m/>
    <m/>
    <m/>
    <n v="0"/>
    <m/>
    <m/>
    <m/>
    <m/>
    <m/>
    <m/>
    <n v="0"/>
    <n v="0"/>
    <n v="0"/>
    <m/>
    <m/>
    <n v="0"/>
    <x v="54"/>
  </r>
  <r>
    <x v="3"/>
    <d v="2025-10-13T00:00:00"/>
    <m/>
    <m/>
    <m/>
    <m/>
    <m/>
    <m/>
    <m/>
    <m/>
    <m/>
    <m/>
    <m/>
    <m/>
    <m/>
    <n v="0"/>
    <n v="0"/>
    <n v="0"/>
    <n v="0"/>
    <m/>
    <m/>
    <m/>
    <m/>
    <n v="0"/>
    <m/>
    <m/>
    <m/>
    <m/>
    <m/>
    <m/>
    <n v="0"/>
    <n v="0"/>
    <n v="0"/>
    <m/>
    <m/>
    <n v="0"/>
    <x v="54"/>
  </r>
  <r>
    <x v="3"/>
    <d v="2025-10-14T00:00:00"/>
    <m/>
    <m/>
    <m/>
    <m/>
    <m/>
    <m/>
    <m/>
    <m/>
    <m/>
    <m/>
    <m/>
    <m/>
    <m/>
    <n v="0"/>
    <n v="0"/>
    <n v="0"/>
    <n v="0"/>
    <m/>
    <m/>
    <m/>
    <m/>
    <n v="0"/>
    <m/>
    <m/>
    <m/>
    <m/>
    <m/>
    <m/>
    <n v="0"/>
    <n v="0"/>
    <n v="0"/>
    <m/>
    <m/>
    <n v="0"/>
    <x v="54"/>
  </r>
  <r>
    <x v="3"/>
    <d v="2025-10-15T00:00:00"/>
    <m/>
    <m/>
    <m/>
    <m/>
    <m/>
    <m/>
    <m/>
    <m/>
    <m/>
    <m/>
    <m/>
    <m/>
    <m/>
    <n v="0"/>
    <n v="0"/>
    <n v="0"/>
    <n v="0"/>
    <m/>
    <m/>
    <m/>
    <m/>
    <n v="0"/>
    <m/>
    <m/>
    <m/>
    <m/>
    <m/>
    <m/>
    <n v="0"/>
    <n v="0"/>
    <n v="0"/>
    <m/>
    <m/>
    <n v="0"/>
    <x v="54"/>
  </r>
  <r>
    <x v="3"/>
    <d v="2025-10-16T00:00:00"/>
    <m/>
    <m/>
    <m/>
    <m/>
    <m/>
    <m/>
    <m/>
    <m/>
    <m/>
    <m/>
    <m/>
    <m/>
    <m/>
    <n v="0"/>
    <n v="0"/>
    <n v="0"/>
    <n v="0"/>
    <m/>
    <m/>
    <m/>
    <m/>
    <n v="0"/>
    <m/>
    <m/>
    <m/>
    <m/>
    <m/>
    <m/>
    <n v="0"/>
    <n v="0"/>
    <n v="0"/>
    <m/>
    <m/>
    <n v="0"/>
    <x v="54"/>
  </r>
  <r>
    <x v="3"/>
    <d v="2025-10-17T00:00:00"/>
    <m/>
    <m/>
    <m/>
    <m/>
    <m/>
    <m/>
    <m/>
    <m/>
    <m/>
    <m/>
    <m/>
    <m/>
    <m/>
    <n v="0"/>
    <n v="0"/>
    <n v="0"/>
    <n v="0"/>
    <m/>
    <m/>
    <m/>
    <m/>
    <n v="0"/>
    <m/>
    <m/>
    <m/>
    <m/>
    <m/>
    <m/>
    <n v="0"/>
    <n v="0"/>
    <n v="0"/>
    <m/>
    <m/>
    <n v="0"/>
    <x v="54"/>
  </r>
  <r>
    <x v="3"/>
    <d v="2025-10-18T00:00:00"/>
    <m/>
    <m/>
    <m/>
    <m/>
    <m/>
    <m/>
    <m/>
    <m/>
    <m/>
    <m/>
    <m/>
    <m/>
    <m/>
    <n v="0"/>
    <n v="0"/>
    <n v="0"/>
    <n v="0"/>
    <m/>
    <m/>
    <m/>
    <m/>
    <n v="0"/>
    <m/>
    <m/>
    <m/>
    <m/>
    <m/>
    <m/>
    <n v="0"/>
    <n v="0"/>
    <n v="0"/>
    <m/>
    <m/>
    <n v="0"/>
    <x v="54"/>
  </r>
  <r>
    <x v="3"/>
    <d v="2025-10-19T00:00:00"/>
    <m/>
    <m/>
    <m/>
    <m/>
    <m/>
    <m/>
    <m/>
    <m/>
    <m/>
    <m/>
    <m/>
    <m/>
    <m/>
    <n v="0"/>
    <n v="0"/>
    <n v="0"/>
    <n v="0"/>
    <m/>
    <m/>
    <m/>
    <m/>
    <n v="0"/>
    <m/>
    <m/>
    <m/>
    <m/>
    <m/>
    <m/>
    <n v="0"/>
    <n v="0"/>
    <n v="0"/>
    <m/>
    <m/>
    <n v="0"/>
    <x v="54"/>
  </r>
  <r>
    <x v="3"/>
    <d v="2025-10-20T00:00:00"/>
    <m/>
    <m/>
    <m/>
    <m/>
    <m/>
    <m/>
    <m/>
    <m/>
    <m/>
    <m/>
    <m/>
    <m/>
    <m/>
    <n v="0"/>
    <n v="0"/>
    <n v="0"/>
    <n v="0"/>
    <m/>
    <m/>
    <m/>
    <m/>
    <n v="0"/>
    <m/>
    <m/>
    <m/>
    <m/>
    <m/>
    <m/>
    <n v="0"/>
    <n v="0"/>
    <n v="0"/>
    <m/>
    <m/>
    <n v="0"/>
    <x v="54"/>
  </r>
  <r>
    <x v="3"/>
    <d v="2025-10-21T00:00:00"/>
    <m/>
    <m/>
    <m/>
    <m/>
    <m/>
    <m/>
    <m/>
    <m/>
    <m/>
    <m/>
    <m/>
    <m/>
    <m/>
    <n v="0"/>
    <n v="0"/>
    <n v="0"/>
    <n v="0"/>
    <m/>
    <m/>
    <m/>
    <m/>
    <n v="0"/>
    <m/>
    <m/>
    <m/>
    <m/>
    <m/>
    <m/>
    <n v="0"/>
    <n v="0"/>
    <n v="0"/>
    <m/>
    <m/>
    <n v="0"/>
    <x v="54"/>
  </r>
  <r>
    <x v="3"/>
    <d v="2025-10-22T00:00:00"/>
    <m/>
    <m/>
    <m/>
    <m/>
    <m/>
    <m/>
    <m/>
    <m/>
    <m/>
    <m/>
    <m/>
    <m/>
    <m/>
    <n v="0"/>
    <n v="0"/>
    <n v="0"/>
    <n v="0"/>
    <m/>
    <m/>
    <m/>
    <m/>
    <n v="0"/>
    <m/>
    <m/>
    <m/>
    <m/>
    <m/>
    <m/>
    <n v="0"/>
    <n v="0"/>
    <n v="0"/>
    <m/>
    <m/>
    <n v="0"/>
    <x v="54"/>
  </r>
  <r>
    <x v="3"/>
    <d v="2025-10-23T00:00:00"/>
    <m/>
    <m/>
    <m/>
    <m/>
    <m/>
    <m/>
    <m/>
    <m/>
    <m/>
    <m/>
    <m/>
    <m/>
    <m/>
    <n v="0"/>
    <n v="0"/>
    <n v="0"/>
    <n v="0"/>
    <m/>
    <m/>
    <m/>
    <m/>
    <n v="0"/>
    <m/>
    <m/>
    <m/>
    <m/>
    <m/>
    <m/>
    <n v="0"/>
    <n v="0"/>
    <n v="0"/>
    <m/>
    <m/>
    <n v="0"/>
    <x v="54"/>
  </r>
  <r>
    <x v="3"/>
    <d v="2025-10-24T00:00:00"/>
    <m/>
    <m/>
    <m/>
    <m/>
    <m/>
    <m/>
    <m/>
    <m/>
    <m/>
    <m/>
    <m/>
    <m/>
    <m/>
    <n v="0"/>
    <n v="0"/>
    <n v="0"/>
    <n v="0"/>
    <m/>
    <m/>
    <m/>
    <m/>
    <n v="0"/>
    <m/>
    <m/>
    <m/>
    <m/>
    <m/>
    <m/>
    <n v="0"/>
    <n v="0"/>
    <n v="0"/>
    <m/>
    <m/>
    <n v="0"/>
    <x v="54"/>
  </r>
  <r>
    <x v="3"/>
    <d v="2025-10-25T00:00:00"/>
    <m/>
    <m/>
    <m/>
    <m/>
    <m/>
    <m/>
    <m/>
    <m/>
    <m/>
    <m/>
    <m/>
    <m/>
    <m/>
    <n v="0"/>
    <n v="0"/>
    <n v="0"/>
    <n v="0"/>
    <m/>
    <m/>
    <m/>
    <m/>
    <n v="0"/>
    <m/>
    <m/>
    <m/>
    <m/>
    <m/>
    <m/>
    <n v="0"/>
    <n v="0"/>
    <n v="0"/>
    <m/>
    <m/>
    <n v="0"/>
    <x v="54"/>
  </r>
  <r>
    <x v="3"/>
    <d v="2025-10-26T00:00:00"/>
    <m/>
    <m/>
    <m/>
    <m/>
    <m/>
    <m/>
    <m/>
    <m/>
    <m/>
    <m/>
    <m/>
    <m/>
    <m/>
    <n v="0"/>
    <n v="0"/>
    <n v="0"/>
    <n v="0"/>
    <m/>
    <m/>
    <m/>
    <m/>
    <n v="0"/>
    <m/>
    <m/>
    <m/>
    <m/>
    <m/>
    <m/>
    <n v="0"/>
    <n v="0"/>
    <n v="0"/>
    <m/>
    <m/>
    <n v="0"/>
    <x v="54"/>
  </r>
  <r>
    <x v="3"/>
    <d v="2025-10-27T00:00:00"/>
    <m/>
    <m/>
    <m/>
    <m/>
    <m/>
    <m/>
    <m/>
    <m/>
    <m/>
    <m/>
    <m/>
    <m/>
    <m/>
    <n v="0"/>
    <n v="0"/>
    <n v="0"/>
    <n v="0"/>
    <m/>
    <m/>
    <m/>
    <m/>
    <n v="0"/>
    <m/>
    <m/>
    <m/>
    <m/>
    <m/>
    <m/>
    <n v="0"/>
    <n v="0"/>
    <n v="0"/>
    <m/>
    <m/>
    <n v="0"/>
    <x v="54"/>
  </r>
  <r>
    <x v="3"/>
    <d v="2025-10-28T00:00:00"/>
    <m/>
    <m/>
    <m/>
    <m/>
    <m/>
    <m/>
    <m/>
    <m/>
    <m/>
    <m/>
    <m/>
    <m/>
    <m/>
    <n v="0"/>
    <n v="0"/>
    <n v="0"/>
    <n v="0"/>
    <m/>
    <m/>
    <m/>
    <m/>
    <n v="0"/>
    <m/>
    <m/>
    <m/>
    <m/>
    <m/>
    <m/>
    <n v="0"/>
    <n v="0"/>
    <n v="0"/>
    <m/>
    <m/>
    <n v="0"/>
    <x v="54"/>
  </r>
  <r>
    <x v="3"/>
    <d v="2025-10-29T00:00:00"/>
    <m/>
    <m/>
    <m/>
    <m/>
    <m/>
    <m/>
    <m/>
    <m/>
    <m/>
    <m/>
    <m/>
    <m/>
    <m/>
    <n v="0"/>
    <n v="0"/>
    <n v="0"/>
    <n v="0"/>
    <m/>
    <m/>
    <m/>
    <m/>
    <n v="0"/>
    <m/>
    <m/>
    <m/>
    <m/>
    <m/>
    <m/>
    <n v="0"/>
    <n v="0"/>
    <n v="0"/>
    <m/>
    <m/>
    <n v="0"/>
    <x v="54"/>
  </r>
  <r>
    <x v="3"/>
    <d v="2025-10-30T00:00:00"/>
    <m/>
    <m/>
    <m/>
    <m/>
    <m/>
    <m/>
    <m/>
    <m/>
    <m/>
    <m/>
    <m/>
    <m/>
    <m/>
    <n v="0"/>
    <n v="0"/>
    <n v="0"/>
    <n v="0"/>
    <m/>
    <m/>
    <m/>
    <m/>
    <n v="0"/>
    <m/>
    <m/>
    <m/>
    <m/>
    <m/>
    <m/>
    <n v="0"/>
    <n v="0"/>
    <n v="0"/>
    <m/>
    <m/>
    <n v="0"/>
    <x v="54"/>
  </r>
  <r>
    <x v="3"/>
    <d v="2025-10-31T00:00:00"/>
    <m/>
    <m/>
    <m/>
    <m/>
    <m/>
    <m/>
    <m/>
    <m/>
    <m/>
    <m/>
    <m/>
    <m/>
    <m/>
    <n v="0"/>
    <n v="0"/>
    <n v="0"/>
    <n v="0"/>
    <m/>
    <m/>
    <m/>
    <m/>
    <n v="0"/>
    <m/>
    <m/>
    <m/>
    <m/>
    <m/>
    <m/>
    <n v="0"/>
    <n v="0"/>
    <n v="0"/>
    <m/>
    <m/>
    <n v="0"/>
    <x v="54"/>
  </r>
  <r>
    <x v="3"/>
    <d v="2025-11-01T00:00:00"/>
    <m/>
    <m/>
    <m/>
    <m/>
    <m/>
    <m/>
    <m/>
    <m/>
    <m/>
    <m/>
    <m/>
    <m/>
    <m/>
    <n v="0"/>
    <n v="0"/>
    <n v="0"/>
    <n v="0"/>
    <m/>
    <m/>
    <m/>
    <m/>
    <n v="0"/>
    <m/>
    <m/>
    <m/>
    <m/>
    <m/>
    <m/>
    <n v="0"/>
    <n v="0"/>
    <n v="0"/>
    <m/>
    <m/>
    <n v="0"/>
    <x v="54"/>
  </r>
  <r>
    <x v="3"/>
    <d v="2025-11-02T00:00:00"/>
    <m/>
    <m/>
    <m/>
    <m/>
    <m/>
    <m/>
    <m/>
    <m/>
    <m/>
    <m/>
    <m/>
    <m/>
    <m/>
    <n v="0"/>
    <n v="0"/>
    <n v="0"/>
    <n v="0"/>
    <m/>
    <m/>
    <m/>
    <m/>
    <n v="0"/>
    <m/>
    <m/>
    <m/>
    <m/>
    <m/>
    <m/>
    <n v="0"/>
    <n v="0"/>
    <n v="0"/>
    <m/>
    <m/>
    <n v="0"/>
    <x v="54"/>
  </r>
  <r>
    <x v="3"/>
    <d v="2025-11-03T00:00:00"/>
    <m/>
    <m/>
    <m/>
    <m/>
    <m/>
    <m/>
    <m/>
    <m/>
    <m/>
    <m/>
    <m/>
    <m/>
    <m/>
    <n v="0"/>
    <n v="0"/>
    <n v="0"/>
    <n v="0"/>
    <m/>
    <m/>
    <m/>
    <m/>
    <n v="0"/>
    <m/>
    <m/>
    <m/>
    <m/>
    <m/>
    <m/>
    <n v="0"/>
    <n v="0"/>
    <n v="0"/>
    <m/>
    <m/>
    <n v="0"/>
    <x v="54"/>
  </r>
  <r>
    <x v="3"/>
    <d v="2025-11-04T00:00:00"/>
    <m/>
    <m/>
    <m/>
    <m/>
    <m/>
    <m/>
    <m/>
    <m/>
    <m/>
    <m/>
    <m/>
    <m/>
    <m/>
    <n v="0"/>
    <n v="0"/>
    <n v="0"/>
    <n v="0"/>
    <m/>
    <m/>
    <m/>
    <m/>
    <n v="0"/>
    <m/>
    <m/>
    <m/>
    <m/>
    <m/>
    <m/>
    <n v="0"/>
    <n v="0"/>
    <n v="0"/>
    <m/>
    <m/>
    <n v="0"/>
    <x v="54"/>
  </r>
  <r>
    <x v="3"/>
    <d v="2025-11-05T00:00:00"/>
    <m/>
    <m/>
    <m/>
    <m/>
    <m/>
    <m/>
    <m/>
    <m/>
    <m/>
    <m/>
    <m/>
    <m/>
    <m/>
    <n v="0"/>
    <n v="0"/>
    <n v="0"/>
    <n v="0"/>
    <m/>
    <m/>
    <m/>
    <m/>
    <n v="0"/>
    <m/>
    <m/>
    <m/>
    <m/>
    <m/>
    <m/>
    <n v="0"/>
    <n v="0"/>
    <n v="0"/>
    <m/>
    <m/>
    <n v="0"/>
    <x v="54"/>
  </r>
  <r>
    <x v="3"/>
    <d v="2025-11-06T00:00:00"/>
    <m/>
    <m/>
    <m/>
    <m/>
    <m/>
    <m/>
    <m/>
    <m/>
    <m/>
    <m/>
    <m/>
    <m/>
    <m/>
    <n v="0"/>
    <n v="0"/>
    <n v="0"/>
    <n v="0"/>
    <m/>
    <m/>
    <m/>
    <m/>
    <n v="0"/>
    <m/>
    <m/>
    <m/>
    <m/>
    <m/>
    <m/>
    <n v="0"/>
    <n v="0"/>
    <n v="0"/>
    <m/>
    <m/>
    <n v="0"/>
    <x v="54"/>
  </r>
  <r>
    <x v="3"/>
    <d v="2025-11-07T00:00:00"/>
    <m/>
    <m/>
    <m/>
    <m/>
    <m/>
    <m/>
    <m/>
    <m/>
    <m/>
    <m/>
    <m/>
    <m/>
    <m/>
    <n v="0"/>
    <n v="0"/>
    <n v="0"/>
    <n v="0"/>
    <m/>
    <m/>
    <m/>
    <m/>
    <n v="0"/>
    <m/>
    <m/>
    <m/>
    <m/>
    <m/>
    <m/>
    <n v="0"/>
    <n v="0"/>
    <n v="0"/>
    <m/>
    <m/>
    <n v="0"/>
    <x v="54"/>
  </r>
  <r>
    <x v="3"/>
    <d v="2025-11-08T00:00:00"/>
    <m/>
    <m/>
    <m/>
    <m/>
    <m/>
    <m/>
    <m/>
    <m/>
    <m/>
    <m/>
    <m/>
    <m/>
    <m/>
    <n v="0"/>
    <n v="0"/>
    <n v="0"/>
    <n v="0"/>
    <m/>
    <m/>
    <m/>
    <m/>
    <n v="0"/>
    <m/>
    <m/>
    <m/>
    <m/>
    <m/>
    <m/>
    <n v="0"/>
    <n v="0"/>
    <n v="0"/>
    <m/>
    <m/>
    <n v="0"/>
    <x v="54"/>
  </r>
  <r>
    <x v="3"/>
    <d v="2025-11-09T00:00:00"/>
    <m/>
    <m/>
    <m/>
    <m/>
    <m/>
    <m/>
    <m/>
    <m/>
    <m/>
    <m/>
    <m/>
    <m/>
    <m/>
    <n v="0"/>
    <n v="0"/>
    <n v="0"/>
    <n v="0"/>
    <m/>
    <m/>
    <m/>
    <m/>
    <n v="0"/>
    <m/>
    <m/>
    <m/>
    <m/>
    <m/>
    <m/>
    <n v="0"/>
    <n v="0"/>
    <n v="0"/>
    <m/>
    <m/>
    <n v="0"/>
    <x v="54"/>
  </r>
  <r>
    <x v="3"/>
    <d v="2025-11-10T00:00:00"/>
    <m/>
    <m/>
    <m/>
    <m/>
    <m/>
    <m/>
    <m/>
    <m/>
    <m/>
    <m/>
    <m/>
    <m/>
    <m/>
    <n v="0"/>
    <n v="0"/>
    <n v="0"/>
    <n v="0"/>
    <m/>
    <m/>
    <m/>
    <m/>
    <n v="0"/>
    <m/>
    <m/>
    <m/>
    <m/>
    <m/>
    <m/>
    <n v="0"/>
    <n v="0"/>
    <n v="0"/>
    <m/>
    <m/>
    <n v="0"/>
    <x v="54"/>
  </r>
  <r>
    <x v="3"/>
    <d v="2025-11-11T00:00:00"/>
    <m/>
    <m/>
    <m/>
    <m/>
    <m/>
    <m/>
    <m/>
    <m/>
    <m/>
    <m/>
    <m/>
    <m/>
    <m/>
    <n v="0"/>
    <n v="0"/>
    <n v="0"/>
    <n v="0"/>
    <m/>
    <m/>
    <m/>
    <m/>
    <n v="0"/>
    <m/>
    <m/>
    <m/>
    <m/>
    <m/>
    <m/>
    <n v="0"/>
    <n v="0"/>
    <n v="0"/>
    <m/>
    <m/>
    <n v="0"/>
    <x v="54"/>
  </r>
  <r>
    <x v="3"/>
    <d v="2025-11-12T00:00:00"/>
    <m/>
    <m/>
    <m/>
    <m/>
    <m/>
    <m/>
    <m/>
    <m/>
    <m/>
    <m/>
    <m/>
    <m/>
    <m/>
    <n v="0"/>
    <n v="0"/>
    <n v="0"/>
    <n v="0"/>
    <m/>
    <m/>
    <m/>
    <m/>
    <n v="0"/>
    <m/>
    <m/>
    <m/>
    <m/>
    <m/>
    <m/>
    <n v="0"/>
    <n v="0"/>
    <n v="0"/>
    <m/>
    <m/>
    <n v="0"/>
    <x v="54"/>
  </r>
  <r>
    <x v="3"/>
    <d v="2025-11-13T00:00:00"/>
    <m/>
    <m/>
    <m/>
    <m/>
    <m/>
    <m/>
    <m/>
    <m/>
    <m/>
    <m/>
    <m/>
    <m/>
    <m/>
    <n v="0"/>
    <n v="0"/>
    <n v="0"/>
    <n v="0"/>
    <m/>
    <m/>
    <m/>
    <m/>
    <n v="0"/>
    <m/>
    <m/>
    <m/>
    <m/>
    <m/>
    <m/>
    <n v="0"/>
    <n v="0"/>
    <n v="0"/>
    <m/>
    <m/>
    <n v="0"/>
    <x v="54"/>
  </r>
  <r>
    <x v="3"/>
    <d v="2025-11-14T00:00:00"/>
    <m/>
    <m/>
    <m/>
    <m/>
    <m/>
    <m/>
    <m/>
    <m/>
    <m/>
    <m/>
    <m/>
    <m/>
    <m/>
    <n v="0"/>
    <n v="0"/>
    <n v="0"/>
    <n v="0"/>
    <m/>
    <m/>
    <m/>
    <m/>
    <n v="0"/>
    <m/>
    <m/>
    <m/>
    <m/>
    <m/>
    <m/>
    <n v="0"/>
    <n v="0"/>
    <n v="0"/>
    <m/>
    <m/>
    <n v="0"/>
    <x v="54"/>
  </r>
  <r>
    <x v="3"/>
    <d v="2025-11-15T00:00:00"/>
    <m/>
    <m/>
    <m/>
    <m/>
    <m/>
    <m/>
    <m/>
    <m/>
    <m/>
    <m/>
    <m/>
    <m/>
    <m/>
    <n v="0"/>
    <n v="0"/>
    <n v="0"/>
    <n v="0"/>
    <m/>
    <m/>
    <m/>
    <m/>
    <n v="0"/>
    <m/>
    <m/>
    <m/>
    <m/>
    <m/>
    <m/>
    <n v="0"/>
    <n v="0"/>
    <n v="0"/>
    <m/>
    <m/>
    <n v="0"/>
    <x v="54"/>
  </r>
  <r>
    <x v="3"/>
    <d v="2025-11-16T00:00:00"/>
    <m/>
    <m/>
    <m/>
    <m/>
    <m/>
    <m/>
    <m/>
    <m/>
    <m/>
    <m/>
    <m/>
    <m/>
    <m/>
    <n v="0"/>
    <n v="0"/>
    <n v="0"/>
    <n v="0"/>
    <m/>
    <m/>
    <m/>
    <m/>
    <n v="0"/>
    <m/>
    <m/>
    <m/>
    <m/>
    <m/>
    <m/>
    <n v="0"/>
    <n v="0"/>
    <n v="0"/>
    <m/>
    <m/>
    <n v="0"/>
    <x v="54"/>
  </r>
  <r>
    <x v="3"/>
    <d v="2025-11-17T00:00:00"/>
    <m/>
    <m/>
    <m/>
    <m/>
    <m/>
    <m/>
    <m/>
    <m/>
    <m/>
    <m/>
    <m/>
    <m/>
    <m/>
    <n v="0"/>
    <n v="0"/>
    <n v="0"/>
    <n v="0"/>
    <m/>
    <m/>
    <m/>
    <m/>
    <n v="0"/>
    <m/>
    <m/>
    <m/>
    <m/>
    <m/>
    <m/>
    <n v="0"/>
    <n v="0"/>
    <n v="0"/>
    <m/>
    <m/>
    <n v="0"/>
    <x v="54"/>
  </r>
  <r>
    <x v="3"/>
    <d v="2025-11-18T00:00:00"/>
    <m/>
    <m/>
    <m/>
    <m/>
    <m/>
    <m/>
    <m/>
    <m/>
    <m/>
    <m/>
    <m/>
    <m/>
    <m/>
    <n v="0"/>
    <n v="0"/>
    <n v="0"/>
    <n v="0"/>
    <m/>
    <m/>
    <m/>
    <m/>
    <n v="0"/>
    <m/>
    <m/>
    <m/>
    <m/>
    <m/>
    <m/>
    <n v="0"/>
    <n v="0"/>
    <n v="0"/>
    <m/>
    <m/>
    <n v="0"/>
    <x v="54"/>
  </r>
  <r>
    <x v="3"/>
    <d v="2025-11-19T00:00:00"/>
    <m/>
    <m/>
    <m/>
    <m/>
    <m/>
    <m/>
    <m/>
    <m/>
    <m/>
    <m/>
    <m/>
    <m/>
    <m/>
    <n v="0"/>
    <n v="0"/>
    <n v="0"/>
    <n v="0"/>
    <m/>
    <m/>
    <m/>
    <m/>
    <n v="0"/>
    <m/>
    <m/>
    <m/>
    <m/>
    <m/>
    <m/>
    <n v="0"/>
    <n v="0"/>
    <n v="0"/>
    <m/>
    <m/>
    <n v="0"/>
    <x v="54"/>
  </r>
  <r>
    <x v="3"/>
    <d v="2025-11-20T00:00:00"/>
    <m/>
    <m/>
    <m/>
    <m/>
    <m/>
    <m/>
    <m/>
    <m/>
    <m/>
    <m/>
    <m/>
    <m/>
    <m/>
    <n v="0"/>
    <n v="0"/>
    <n v="0"/>
    <n v="0"/>
    <m/>
    <m/>
    <m/>
    <m/>
    <n v="0"/>
    <m/>
    <m/>
    <m/>
    <m/>
    <m/>
    <m/>
    <n v="0"/>
    <n v="0"/>
    <n v="0"/>
    <m/>
    <m/>
    <n v="0"/>
    <x v="54"/>
  </r>
  <r>
    <x v="3"/>
    <d v="2025-11-21T00:00:00"/>
    <m/>
    <m/>
    <m/>
    <m/>
    <m/>
    <m/>
    <m/>
    <m/>
    <m/>
    <m/>
    <m/>
    <m/>
    <m/>
    <n v="0"/>
    <n v="0"/>
    <n v="0"/>
    <n v="0"/>
    <m/>
    <m/>
    <m/>
    <m/>
    <n v="0"/>
    <m/>
    <m/>
    <m/>
    <m/>
    <m/>
    <m/>
    <n v="0"/>
    <n v="0"/>
    <n v="0"/>
    <m/>
    <m/>
    <n v="0"/>
    <x v="54"/>
  </r>
  <r>
    <x v="3"/>
    <d v="2025-11-22T00:00:00"/>
    <m/>
    <m/>
    <m/>
    <m/>
    <m/>
    <m/>
    <m/>
    <m/>
    <m/>
    <m/>
    <m/>
    <m/>
    <m/>
    <n v="0"/>
    <n v="0"/>
    <n v="0"/>
    <n v="0"/>
    <m/>
    <m/>
    <m/>
    <m/>
    <n v="0"/>
    <m/>
    <m/>
    <m/>
    <m/>
    <m/>
    <m/>
    <n v="0"/>
    <n v="0"/>
    <n v="0"/>
    <m/>
    <m/>
    <n v="0"/>
    <x v="54"/>
  </r>
  <r>
    <x v="3"/>
    <d v="2025-11-23T00:00:00"/>
    <m/>
    <m/>
    <m/>
    <m/>
    <m/>
    <m/>
    <m/>
    <m/>
    <m/>
    <m/>
    <m/>
    <m/>
    <m/>
    <n v="0"/>
    <n v="0"/>
    <n v="0"/>
    <n v="0"/>
    <m/>
    <m/>
    <m/>
    <m/>
    <n v="0"/>
    <m/>
    <m/>
    <m/>
    <m/>
    <m/>
    <m/>
    <n v="0"/>
    <n v="0"/>
    <n v="0"/>
    <m/>
    <m/>
    <n v="0"/>
    <x v="54"/>
  </r>
  <r>
    <x v="3"/>
    <d v="2025-11-24T00:00:00"/>
    <m/>
    <m/>
    <m/>
    <m/>
    <m/>
    <m/>
    <m/>
    <m/>
    <m/>
    <m/>
    <m/>
    <m/>
    <m/>
    <n v="0"/>
    <n v="0"/>
    <n v="0"/>
    <n v="0"/>
    <m/>
    <m/>
    <m/>
    <m/>
    <n v="0"/>
    <m/>
    <m/>
    <m/>
    <m/>
    <m/>
    <m/>
    <n v="0"/>
    <n v="0"/>
    <n v="0"/>
    <m/>
    <m/>
    <n v="0"/>
    <x v="54"/>
  </r>
  <r>
    <x v="3"/>
    <d v="2025-11-25T00:00:00"/>
    <m/>
    <m/>
    <m/>
    <m/>
    <m/>
    <m/>
    <m/>
    <m/>
    <m/>
    <m/>
    <m/>
    <m/>
    <m/>
    <n v="0"/>
    <n v="0"/>
    <n v="0"/>
    <n v="0"/>
    <m/>
    <m/>
    <m/>
    <m/>
    <n v="0"/>
    <m/>
    <m/>
    <m/>
    <m/>
    <m/>
    <m/>
    <n v="0"/>
    <n v="0"/>
    <n v="0"/>
    <m/>
    <m/>
    <n v="0"/>
    <x v="54"/>
  </r>
  <r>
    <x v="3"/>
    <d v="2025-11-26T00:00:00"/>
    <m/>
    <m/>
    <m/>
    <m/>
    <m/>
    <m/>
    <m/>
    <m/>
    <m/>
    <m/>
    <m/>
    <m/>
    <m/>
    <n v="0"/>
    <n v="0"/>
    <n v="0"/>
    <n v="0"/>
    <m/>
    <m/>
    <m/>
    <m/>
    <n v="0"/>
    <m/>
    <m/>
    <m/>
    <m/>
    <m/>
    <m/>
    <n v="0"/>
    <n v="0"/>
    <n v="0"/>
    <m/>
    <m/>
    <n v="0"/>
    <x v="54"/>
  </r>
  <r>
    <x v="3"/>
    <d v="2025-11-27T00:00:00"/>
    <m/>
    <m/>
    <m/>
    <m/>
    <m/>
    <m/>
    <m/>
    <m/>
    <m/>
    <m/>
    <m/>
    <m/>
    <m/>
    <n v="0"/>
    <n v="0"/>
    <n v="0"/>
    <n v="0"/>
    <m/>
    <m/>
    <m/>
    <m/>
    <n v="0"/>
    <m/>
    <m/>
    <m/>
    <m/>
    <m/>
    <m/>
    <n v="0"/>
    <n v="0"/>
    <n v="0"/>
    <m/>
    <m/>
    <n v="0"/>
    <x v="54"/>
  </r>
  <r>
    <x v="3"/>
    <d v="2025-11-28T00:00:00"/>
    <m/>
    <m/>
    <m/>
    <m/>
    <m/>
    <m/>
    <m/>
    <m/>
    <m/>
    <m/>
    <m/>
    <m/>
    <m/>
    <n v="0"/>
    <n v="0"/>
    <n v="0"/>
    <n v="0"/>
    <m/>
    <m/>
    <m/>
    <m/>
    <n v="0"/>
    <m/>
    <m/>
    <m/>
    <m/>
    <m/>
    <m/>
    <n v="0"/>
    <n v="0"/>
    <n v="0"/>
    <m/>
    <m/>
    <n v="0"/>
    <x v="54"/>
  </r>
  <r>
    <x v="3"/>
    <d v="2025-11-29T00:00:00"/>
    <m/>
    <m/>
    <m/>
    <m/>
    <m/>
    <m/>
    <m/>
    <m/>
    <m/>
    <m/>
    <m/>
    <m/>
    <m/>
    <n v="0"/>
    <n v="0"/>
    <n v="0"/>
    <n v="0"/>
    <m/>
    <m/>
    <m/>
    <m/>
    <n v="0"/>
    <m/>
    <m/>
    <m/>
    <m/>
    <m/>
    <m/>
    <n v="0"/>
    <n v="0"/>
    <n v="0"/>
    <m/>
    <m/>
    <n v="0"/>
    <x v="54"/>
  </r>
  <r>
    <x v="3"/>
    <d v="2025-11-30T00:00:00"/>
    <m/>
    <m/>
    <m/>
    <m/>
    <m/>
    <m/>
    <m/>
    <m/>
    <m/>
    <m/>
    <m/>
    <m/>
    <m/>
    <n v="0"/>
    <n v="0"/>
    <n v="0"/>
    <n v="0"/>
    <m/>
    <m/>
    <m/>
    <m/>
    <n v="0"/>
    <m/>
    <m/>
    <m/>
    <m/>
    <m/>
    <m/>
    <n v="0"/>
    <n v="0"/>
    <n v="0"/>
    <m/>
    <m/>
    <n v="0"/>
    <x v="54"/>
  </r>
  <r>
    <x v="3"/>
    <d v="2025-12-01T00:00:00"/>
    <m/>
    <m/>
    <m/>
    <m/>
    <m/>
    <m/>
    <m/>
    <m/>
    <m/>
    <m/>
    <m/>
    <m/>
    <m/>
    <n v="0"/>
    <n v="0"/>
    <n v="0"/>
    <n v="0"/>
    <m/>
    <m/>
    <m/>
    <m/>
    <n v="0"/>
    <m/>
    <m/>
    <m/>
    <m/>
    <m/>
    <m/>
    <n v="0"/>
    <n v="0"/>
    <n v="0"/>
    <m/>
    <m/>
    <n v="0"/>
    <x v="54"/>
  </r>
  <r>
    <x v="3"/>
    <d v="2025-12-02T00:00:00"/>
    <m/>
    <m/>
    <m/>
    <m/>
    <m/>
    <m/>
    <m/>
    <m/>
    <m/>
    <m/>
    <m/>
    <m/>
    <m/>
    <n v="0"/>
    <n v="0"/>
    <n v="0"/>
    <n v="0"/>
    <m/>
    <m/>
    <m/>
    <m/>
    <n v="0"/>
    <m/>
    <m/>
    <m/>
    <m/>
    <m/>
    <m/>
    <n v="0"/>
    <n v="0"/>
    <n v="0"/>
    <m/>
    <m/>
    <n v="0"/>
    <x v="54"/>
  </r>
  <r>
    <x v="3"/>
    <d v="2025-12-03T00:00:00"/>
    <m/>
    <m/>
    <m/>
    <m/>
    <m/>
    <m/>
    <m/>
    <m/>
    <m/>
    <m/>
    <m/>
    <m/>
    <m/>
    <n v="0"/>
    <n v="0"/>
    <n v="0"/>
    <n v="0"/>
    <m/>
    <m/>
    <m/>
    <m/>
    <n v="0"/>
    <m/>
    <m/>
    <m/>
    <m/>
    <m/>
    <m/>
    <n v="0"/>
    <n v="0"/>
    <n v="0"/>
    <m/>
    <m/>
    <n v="0"/>
    <x v="54"/>
  </r>
  <r>
    <x v="3"/>
    <d v="2025-12-04T00:00:00"/>
    <m/>
    <m/>
    <m/>
    <m/>
    <m/>
    <m/>
    <m/>
    <m/>
    <m/>
    <m/>
    <m/>
    <m/>
    <m/>
    <n v="0"/>
    <n v="0"/>
    <n v="0"/>
    <n v="0"/>
    <m/>
    <m/>
    <m/>
    <m/>
    <n v="0"/>
    <m/>
    <m/>
    <m/>
    <m/>
    <m/>
    <m/>
    <n v="0"/>
    <n v="0"/>
    <n v="0"/>
    <m/>
    <m/>
    <n v="0"/>
    <x v="54"/>
  </r>
  <r>
    <x v="3"/>
    <d v="2025-12-05T00:00:00"/>
    <m/>
    <m/>
    <m/>
    <m/>
    <m/>
    <m/>
    <m/>
    <m/>
    <m/>
    <m/>
    <m/>
    <m/>
    <m/>
    <n v="0"/>
    <n v="0"/>
    <n v="0"/>
    <n v="0"/>
    <m/>
    <m/>
    <m/>
    <m/>
    <n v="0"/>
    <m/>
    <m/>
    <m/>
    <m/>
    <m/>
    <m/>
    <n v="0"/>
    <n v="0"/>
    <n v="0"/>
    <m/>
    <m/>
    <n v="0"/>
    <x v="54"/>
  </r>
  <r>
    <x v="3"/>
    <d v="2025-12-06T00:00:00"/>
    <m/>
    <m/>
    <m/>
    <m/>
    <m/>
    <m/>
    <m/>
    <m/>
    <m/>
    <m/>
    <m/>
    <m/>
    <m/>
    <n v="0"/>
    <n v="0"/>
    <n v="0"/>
    <n v="0"/>
    <m/>
    <m/>
    <m/>
    <m/>
    <n v="0"/>
    <m/>
    <m/>
    <m/>
    <m/>
    <m/>
    <m/>
    <n v="0"/>
    <n v="0"/>
    <n v="0"/>
    <m/>
    <m/>
    <n v="0"/>
    <x v="54"/>
  </r>
  <r>
    <x v="3"/>
    <d v="2025-12-07T00:00:00"/>
    <m/>
    <m/>
    <m/>
    <m/>
    <m/>
    <m/>
    <m/>
    <m/>
    <m/>
    <m/>
    <m/>
    <m/>
    <m/>
    <n v="0"/>
    <n v="0"/>
    <n v="0"/>
    <n v="0"/>
    <m/>
    <m/>
    <m/>
    <m/>
    <n v="0"/>
    <m/>
    <m/>
    <m/>
    <m/>
    <m/>
    <m/>
    <n v="0"/>
    <n v="0"/>
    <n v="0"/>
    <m/>
    <m/>
    <n v="0"/>
    <x v="54"/>
  </r>
  <r>
    <x v="3"/>
    <d v="2025-12-08T00:00:00"/>
    <m/>
    <m/>
    <m/>
    <m/>
    <m/>
    <m/>
    <m/>
    <m/>
    <m/>
    <m/>
    <m/>
    <m/>
    <m/>
    <n v="0"/>
    <n v="0"/>
    <n v="0"/>
    <n v="0"/>
    <m/>
    <m/>
    <m/>
    <m/>
    <n v="0"/>
    <m/>
    <m/>
    <m/>
    <m/>
    <m/>
    <m/>
    <n v="0"/>
    <n v="0"/>
    <n v="0"/>
    <m/>
    <m/>
    <n v="0"/>
    <x v="54"/>
  </r>
  <r>
    <x v="3"/>
    <d v="2025-12-09T00:00:00"/>
    <m/>
    <m/>
    <m/>
    <m/>
    <m/>
    <m/>
    <m/>
    <m/>
    <m/>
    <m/>
    <m/>
    <m/>
    <m/>
    <n v="0"/>
    <n v="0"/>
    <n v="0"/>
    <n v="0"/>
    <m/>
    <m/>
    <m/>
    <m/>
    <n v="0"/>
    <m/>
    <m/>
    <m/>
    <m/>
    <m/>
    <m/>
    <n v="0"/>
    <n v="0"/>
    <n v="0"/>
    <m/>
    <m/>
    <n v="0"/>
    <x v="54"/>
  </r>
  <r>
    <x v="3"/>
    <d v="2025-12-10T00:00:00"/>
    <m/>
    <m/>
    <m/>
    <m/>
    <m/>
    <m/>
    <m/>
    <m/>
    <m/>
    <m/>
    <m/>
    <m/>
    <m/>
    <n v="0"/>
    <n v="0"/>
    <n v="0"/>
    <n v="0"/>
    <m/>
    <m/>
    <m/>
    <m/>
    <n v="0"/>
    <m/>
    <m/>
    <m/>
    <m/>
    <m/>
    <m/>
    <n v="0"/>
    <n v="0"/>
    <n v="0"/>
    <m/>
    <m/>
    <n v="0"/>
    <x v="54"/>
  </r>
  <r>
    <x v="3"/>
    <d v="2025-12-11T00:00:00"/>
    <m/>
    <m/>
    <m/>
    <m/>
    <m/>
    <m/>
    <m/>
    <m/>
    <m/>
    <m/>
    <m/>
    <m/>
    <m/>
    <n v="0"/>
    <n v="0"/>
    <n v="0"/>
    <n v="0"/>
    <m/>
    <m/>
    <m/>
    <m/>
    <n v="0"/>
    <m/>
    <m/>
    <m/>
    <m/>
    <m/>
    <m/>
    <n v="0"/>
    <n v="0"/>
    <n v="0"/>
    <m/>
    <m/>
    <n v="0"/>
    <x v="54"/>
  </r>
  <r>
    <x v="3"/>
    <d v="2025-12-12T00:00:00"/>
    <m/>
    <m/>
    <m/>
    <m/>
    <m/>
    <m/>
    <m/>
    <m/>
    <m/>
    <m/>
    <m/>
    <m/>
    <m/>
    <n v="0"/>
    <n v="0"/>
    <n v="0"/>
    <n v="0"/>
    <m/>
    <m/>
    <m/>
    <m/>
    <n v="0"/>
    <m/>
    <m/>
    <m/>
    <m/>
    <m/>
    <m/>
    <n v="0"/>
    <n v="0"/>
    <n v="0"/>
    <m/>
    <m/>
    <n v="0"/>
    <x v="54"/>
  </r>
  <r>
    <x v="3"/>
    <d v="2025-12-13T00:00:00"/>
    <m/>
    <m/>
    <m/>
    <m/>
    <m/>
    <m/>
    <m/>
    <m/>
    <m/>
    <m/>
    <m/>
    <m/>
    <m/>
    <n v="0"/>
    <n v="0"/>
    <n v="0"/>
    <n v="0"/>
    <m/>
    <m/>
    <m/>
    <m/>
    <n v="0"/>
    <m/>
    <m/>
    <m/>
    <m/>
    <m/>
    <m/>
    <n v="0"/>
    <n v="0"/>
    <n v="0"/>
    <m/>
    <m/>
    <n v="0"/>
    <x v="54"/>
  </r>
  <r>
    <x v="3"/>
    <d v="2025-12-14T00:00:00"/>
    <m/>
    <m/>
    <m/>
    <m/>
    <m/>
    <m/>
    <m/>
    <m/>
    <m/>
    <m/>
    <m/>
    <m/>
    <m/>
    <n v="0"/>
    <n v="0"/>
    <n v="0"/>
    <n v="0"/>
    <m/>
    <m/>
    <m/>
    <m/>
    <n v="0"/>
    <m/>
    <m/>
    <m/>
    <m/>
    <m/>
    <m/>
    <n v="0"/>
    <n v="0"/>
    <n v="0"/>
    <m/>
    <m/>
    <n v="0"/>
    <x v="54"/>
  </r>
  <r>
    <x v="3"/>
    <d v="2025-12-15T00:00:00"/>
    <m/>
    <m/>
    <m/>
    <m/>
    <m/>
    <m/>
    <m/>
    <m/>
    <m/>
    <m/>
    <m/>
    <m/>
    <m/>
    <n v="0"/>
    <n v="0"/>
    <n v="0"/>
    <n v="0"/>
    <m/>
    <m/>
    <m/>
    <m/>
    <n v="0"/>
    <m/>
    <m/>
    <m/>
    <m/>
    <m/>
    <m/>
    <n v="0"/>
    <n v="0"/>
    <n v="0"/>
    <m/>
    <m/>
    <n v="0"/>
    <x v="54"/>
  </r>
  <r>
    <x v="3"/>
    <d v="2025-12-16T00:00:00"/>
    <m/>
    <m/>
    <m/>
    <m/>
    <m/>
    <m/>
    <m/>
    <m/>
    <m/>
    <m/>
    <m/>
    <m/>
    <m/>
    <n v="0"/>
    <n v="0"/>
    <n v="0"/>
    <n v="0"/>
    <m/>
    <m/>
    <m/>
    <m/>
    <n v="0"/>
    <m/>
    <m/>
    <m/>
    <m/>
    <m/>
    <m/>
    <n v="0"/>
    <n v="0"/>
    <n v="0"/>
    <m/>
    <m/>
    <n v="0"/>
    <x v="54"/>
  </r>
  <r>
    <x v="3"/>
    <d v="2025-12-17T00:00:00"/>
    <m/>
    <m/>
    <m/>
    <m/>
    <m/>
    <m/>
    <m/>
    <m/>
    <m/>
    <m/>
    <m/>
    <m/>
    <m/>
    <n v="0"/>
    <n v="0"/>
    <n v="0"/>
    <n v="0"/>
    <m/>
    <m/>
    <m/>
    <m/>
    <n v="0"/>
    <m/>
    <m/>
    <m/>
    <m/>
    <m/>
    <m/>
    <n v="0"/>
    <n v="0"/>
    <n v="0"/>
    <m/>
    <m/>
    <n v="0"/>
    <x v="54"/>
  </r>
  <r>
    <x v="3"/>
    <d v="2025-12-18T00:00:00"/>
    <m/>
    <m/>
    <m/>
    <m/>
    <m/>
    <m/>
    <m/>
    <m/>
    <m/>
    <m/>
    <m/>
    <m/>
    <m/>
    <n v="0"/>
    <n v="0"/>
    <n v="0"/>
    <n v="0"/>
    <m/>
    <m/>
    <m/>
    <m/>
    <n v="0"/>
    <m/>
    <m/>
    <m/>
    <m/>
    <m/>
    <m/>
    <n v="0"/>
    <n v="0"/>
    <n v="0"/>
    <m/>
    <m/>
    <n v="0"/>
    <x v="54"/>
  </r>
  <r>
    <x v="3"/>
    <d v="2025-12-19T00:00:00"/>
    <m/>
    <m/>
    <m/>
    <m/>
    <m/>
    <m/>
    <m/>
    <m/>
    <m/>
    <m/>
    <m/>
    <m/>
    <m/>
    <n v="0"/>
    <n v="0"/>
    <n v="0"/>
    <n v="0"/>
    <m/>
    <m/>
    <m/>
    <m/>
    <n v="0"/>
    <m/>
    <m/>
    <m/>
    <m/>
    <m/>
    <m/>
    <n v="0"/>
    <n v="0"/>
    <n v="0"/>
    <m/>
    <m/>
    <n v="0"/>
    <x v="54"/>
  </r>
  <r>
    <x v="3"/>
    <d v="2025-12-20T00:00:00"/>
    <m/>
    <m/>
    <m/>
    <m/>
    <m/>
    <m/>
    <m/>
    <m/>
    <m/>
    <m/>
    <m/>
    <m/>
    <m/>
    <n v="0"/>
    <n v="0"/>
    <n v="0"/>
    <n v="0"/>
    <m/>
    <m/>
    <m/>
    <m/>
    <n v="0"/>
    <m/>
    <m/>
    <m/>
    <m/>
    <m/>
    <m/>
    <n v="0"/>
    <n v="0"/>
    <n v="0"/>
    <m/>
    <m/>
    <n v="0"/>
    <x v="54"/>
  </r>
  <r>
    <x v="3"/>
    <d v="2025-12-21T00:00:00"/>
    <m/>
    <m/>
    <m/>
    <m/>
    <m/>
    <m/>
    <m/>
    <m/>
    <m/>
    <m/>
    <m/>
    <m/>
    <m/>
    <n v="0"/>
    <n v="0"/>
    <n v="0"/>
    <n v="0"/>
    <m/>
    <m/>
    <m/>
    <m/>
    <n v="0"/>
    <m/>
    <m/>
    <m/>
    <m/>
    <m/>
    <m/>
    <n v="0"/>
    <n v="0"/>
    <n v="0"/>
    <m/>
    <m/>
    <n v="0"/>
    <x v="54"/>
  </r>
  <r>
    <x v="3"/>
    <d v="2025-12-22T00:00:00"/>
    <m/>
    <m/>
    <m/>
    <m/>
    <m/>
    <m/>
    <m/>
    <m/>
    <m/>
    <m/>
    <m/>
    <m/>
    <m/>
    <n v="0"/>
    <n v="0"/>
    <n v="0"/>
    <n v="0"/>
    <m/>
    <m/>
    <m/>
    <m/>
    <n v="0"/>
    <m/>
    <m/>
    <m/>
    <m/>
    <m/>
    <m/>
    <n v="0"/>
    <n v="0"/>
    <n v="0"/>
    <m/>
    <m/>
    <n v="0"/>
    <x v="54"/>
  </r>
  <r>
    <x v="3"/>
    <d v="2025-12-23T00:00:00"/>
    <m/>
    <m/>
    <m/>
    <m/>
    <m/>
    <m/>
    <m/>
    <m/>
    <m/>
    <m/>
    <m/>
    <m/>
    <m/>
    <n v="0"/>
    <n v="0"/>
    <n v="0"/>
    <n v="0"/>
    <m/>
    <m/>
    <m/>
    <m/>
    <n v="0"/>
    <m/>
    <m/>
    <m/>
    <m/>
    <m/>
    <m/>
    <n v="0"/>
    <n v="0"/>
    <n v="0"/>
    <m/>
    <m/>
    <n v="0"/>
    <x v="54"/>
  </r>
  <r>
    <x v="3"/>
    <d v="2025-12-24T00:00:00"/>
    <m/>
    <m/>
    <m/>
    <m/>
    <m/>
    <m/>
    <m/>
    <m/>
    <m/>
    <m/>
    <m/>
    <m/>
    <m/>
    <n v="0"/>
    <n v="0"/>
    <n v="0"/>
    <n v="0"/>
    <m/>
    <m/>
    <m/>
    <m/>
    <n v="0"/>
    <m/>
    <m/>
    <m/>
    <m/>
    <m/>
    <m/>
    <n v="0"/>
    <n v="0"/>
    <n v="0"/>
    <m/>
    <m/>
    <n v="0"/>
    <x v="54"/>
  </r>
  <r>
    <x v="3"/>
    <d v="2025-12-25T00:00:00"/>
    <m/>
    <m/>
    <m/>
    <m/>
    <m/>
    <m/>
    <m/>
    <m/>
    <m/>
    <m/>
    <m/>
    <m/>
    <m/>
    <n v="0"/>
    <n v="0"/>
    <n v="0"/>
    <n v="0"/>
    <m/>
    <m/>
    <m/>
    <m/>
    <n v="0"/>
    <m/>
    <m/>
    <m/>
    <m/>
    <m/>
    <m/>
    <n v="0"/>
    <n v="0"/>
    <n v="0"/>
    <m/>
    <m/>
    <n v="0"/>
    <x v="54"/>
  </r>
  <r>
    <x v="3"/>
    <d v="2025-12-26T00:00:00"/>
    <m/>
    <m/>
    <m/>
    <m/>
    <m/>
    <m/>
    <m/>
    <m/>
    <m/>
    <m/>
    <m/>
    <m/>
    <m/>
    <n v="0"/>
    <n v="0"/>
    <n v="0"/>
    <n v="0"/>
    <m/>
    <m/>
    <m/>
    <m/>
    <n v="0"/>
    <m/>
    <m/>
    <m/>
    <m/>
    <m/>
    <m/>
    <n v="0"/>
    <n v="0"/>
    <n v="0"/>
    <m/>
    <m/>
    <n v="0"/>
    <x v="54"/>
  </r>
  <r>
    <x v="3"/>
    <d v="2025-12-27T00:00:00"/>
    <m/>
    <m/>
    <m/>
    <m/>
    <m/>
    <m/>
    <m/>
    <m/>
    <m/>
    <m/>
    <m/>
    <m/>
    <m/>
    <n v="0"/>
    <n v="0"/>
    <n v="0"/>
    <n v="0"/>
    <m/>
    <m/>
    <m/>
    <m/>
    <n v="0"/>
    <m/>
    <m/>
    <m/>
    <m/>
    <m/>
    <m/>
    <n v="0"/>
    <n v="0"/>
    <n v="0"/>
    <m/>
    <m/>
    <n v="0"/>
    <x v="54"/>
  </r>
  <r>
    <x v="3"/>
    <d v="2025-12-28T00:00:00"/>
    <m/>
    <m/>
    <m/>
    <m/>
    <m/>
    <m/>
    <m/>
    <m/>
    <m/>
    <m/>
    <m/>
    <m/>
    <m/>
    <n v="0"/>
    <n v="0"/>
    <n v="0"/>
    <n v="0"/>
    <m/>
    <m/>
    <m/>
    <m/>
    <n v="0"/>
    <m/>
    <m/>
    <m/>
    <m/>
    <m/>
    <m/>
    <n v="0"/>
    <n v="0"/>
    <n v="0"/>
    <m/>
    <m/>
    <n v="0"/>
    <x v="54"/>
  </r>
  <r>
    <x v="3"/>
    <d v="2025-12-29T00:00:00"/>
    <m/>
    <m/>
    <m/>
    <m/>
    <m/>
    <m/>
    <m/>
    <m/>
    <m/>
    <m/>
    <m/>
    <m/>
    <m/>
    <n v="0"/>
    <n v="0"/>
    <n v="0"/>
    <n v="0"/>
    <m/>
    <m/>
    <m/>
    <m/>
    <n v="0"/>
    <m/>
    <m/>
    <m/>
    <m/>
    <m/>
    <m/>
    <n v="0"/>
    <n v="0"/>
    <n v="0"/>
    <m/>
    <m/>
    <n v="0"/>
    <x v="54"/>
  </r>
  <r>
    <x v="3"/>
    <d v="2025-12-30T00:00:00"/>
    <m/>
    <m/>
    <m/>
    <m/>
    <m/>
    <m/>
    <m/>
    <m/>
    <m/>
    <m/>
    <m/>
    <m/>
    <m/>
    <n v="0"/>
    <n v="0"/>
    <n v="0"/>
    <n v="0"/>
    <m/>
    <m/>
    <m/>
    <m/>
    <n v="0"/>
    <m/>
    <m/>
    <m/>
    <m/>
    <m/>
    <m/>
    <n v="0"/>
    <n v="0"/>
    <n v="0"/>
    <m/>
    <m/>
    <n v="0"/>
    <x v="54"/>
  </r>
  <r>
    <x v="3"/>
    <d v="2025-12-31T00:00:00"/>
    <m/>
    <m/>
    <m/>
    <m/>
    <m/>
    <m/>
    <m/>
    <m/>
    <m/>
    <m/>
    <m/>
    <m/>
    <m/>
    <n v="0"/>
    <n v="0"/>
    <n v="0"/>
    <n v="0"/>
    <m/>
    <m/>
    <m/>
    <m/>
    <n v="0"/>
    <m/>
    <m/>
    <m/>
    <m/>
    <m/>
    <m/>
    <n v="0"/>
    <n v="0"/>
    <n v="0"/>
    <m/>
    <m/>
    <n v="0"/>
    <x v="54"/>
  </r>
  <r>
    <x v="3"/>
    <d v="2026-01-01T00:00:00"/>
    <m/>
    <m/>
    <m/>
    <m/>
    <m/>
    <m/>
    <m/>
    <m/>
    <m/>
    <m/>
    <m/>
    <m/>
    <m/>
    <n v="0"/>
    <n v="0"/>
    <n v="0"/>
    <n v="0"/>
    <m/>
    <m/>
    <m/>
    <m/>
    <n v="0"/>
    <m/>
    <m/>
    <m/>
    <m/>
    <m/>
    <m/>
    <n v="0"/>
    <n v="0"/>
    <n v="0"/>
    <m/>
    <m/>
    <n v="0"/>
    <x v="54"/>
  </r>
  <r>
    <x v="3"/>
    <d v="2026-01-02T00:00:00"/>
    <m/>
    <m/>
    <m/>
    <m/>
    <m/>
    <m/>
    <m/>
    <m/>
    <m/>
    <m/>
    <m/>
    <m/>
    <m/>
    <n v="0"/>
    <n v="0"/>
    <n v="0"/>
    <n v="0"/>
    <m/>
    <m/>
    <m/>
    <m/>
    <n v="0"/>
    <m/>
    <m/>
    <m/>
    <m/>
    <m/>
    <m/>
    <n v="0"/>
    <n v="0"/>
    <n v="0"/>
    <m/>
    <m/>
    <n v="0"/>
    <x v="54"/>
  </r>
  <r>
    <x v="3"/>
    <d v="2026-01-03T00:00:00"/>
    <m/>
    <m/>
    <m/>
    <m/>
    <m/>
    <m/>
    <m/>
    <m/>
    <m/>
    <m/>
    <m/>
    <m/>
    <m/>
    <n v="0"/>
    <n v="0"/>
    <n v="0"/>
    <n v="0"/>
    <m/>
    <m/>
    <m/>
    <m/>
    <n v="0"/>
    <m/>
    <m/>
    <m/>
    <m/>
    <m/>
    <m/>
    <n v="0"/>
    <n v="0"/>
    <n v="0"/>
    <m/>
    <m/>
    <n v="0"/>
    <x v="54"/>
  </r>
  <r>
    <x v="3"/>
    <d v="2026-01-04T00:00:00"/>
    <m/>
    <m/>
    <m/>
    <m/>
    <m/>
    <m/>
    <m/>
    <m/>
    <m/>
    <m/>
    <m/>
    <m/>
    <m/>
    <n v="0"/>
    <n v="0"/>
    <n v="0"/>
    <n v="0"/>
    <m/>
    <m/>
    <m/>
    <m/>
    <n v="0"/>
    <m/>
    <m/>
    <m/>
    <m/>
    <m/>
    <m/>
    <n v="0"/>
    <n v="0"/>
    <n v="0"/>
    <m/>
    <m/>
    <n v="0"/>
    <x v="54"/>
  </r>
  <r>
    <x v="3"/>
    <d v="2026-01-05T00:00:00"/>
    <m/>
    <m/>
    <m/>
    <m/>
    <m/>
    <m/>
    <m/>
    <m/>
    <m/>
    <m/>
    <m/>
    <m/>
    <m/>
    <n v="0"/>
    <n v="0"/>
    <n v="0"/>
    <n v="0"/>
    <m/>
    <m/>
    <m/>
    <m/>
    <n v="0"/>
    <m/>
    <m/>
    <m/>
    <m/>
    <m/>
    <m/>
    <n v="0"/>
    <n v="0"/>
    <n v="0"/>
    <m/>
    <m/>
    <n v="0"/>
    <x v="54"/>
  </r>
  <r>
    <x v="3"/>
    <d v="2026-01-06T00:00:00"/>
    <m/>
    <m/>
    <m/>
    <m/>
    <m/>
    <m/>
    <m/>
    <m/>
    <m/>
    <m/>
    <m/>
    <m/>
    <m/>
    <n v="0"/>
    <n v="0"/>
    <n v="0"/>
    <n v="0"/>
    <m/>
    <m/>
    <m/>
    <m/>
    <n v="0"/>
    <m/>
    <m/>
    <m/>
    <m/>
    <m/>
    <m/>
    <n v="0"/>
    <n v="0"/>
    <n v="0"/>
    <m/>
    <m/>
    <n v="0"/>
    <x v="54"/>
  </r>
  <r>
    <x v="3"/>
    <d v="2026-01-07T00:00:00"/>
    <m/>
    <m/>
    <m/>
    <m/>
    <m/>
    <m/>
    <m/>
    <m/>
    <m/>
    <m/>
    <m/>
    <m/>
    <m/>
    <n v="0"/>
    <n v="0"/>
    <n v="0"/>
    <n v="0"/>
    <m/>
    <m/>
    <m/>
    <m/>
    <n v="0"/>
    <m/>
    <m/>
    <m/>
    <m/>
    <m/>
    <m/>
    <n v="0"/>
    <n v="0"/>
    <n v="0"/>
    <m/>
    <m/>
    <n v="0"/>
    <x v="54"/>
  </r>
  <r>
    <x v="3"/>
    <d v="2026-01-08T00:00:00"/>
    <m/>
    <m/>
    <m/>
    <m/>
    <m/>
    <m/>
    <m/>
    <m/>
    <m/>
    <m/>
    <m/>
    <m/>
    <m/>
    <n v="0"/>
    <n v="0"/>
    <n v="0"/>
    <n v="0"/>
    <m/>
    <m/>
    <m/>
    <m/>
    <n v="0"/>
    <m/>
    <m/>
    <m/>
    <m/>
    <m/>
    <m/>
    <n v="0"/>
    <n v="0"/>
    <n v="0"/>
    <m/>
    <m/>
    <n v="0"/>
    <x v="54"/>
  </r>
  <r>
    <x v="3"/>
    <d v="2026-01-09T00:00:00"/>
    <m/>
    <m/>
    <m/>
    <m/>
    <m/>
    <m/>
    <m/>
    <m/>
    <m/>
    <m/>
    <m/>
    <m/>
    <m/>
    <n v="0"/>
    <n v="0"/>
    <n v="0"/>
    <n v="0"/>
    <m/>
    <m/>
    <m/>
    <m/>
    <n v="0"/>
    <m/>
    <m/>
    <m/>
    <m/>
    <m/>
    <m/>
    <n v="0"/>
    <n v="0"/>
    <n v="0"/>
    <m/>
    <m/>
    <n v="0"/>
    <x v="54"/>
  </r>
  <r>
    <x v="3"/>
    <d v="2026-01-10T00:00:00"/>
    <m/>
    <m/>
    <m/>
    <m/>
    <m/>
    <m/>
    <m/>
    <m/>
    <m/>
    <m/>
    <m/>
    <m/>
    <m/>
    <n v="0"/>
    <n v="0"/>
    <n v="0"/>
    <n v="0"/>
    <m/>
    <m/>
    <m/>
    <m/>
    <n v="0"/>
    <m/>
    <m/>
    <m/>
    <m/>
    <m/>
    <m/>
    <n v="0"/>
    <n v="0"/>
    <n v="0"/>
    <m/>
    <m/>
    <n v="0"/>
    <x v="54"/>
  </r>
  <r>
    <x v="3"/>
    <d v="2026-01-11T00:00:00"/>
    <m/>
    <m/>
    <m/>
    <m/>
    <m/>
    <m/>
    <m/>
    <m/>
    <m/>
    <m/>
    <m/>
    <m/>
    <m/>
    <n v="0"/>
    <n v="0"/>
    <n v="0"/>
    <n v="0"/>
    <m/>
    <m/>
    <m/>
    <m/>
    <n v="0"/>
    <m/>
    <m/>
    <m/>
    <m/>
    <m/>
    <m/>
    <n v="0"/>
    <n v="0"/>
    <n v="0"/>
    <m/>
    <m/>
    <n v="0"/>
    <x v="54"/>
  </r>
  <r>
    <x v="3"/>
    <d v="2026-01-12T00:00:00"/>
    <m/>
    <m/>
    <m/>
    <m/>
    <m/>
    <m/>
    <m/>
    <m/>
    <m/>
    <m/>
    <m/>
    <m/>
    <m/>
    <n v="0"/>
    <n v="0"/>
    <n v="0"/>
    <n v="0"/>
    <m/>
    <m/>
    <m/>
    <m/>
    <n v="0"/>
    <m/>
    <m/>
    <m/>
    <m/>
    <m/>
    <m/>
    <n v="0"/>
    <n v="0"/>
    <n v="0"/>
    <m/>
    <m/>
    <n v="0"/>
    <x v="54"/>
  </r>
  <r>
    <x v="3"/>
    <d v="2026-01-13T00:00:00"/>
    <m/>
    <m/>
    <m/>
    <m/>
    <m/>
    <m/>
    <m/>
    <m/>
    <m/>
    <m/>
    <m/>
    <m/>
    <m/>
    <n v="0"/>
    <n v="0"/>
    <n v="0"/>
    <n v="0"/>
    <m/>
    <m/>
    <m/>
    <m/>
    <n v="0"/>
    <m/>
    <m/>
    <m/>
    <m/>
    <m/>
    <m/>
    <n v="0"/>
    <n v="0"/>
    <n v="0"/>
    <m/>
    <m/>
    <n v="0"/>
    <x v="54"/>
  </r>
  <r>
    <x v="3"/>
    <d v="2026-01-14T00:00:00"/>
    <m/>
    <m/>
    <m/>
    <m/>
    <m/>
    <m/>
    <m/>
    <m/>
    <m/>
    <m/>
    <m/>
    <m/>
    <m/>
    <n v="0"/>
    <n v="0"/>
    <n v="0"/>
    <n v="0"/>
    <m/>
    <m/>
    <m/>
    <m/>
    <n v="0"/>
    <m/>
    <m/>
    <m/>
    <m/>
    <m/>
    <m/>
    <n v="0"/>
    <n v="0"/>
    <n v="0"/>
    <m/>
    <m/>
    <n v="0"/>
    <x v="54"/>
  </r>
  <r>
    <x v="3"/>
    <d v="2026-01-15T00:00:00"/>
    <m/>
    <m/>
    <m/>
    <m/>
    <m/>
    <m/>
    <m/>
    <m/>
    <m/>
    <m/>
    <m/>
    <m/>
    <m/>
    <n v="0"/>
    <n v="0"/>
    <n v="0"/>
    <n v="0"/>
    <m/>
    <m/>
    <m/>
    <m/>
    <n v="0"/>
    <m/>
    <m/>
    <m/>
    <m/>
    <m/>
    <m/>
    <n v="0"/>
    <n v="0"/>
    <n v="0"/>
    <m/>
    <m/>
    <n v="0"/>
    <x v="54"/>
  </r>
  <r>
    <x v="3"/>
    <d v="2026-01-16T00:00:00"/>
    <m/>
    <m/>
    <m/>
    <m/>
    <m/>
    <m/>
    <m/>
    <m/>
    <m/>
    <m/>
    <m/>
    <m/>
    <m/>
    <n v="0"/>
    <n v="0"/>
    <n v="0"/>
    <n v="0"/>
    <m/>
    <m/>
    <m/>
    <m/>
    <n v="0"/>
    <m/>
    <m/>
    <m/>
    <m/>
    <m/>
    <m/>
    <n v="0"/>
    <n v="0"/>
    <n v="0"/>
    <m/>
    <m/>
    <n v="0"/>
    <x v="54"/>
  </r>
  <r>
    <x v="3"/>
    <d v="2026-01-17T00:00:00"/>
    <m/>
    <m/>
    <m/>
    <m/>
    <m/>
    <m/>
    <m/>
    <m/>
    <m/>
    <m/>
    <m/>
    <m/>
    <m/>
    <n v="0"/>
    <n v="0"/>
    <n v="0"/>
    <n v="0"/>
    <m/>
    <m/>
    <m/>
    <m/>
    <n v="0"/>
    <m/>
    <m/>
    <m/>
    <m/>
    <m/>
    <m/>
    <n v="0"/>
    <n v="0"/>
    <n v="0"/>
    <m/>
    <m/>
    <n v="0"/>
    <x v="54"/>
  </r>
  <r>
    <x v="3"/>
    <d v="2026-01-18T00:00:00"/>
    <m/>
    <m/>
    <m/>
    <m/>
    <m/>
    <m/>
    <m/>
    <m/>
    <m/>
    <m/>
    <m/>
    <m/>
    <m/>
    <n v="0"/>
    <n v="0"/>
    <n v="0"/>
    <n v="0"/>
    <m/>
    <m/>
    <m/>
    <m/>
    <n v="0"/>
    <m/>
    <m/>
    <m/>
    <m/>
    <m/>
    <m/>
    <n v="0"/>
    <n v="0"/>
    <n v="0"/>
    <m/>
    <m/>
    <n v="0"/>
    <x v="54"/>
  </r>
  <r>
    <x v="3"/>
    <d v="2026-01-19T00:00:00"/>
    <m/>
    <m/>
    <m/>
    <m/>
    <m/>
    <m/>
    <m/>
    <m/>
    <m/>
    <m/>
    <m/>
    <m/>
    <m/>
    <n v="0"/>
    <n v="0"/>
    <n v="0"/>
    <n v="0"/>
    <m/>
    <m/>
    <m/>
    <m/>
    <n v="0"/>
    <m/>
    <m/>
    <m/>
    <m/>
    <m/>
    <m/>
    <n v="0"/>
    <n v="0"/>
    <n v="0"/>
    <m/>
    <m/>
    <n v="0"/>
    <x v="54"/>
  </r>
  <r>
    <x v="3"/>
    <d v="2026-01-20T00:00:00"/>
    <m/>
    <m/>
    <m/>
    <m/>
    <m/>
    <m/>
    <m/>
    <m/>
    <m/>
    <m/>
    <m/>
    <m/>
    <m/>
    <n v="0"/>
    <n v="0"/>
    <n v="0"/>
    <n v="0"/>
    <m/>
    <m/>
    <m/>
    <m/>
    <n v="0"/>
    <m/>
    <m/>
    <m/>
    <m/>
    <m/>
    <m/>
    <n v="0"/>
    <n v="0"/>
    <n v="0"/>
    <m/>
    <m/>
    <n v="0"/>
    <x v="54"/>
  </r>
  <r>
    <x v="3"/>
    <d v="2026-01-21T00:00:00"/>
    <m/>
    <m/>
    <m/>
    <m/>
    <m/>
    <m/>
    <m/>
    <m/>
    <m/>
    <m/>
    <m/>
    <m/>
    <m/>
    <n v="0"/>
    <n v="0"/>
    <n v="0"/>
    <n v="0"/>
    <m/>
    <m/>
    <m/>
    <m/>
    <n v="0"/>
    <m/>
    <m/>
    <m/>
    <m/>
    <m/>
    <m/>
    <n v="0"/>
    <n v="0"/>
    <n v="0"/>
    <m/>
    <m/>
    <n v="0"/>
    <x v="54"/>
  </r>
  <r>
    <x v="3"/>
    <d v="2026-01-22T00:00:00"/>
    <m/>
    <m/>
    <m/>
    <m/>
    <m/>
    <m/>
    <m/>
    <m/>
    <m/>
    <m/>
    <m/>
    <m/>
    <m/>
    <n v="0"/>
    <n v="0"/>
    <n v="0"/>
    <n v="0"/>
    <m/>
    <m/>
    <m/>
    <m/>
    <n v="0"/>
    <m/>
    <m/>
    <m/>
    <m/>
    <m/>
    <m/>
    <n v="0"/>
    <n v="0"/>
    <n v="0"/>
    <m/>
    <m/>
    <n v="0"/>
    <x v="54"/>
  </r>
  <r>
    <x v="3"/>
    <d v="2026-01-23T00:00:00"/>
    <m/>
    <m/>
    <m/>
    <m/>
    <m/>
    <m/>
    <m/>
    <m/>
    <m/>
    <m/>
    <m/>
    <m/>
    <m/>
    <n v="0"/>
    <n v="0"/>
    <n v="0"/>
    <n v="0"/>
    <m/>
    <m/>
    <m/>
    <m/>
    <n v="0"/>
    <m/>
    <m/>
    <m/>
    <m/>
    <m/>
    <m/>
    <n v="0"/>
    <n v="0"/>
    <n v="0"/>
    <m/>
    <m/>
    <n v="0"/>
    <x v="54"/>
  </r>
  <r>
    <x v="3"/>
    <d v="2026-01-24T00:00:00"/>
    <m/>
    <m/>
    <m/>
    <m/>
    <m/>
    <m/>
    <m/>
    <m/>
    <m/>
    <m/>
    <m/>
    <m/>
    <m/>
    <n v="0"/>
    <n v="0"/>
    <n v="0"/>
    <n v="0"/>
    <m/>
    <m/>
    <m/>
    <m/>
    <n v="0"/>
    <m/>
    <m/>
    <m/>
    <m/>
    <m/>
    <m/>
    <n v="0"/>
    <n v="0"/>
    <n v="0"/>
    <m/>
    <m/>
    <n v="0"/>
    <x v="54"/>
  </r>
  <r>
    <x v="3"/>
    <d v="2026-01-25T00:00:00"/>
    <m/>
    <m/>
    <m/>
    <m/>
    <m/>
    <m/>
    <m/>
    <m/>
    <m/>
    <m/>
    <m/>
    <m/>
    <m/>
    <n v="0"/>
    <n v="0"/>
    <n v="0"/>
    <n v="0"/>
    <m/>
    <m/>
    <m/>
    <m/>
    <n v="0"/>
    <m/>
    <m/>
    <m/>
    <m/>
    <m/>
    <m/>
    <n v="0"/>
    <n v="0"/>
    <n v="0"/>
    <m/>
    <m/>
    <n v="0"/>
    <x v="54"/>
  </r>
  <r>
    <x v="3"/>
    <d v="2026-01-26T00:00:00"/>
    <m/>
    <m/>
    <m/>
    <m/>
    <m/>
    <m/>
    <m/>
    <m/>
    <m/>
    <m/>
    <m/>
    <m/>
    <m/>
    <n v="0"/>
    <n v="0"/>
    <n v="0"/>
    <n v="0"/>
    <m/>
    <m/>
    <m/>
    <m/>
    <n v="0"/>
    <m/>
    <m/>
    <m/>
    <m/>
    <m/>
    <m/>
    <n v="0"/>
    <n v="0"/>
    <n v="0"/>
    <m/>
    <m/>
    <n v="0"/>
    <x v="54"/>
  </r>
  <r>
    <x v="3"/>
    <d v="2026-01-27T00:00:00"/>
    <m/>
    <m/>
    <m/>
    <m/>
    <m/>
    <m/>
    <m/>
    <m/>
    <m/>
    <m/>
    <m/>
    <m/>
    <m/>
    <n v="0"/>
    <n v="0"/>
    <n v="0"/>
    <n v="0"/>
    <m/>
    <m/>
    <m/>
    <m/>
    <n v="0"/>
    <m/>
    <m/>
    <m/>
    <m/>
    <m/>
    <m/>
    <n v="0"/>
    <n v="0"/>
    <n v="0"/>
    <m/>
    <m/>
    <n v="0"/>
    <x v="54"/>
  </r>
  <r>
    <x v="3"/>
    <d v="2026-01-28T00:00:00"/>
    <m/>
    <m/>
    <m/>
    <m/>
    <m/>
    <m/>
    <m/>
    <m/>
    <m/>
    <m/>
    <m/>
    <m/>
    <m/>
    <n v="0"/>
    <n v="0"/>
    <n v="0"/>
    <n v="0"/>
    <m/>
    <m/>
    <m/>
    <m/>
    <n v="0"/>
    <m/>
    <m/>
    <m/>
    <m/>
    <m/>
    <m/>
    <n v="0"/>
    <n v="0"/>
    <n v="0"/>
    <m/>
    <m/>
    <n v="0"/>
    <x v="54"/>
  </r>
  <r>
    <x v="3"/>
    <d v="2026-01-29T00:00:00"/>
    <m/>
    <m/>
    <m/>
    <m/>
    <m/>
    <m/>
    <m/>
    <m/>
    <m/>
    <m/>
    <m/>
    <m/>
    <m/>
    <n v="0"/>
    <n v="0"/>
    <n v="0"/>
    <n v="0"/>
    <m/>
    <m/>
    <m/>
    <m/>
    <n v="0"/>
    <m/>
    <m/>
    <m/>
    <m/>
    <m/>
    <m/>
    <n v="0"/>
    <n v="0"/>
    <n v="0"/>
    <m/>
    <m/>
    <n v="0"/>
    <x v="54"/>
  </r>
  <r>
    <x v="3"/>
    <d v="2026-01-30T00:00:00"/>
    <m/>
    <m/>
    <m/>
    <m/>
    <m/>
    <m/>
    <m/>
    <m/>
    <m/>
    <m/>
    <m/>
    <m/>
    <m/>
    <n v="0"/>
    <n v="0"/>
    <n v="0"/>
    <n v="0"/>
    <m/>
    <m/>
    <m/>
    <m/>
    <n v="0"/>
    <m/>
    <m/>
    <m/>
    <m/>
    <m/>
    <m/>
    <n v="0"/>
    <n v="0"/>
    <n v="0"/>
    <m/>
    <m/>
    <n v="0"/>
    <x v="54"/>
  </r>
  <r>
    <x v="3"/>
    <d v="2026-01-31T00:00:00"/>
    <m/>
    <m/>
    <m/>
    <m/>
    <m/>
    <m/>
    <m/>
    <m/>
    <m/>
    <m/>
    <m/>
    <m/>
    <m/>
    <n v="0"/>
    <n v="0"/>
    <n v="0"/>
    <n v="0"/>
    <m/>
    <m/>
    <m/>
    <m/>
    <n v="0"/>
    <m/>
    <m/>
    <m/>
    <m/>
    <m/>
    <m/>
    <n v="0"/>
    <n v="0"/>
    <n v="0"/>
    <m/>
    <m/>
    <n v="0"/>
    <x v="54"/>
  </r>
  <r>
    <x v="3"/>
    <d v="2026-02-01T00:00:00"/>
    <m/>
    <m/>
    <m/>
    <m/>
    <m/>
    <m/>
    <m/>
    <m/>
    <m/>
    <m/>
    <m/>
    <m/>
    <m/>
    <n v="0"/>
    <n v="0"/>
    <n v="0"/>
    <n v="0"/>
    <m/>
    <m/>
    <m/>
    <m/>
    <n v="0"/>
    <m/>
    <m/>
    <m/>
    <m/>
    <m/>
    <m/>
    <n v="0"/>
    <n v="0"/>
    <n v="0"/>
    <m/>
    <m/>
    <n v="0"/>
    <x v="54"/>
  </r>
  <r>
    <x v="3"/>
    <d v="2026-02-02T00:00:00"/>
    <m/>
    <m/>
    <m/>
    <m/>
    <m/>
    <m/>
    <m/>
    <m/>
    <m/>
    <m/>
    <m/>
    <m/>
    <m/>
    <n v="0"/>
    <n v="0"/>
    <n v="0"/>
    <n v="0"/>
    <m/>
    <m/>
    <m/>
    <m/>
    <n v="0"/>
    <m/>
    <m/>
    <m/>
    <m/>
    <m/>
    <m/>
    <n v="0"/>
    <n v="0"/>
    <n v="0"/>
    <m/>
    <m/>
    <n v="0"/>
    <x v="54"/>
  </r>
  <r>
    <x v="3"/>
    <d v="2026-02-03T00:00:00"/>
    <m/>
    <m/>
    <m/>
    <m/>
    <m/>
    <m/>
    <m/>
    <m/>
    <m/>
    <m/>
    <m/>
    <m/>
    <m/>
    <n v="0"/>
    <n v="0"/>
    <n v="0"/>
    <n v="0"/>
    <m/>
    <m/>
    <m/>
    <m/>
    <n v="0"/>
    <m/>
    <m/>
    <m/>
    <m/>
    <m/>
    <m/>
    <n v="0"/>
    <n v="0"/>
    <n v="0"/>
    <m/>
    <m/>
    <n v="0"/>
    <x v="54"/>
  </r>
  <r>
    <x v="3"/>
    <d v="2026-02-04T00:00:00"/>
    <m/>
    <m/>
    <m/>
    <m/>
    <m/>
    <m/>
    <m/>
    <m/>
    <m/>
    <m/>
    <m/>
    <m/>
    <m/>
    <n v="0"/>
    <n v="0"/>
    <n v="0"/>
    <n v="0"/>
    <m/>
    <m/>
    <m/>
    <m/>
    <n v="0"/>
    <m/>
    <m/>
    <m/>
    <m/>
    <m/>
    <m/>
    <n v="0"/>
    <n v="0"/>
    <n v="0"/>
    <m/>
    <m/>
    <n v="0"/>
    <x v="54"/>
  </r>
  <r>
    <x v="3"/>
    <d v="2026-02-05T00:00:00"/>
    <m/>
    <m/>
    <m/>
    <m/>
    <m/>
    <m/>
    <m/>
    <m/>
    <m/>
    <m/>
    <m/>
    <m/>
    <m/>
    <n v="0"/>
    <n v="0"/>
    <n v="0"/>
    <n v="0"/>
    <m/>
    <m/>
    <m/>
    <m/>
    <n v="0"/>
    <m/>
    <m/>
    <m/>
    <m/>
    <m/>
    <m/>
    <n v="0"/>
    <n v="0"/>
    <n v="0"/>
    <m/>
    <m/>
    <n v="0"/>
    <x v="54"/>
  </r>
  <r>
    <x v="3"/>
    <d v="2026-02-06T00:00:00"/>
    <m/>
    <m/>
    <m/>
    <m/>
    <m/>
    <m/>
    <m/>
    <m/>
    <m/>
    <m/>
    <m/>
    <m/>
    <m/>
    <n v="0"/>
    <n v="0"/>
    <n v="0"/>
    <n v="0"/>
    <m/>
    <m/>
    <m/>
    <m/>
    <n v="0"/>
    <m/>
    <m/>
    <m/>
    <m/>
    <m/>
    <m/>
    <n v="0"/>
    <n v="0"/>
    <n v="0"/>
    <m/>
    <m/>
    <n v="0"/>
    <x v="54"/>
  </r>
  <r>
    <x v="3"/>
    <d v="2026-02-07T00:00:00"/>
    <m/>
    <m/>
    <m/>
    <m/>
    <m/>
    <m/>
    <m/>
    <m/>
    <m/>
    <m/>
    <m/>
    <m/>
    <m/>
    <n v="0"/>
    <n v="0"/>
    <n v="0"/>
    <n v="0"/>
    <m/>
    <m/>
    <m/>
    <m/>
    <n v="0"/>
    <m/>
    <m/>
    <m/>
    <m/>
    <m/>
    <m/>
    <n v="0"/>
    <n v="0"/>
    <n v="0"/>
    <m/>
    <m/>
    <n v="0"/>
    <x v="54"/>
  </r>
  <r>
    <x v="3"/>
    <d v="2026-02-08T00:00:00"/>
    <m/>
    <m/>
    <m/>
    <m/>
    <m/>
    <m/>
    <m/>
    <m/>
    <m/>
    <m/>
    <m/>
    <m/>
    <m/>
    <n v="0"/>
    <n v="0"/>
    <n v="0"/>
    <n v="0"/>
    <m/>
    <m/>
    <m/>
    <m/>
    <n v="0"/>
    <m/>
    <m/>
    <m/>
    <m/>
    <m/>
    <m/>
    <n v="0"/>
    <n v="0"/>
    <n v="0"/>
    <m/>
    <m/>
    <n v="0"/>
    <x v="54"/>
  </r>
  <r>
    <x v="3"/>
    <d v="2026-02-09T00:00:00"/>
    <m/>
    <m/>
    <m/>
    <m/>
    <m/>
    <m/>
    <m/>
    <m/>
    <m/>
    <m/>
    <m/>
    <m/>
    <m/>
    <n v="0"/>
    <n v="0"/>
    <n v="0"/>
    <n v="0"/>
    <m/>
    <m/>
    <m/>
    <m/>
    <n v="0"/>
    <m/>
    <m/>
    <m/>
    <m/>
    <m/>
    <m/>
    <n v="0"/>
    <n v="0"/>
    <n v="0"/>
    <m/>
    <m/>
    <n v="0"/>
    <x v="54"/>
  </r>
  <r>
    <x v="3"/>
    <d v="2026-02-10T00:00:00"/>
    <m/>
    <m/>
    <m/>
    <m/>
    <m/>
    <m/>
    <m/>
    <m/>
    <m/>
    <m/>
    <m/>
    <m/>
    <m/>
    <n v="0"/>
    <n v="0"/>
    <n v="0"/>
    <n v="0"/>
    <m/>
    <m/>
    <m/>
    <m/>
    <n v="0"/>
    <m/>
    <m/>
    <m/>
    <m/>
    <m/>
    <m/>
    <n v="0"/>
    <n v="0"/>
    <n v="0"/>
    <m/>
    <m/>
    <n v="0"/>
    <x v="54"/>
  </r>
  <r>
    <x v="3"/>
    <d v="2026-02-11T00:00:00"/>
    <m/>
    <m/>
    <m/>
    <m/>
    <m/>
    <m/>
    <m/>
    <m/>
    <m/>
    <m/>
    <m/>
    <m/>
    <m/>
    <n v="0"/>
    <n v="0"/>
    <n v="0"/>
    <n v="0"/>
    <m/>
    <m/>
    <m/>
    <m/>
    <n v="0"/>
    <m/>
    <m/>
    <m/>
    <m/>
    <m/>
    <m/>
    <n v="0"/>
    <n v="0"/>
    <n v="0"/>
    <m/>
    <m/>
    <n v="0"/>
    <x v="54"/>
  </r>
  <r>
    <x v="3"/>
    <d v="2026-02-12T00:00:00"/>
    <m/>
    <m/>
    <m/>
    <m/>
    <m/>
    <m/>
    <m/>
    <m/>
    <m/>
    <m/>
    <m/>
    <m/>
    <m/>
    <n v="0"/>
    <n v="0"/>
    <n v="0"/>
    <n v="0"/>
    <m/>
    <m/>
    <m/>
    <m/>
    <n v="0"/>
    <m/>
    <m/>
    <m/>
    <m/>
    <m/>
    <m/>
    <n v="0"/>
    <n v="0"/>
    <n v="0"/>
    <m/>
    <m/>
    <n v="0"/>
    <x v="54"/>
  </r>
  <r>
    <x v="3"/>
    <d v="2026-02-13T00:00:00"/>
    <m/>
    <m/>
    <m/>
    <m/>
    <m/>
    <m/>
    <m/>
    <m/>
    <m/>
    <m/>
    <m/>
    <m/>
    <m/>
    <n v="0"/>
    <n v="0"/>
    <n v="0"/>
    <n v="0"/>
    <m/>
    <m/>
    <m/>
    <m/>
    <n v="0"/>
    <m/>
    <m/>
    <m/>
    <m/>
    <m/>
    <m/>
    <n v="0"/>
    <n v="0"/>
    <n v="0"/>
    <m/>
    <m/>
    <n v="0"/>
    <x v="54"/>
  </r>
  <r>
    <x v="3"/>
    <d v="2026-02-14T00:00:00"/>
    <m/>
    <m/>
    <m/>
    <m/>
    <m/>
    <m/>
    <m/>
    <m/>
    <m/>
    <m/>
    <m/>
    <m/>
    <m/>
    <n v="0"/>
    <n v="0"/>
    <n v="0"/>
    <n v="0"/>
    <m/>
    <m/>
    <m/>
    <m/>
    <n v="0"/>
    <m/>
    <m/>
    <m/>
    <m/>
    <m/>
    <m/>
    <n v="0"/>
    <n v="0"/>
    <n v="0"/>
    <m/>
    <m/>
    <n v="0"/>
    <x v="54"/>
  </r>
  <r>
    <x v="3"/>
    <d v="2026-02-15T00:00:00"/>
    <m/>
    <m/>
    <m/>
    <m/>
    <m/>
    <m/>
    <m/>
    <m/>
    <m/>
    <m/>
    <m/>
    <m/>
    <m/>
    <n v="0"/>
    <n v="0"/>
    <n v="0"/>
    <n v="0"/>
    <m/>
    <m/>
    <m/>
    <m/>
    <n v="0"/>
    <m/>
    <m/>
    <m/>
    <m/>
    <m/>
    <m/>
    <n v="0"/>
    <n v="0"/>
    <n v="0"/>
    <m/>
    <m/>
    <n v="0"/>
    <x v="54"/>
  </r>
  <r>
    <x v="3"/>
    <d v="2026-02-16T00:00:00"/>
    <m/>
    <m/>
    <m/>
    <m/>
    <m/>
    <m/>
    <m/>
    <m/>
    <m/>
    <m/>
    <m/>
    <m/>
    <m/>
    <n v="0"/>
    <n v="0"/>
    <n v="0"/>
    <n v="0"/>
    <m/>
    <m/>
    <m/>
    <m/>
    <n v="0"/>
    <m/>
    <m/>
    <m/>
    <m/>
    <m/>
    <m/>
    <n v="0"/>
    <n v="0"/>
    <n v="0"/>
    <m/>
    <m/>
    <n v="0"/>
    <x v="54"/>
  </r>
  <r>
    <x v="3"/>
    <d v="2026-02-17T00:00:00"/>
    <m/>
    <m/>
    <m/>
    <m/>
    <m/>
    <m/>
    <m/>
    <m/>
    <m/>
    <m/>
    <m/>
    <m/>
    <m/>
    <n v="0"/>
    <n v="0"/>
    <n v="0"/>
    <n v="0"/>
    <m/>
    <m/>
    <m/>
    <m/>
    <n v="0"/>
    <m/>
    <m/>
    <m/>
    <m/>
    <m/>
    <m/>
    <n v="0"/>
    <n v="0"/>
    <n v="0"/>
    <m/>
    <m/>
    <n v="0"/>
    <x v="54"/>
  </r>
  <r>
    <x v="3"/>
    <d v="2026-02-18T00:00:00"/>
    <m/>
    <m/>
    <m/>
    <m/>
    <m/>
    <m/>
    <m/>
    <m/>
    <m/>
    <m/>
    <m/>
    <m/>
    <m/>
    <n v="0"/>
    <n v="0"/>
    <n v="0"/>
    <n v="0"/>
    <m/>
    <m/>
    <m/>
    <m/>
    <n v="0"/>
    <m/>
    <m/>
    <m/>
    <m/>
    <m/>
    <m/>
    <n v="0"/>
    <n v="0"/>
    <n v="0"/>
    <m/>
    <m/>
    <n v="0"/>
    <x v="54"/>
  </r>
  <r>
    <x v="3"/>
    <d v="2026-02-19T00:00:00"/>
    <m/>
    <m/>
    <m/>
    <m/>
    <m/>
    <m/>
    <m/>
    <m/>
    <m/>
    <m/>
    <m/>
    <m/>
    <m/>
    <n v="0"/>
    <n v="0"/>
    <n v="0"/>
    <n v="0"/>
    <m/>
    <m/>
    <m/>
    <m/>
    <n v="0"/>
    <m/>
    <m/>
    <m/>
    <m/>
    <m/>
    <m/>
    <n v="0"/>
    <n v="0"/>
    <n v="0"/>
    <m/>
    <m/>
    <n v="0"/>
    <x v="54"/>
  </r>
  <r>
    <x v="3"/>
    <d v="2026-02-20T00:00:00"/>
    <m/>
    <m/>
    <m/>
    <m/>
    <m/>
    <m/>
    <m/>
    <m/>
    <m/>
    <m/>
    <m/>
    <m/>
    <m/>
    <n v="0"/>
    <n v="0"/>
    <n v="0"/>
    <n v="0"/>
    <m/>
    <m/>
    <m/>
    <m/>
    <n v="0"/>
    <m/>
    <m/>
    <m/>
    <m/>
    <m/>
    <m/>
    <n v="0"/>
    <n v="0"/>
    <n v="0"/>
    <m/>
    <m/>
    <n v="0"/>
    <x v="54"/>
  </r>
  <r>
    <x v="3"/>
    <d v="2026-02-21T00:00:00"/>
    <m/>
    <m/>
    <m/>
    <m/>
    <m/>
    <m/>
    <m/>
    <m/>
    <m/>
    <m/>
    <m/>
    <m/>
    <m/>
    <n v="0"/>
    <n v="0"/>
    <n v="0"/>
    <n v="0"/>
    <m/>
    <m/>
    <m/>
    <m/>
    <n v="0"/>
    <m/>
    <m/>
    <m/>
    <m/>
    <m/>
    <m/>
    <n v="0"/>
    <n v="0"/>
    <n v="0"/>
    <m/>
    <m/>
    <n v="0"/>
    <x v="54"/>
  </r>
  <r>
    <x v="3"/>
    <d v="2026-02-22T00:00:00"/>
    <m/>
    <m/>
    <m/>
    <m/>
    <m/>
    <m/>
    <m/>
    <m/>
    <m/>
    <m/>
    <m/>
    <m/>
    <m/>
    <n v="0"/>
    <n v="0"/>
    <n v="0"/>
    <n v="0"/>
    <m/>
    <m/>
    <m/>
    <m/>
    <n v="0"/>
    <m/>
    <m/>
    <m/>
    <m/>
    <m/>
    <m/>
    <n v="0"/>
    <n v="0"/>
    <n v="0"/>
    <m/>
    <m/>
    <n v="0"/>
    <x v="54"/>
  </r>
  <r>
    <x v="3"/>
    <d v="2026-02-23T00:00:00"/>
    <m/>
    <m/>
    <m/>
    <m/>
    <m/>
    <m/>
    <m/>
    <m/>
    <m/>
    <m/>
    <m/>
    <m/>
    <m/>
    <n v="0"/>
    <n v="0"/>
    <n v="0"/>
    <n v="0"/>
    <m/>
    <m/>
    <m/>
    <m/>
    <n v="0"/>
    <m/>
    <m/>
    <m/>
    <m/>
    <m/>
    <m/>
    <n v="0"/>
    <n v="0"/>
    <n v="0"/>
    <m/>
    <m/>
    <n v="0"/>
    <x v="54"/>
  </r>
  <r>
    <x v="3"/>
    <d v="2026-02-24T00:00:00"/>
    <m/>
    <m/>
    <m/>
    <m/>
    <m/>
    <m/>
    <m/>
    <m/>
    <m/>
    <m/>
    <m/>
    <m/>
    <m/>
    <n v="0"/>
    <n v="0"/>
    <n v="0"/>
    <n v="0"/>
    <m/>
    <m/>
    <m/>
    <m/>
    <n v="0"/>
    <m/>
    <m/>
    <m/>
    <m/>
    <m/>
    <m/>
    <n v="0"/>
    <n v="0"/>
    <n v="0"/>
    <m/>
    <m/>
    <n v="0"/>
    <x v="54"/>
  </r>
  <r>
    <x v="3"/>
    <d v="2026-02-25T00:00:00"/>
    <m/>
    <m/>
    <m/>
    <m/>
    <m/>
    <m/>
    <m/>
    <m/>
    <m/>
    <m/>
    <m/>
    <m/>
    <m/>
    <n v="0"/>
    <n v="0"/>
    <n v="0"/>
    <n v="0"/>
    <m/>
    <m/>
    <m/>
    <m/>
    <n v="0"/>
    <m/>
    <m/>
    <m/>
    <m/>
    <m/>
    <m/>
    <n v="0"/>
    <n v="0"/>
    <n v="0"/>
    <m/>
    <m/>
    <n v="0"/>
    <x v="54"/>
  </r>
  <r>
    <x v="3"/>
    <d v="2026-02-26T00:00:00"/>
    <m/>
    <m/>
    <m/>
    <m/>
    <m/>
    <m/>
    <m/>
    <m/>
    <m/>
    <m/>
    <m/>
    <m/>
    <m/>
    <n v="0"/>
    <n v="0"/>
    <n v="0"/>
    <n v="0"/>
    <m/>
    <m/>
    <m/>
    <m/>
    <n v="0"/>
    <m/>
    <m/>
    <m/>
    <m/>
    <m/>
    <m/>
    <n v="0"/>
    <n v="0"/>
    <n v="0"/>
    <m/>
    <m/>
    <n v="0"/>
    <x v="54"/>
  </r>
  <r>
    <x v="3"/>
    <d v="2026-02-27T00:00:00"/>
    <m/>
    <m/>
    <m/>
    <m/>
    <m/>
    <m/>
    <m/>
    <m/>
    <m/>
    <m/>
    <m/>
    <m/>
    <m/>
    <n v="0"/>
    <n v="0"/>
    <n v="0"/>
    <n v="0"/>
    <m/>
    <m/>
    <m/>
    <m/>
    <n v="0"/>
    <m/>
    <m/>
    <m/>
    <m/>
    <m/>
    <m/>
    <n v="0"/>
    <n v="0"/>
    <n v="0"/>
    <m/>
    <m/>
    <n v="0"/>
    <x v="54"/>
  </r>
  <r>
    <x v="3"/>
    <d v="2026-02-28T00:00:00"/>
    <m/>
    <m/>
    <m/>
    <m/>
    <m/>
    <m/>
    <m/>
    <m/>
    <m/>
    <m/>
    <m/>
    <m/>
    <m/>
    <n v="0"/>
    <n v="0"/>
    <n v="0"/>
    <n v="0"/>
    <m/>
    <m/>
    <m/>
    <m/>
    <n v="0"/>
    <m/>
    <m/>
    <m/>
    <m/>
    <m/>
    <m/>
    <n v="0"/>
    <n v="0"/>
    <n v="0"/>
    <m/>
    <m/>
    <n v="0"/>
    <x v="54"/>
  </r>
  <r>
    <x v="3"/>
    <d v="2026-03-01T00:00:00"/>
    <m/>
    <m/>
    <m/>
    <m/>
    <m/>
    <m/>
    <m/>
    <m/>
    <m/>
    <m/>
    <m/>
    <m/>
    <m/>
    <n v="0"/>
    <n v="0"/>
    <n v="0"/>
    <n v="0"/>
    <m/>
    <m/>
    <m/>
    <m/>
    <n v="0"/>
    <m/>
    <m/>
    <m/>
    <m/>
    <m/>
    <m/>
    <n v="0"/>
    <n v="0"/>
    <n v="0"/>
    <m/>
    <m/>
    <n v="0"/>
    <x v="54"/>
  </r>
  <r>
    <x v="3"/>
    <d v="2026-03-02T00:00:00"/>
    <m/>
    <m/>
    <m/>
    <m/>
    <m/>
    <m/>
    <m/>
    <m/>
    <m/>
    <m/>
    <m/>
    <m/>
    <m/>
    <n v="0"/>
    <n v="0"/>
    <n v="0"/>
    <n v="0"/>
    <m/>
    <m/>
    <m/>
    <m/>
    <n v="0"/>
    <m/>
    <m/>
    <m/>
    <m/>
    <m/>
    <m/>
    <n v="0"/>
    <n v="0"/>
    <n v="0"/>
    <m/>
    <m/>
    <n v="0"/>
    <x v="54"/>
  </r>
  <r>
    <x v="3"/>
    <d v="2026-03-03T00:00:00"/>
    <m/>
    <m/>
    <m/>
    <m/>
    <m/>
    <m/>
    <m/>
    <m/>
    <m/>
    <m/>
    <m/>
    <m/>
    <m/>
    <n v="0"/>
    <n v="0"/>
    <n v="0"/>
    <n v="0"/>
    <m/>
    <m/>
    <m/>
    <m/>
    <n v="0"/>
    <m/>
    <m/>
    <m/>
    <m/>
    <m/>
    <m/>
    <n v="0"/>
    <n v="0"/>
    <n v="0"/>
    <m/>
    <m/>
    <n v="0"/>
    <x v="54"/>
  </r>
  <r>
    <x v="3"/>
    <d v="2026-03-04T00:00:00"/>
    <m/>
    <m/>
    <m/>
    <m/>
    <m/>
    <m/>
    <m/>
    <m/>
    <m/>
    <m/>
    <m/>
    <m/>
    <m/>
    <n v="0"/>
    <n v="0"/>
    <n v="0"/>
    <n v="0"/>
    <m/>
    <m/>
    <m/>
    <m/>
    <n v="0"/>
    <m/>
    <m/>
    <m/>
    <m/>
    <m/>
    <m/>
    <n v="0"/>
    <n v="0"/>
    <n v="0"/>
    <m/>
    <m/>
    <n v="0"/>
    <x v="54"/>
  </r>
  <r>
    <x v="3"/>
    <d v="2026-03-05T00:00:00"/>
    <m/>
    <m/>
    <m/>
    <m/>
    <m/>
    <m/>
    <m/>
    <m/>
    <m/>
    <m/>
    <m/>
    <m/>
    <m/>
    <n v="0"/>
    <n v="0"/>
    <n v="0"/>
    <n v="0"/>
    <m/>
    <m/>
    <m/>
    <m/>
    <n v="0"/>
    <m/>
    <m/>
    <m/>
    <m/>
    <m/>
    <m/>
    <n v="0"/>
    <n v="0"/>
    <n v="0"/>
    <m/>
    <m/>
    <n v="0"/>
    <x v="54"/>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2">
  <r>
    <x v="0"/>
    <x v="0"/>
    <x v="0"/>
    <s v="DDH38"/>
  </r>
  <r>
    <x v="0"/>
    <x v="1"/>
    <x v="0"/>
    <s v="DDH38"/>
  </r>
  <r>
    <x v="0"/>
    <x v="2"/>
    <x v="0"/>
    <s v="DDH38"/>
  </r>
  <r>
    <x v="0"/>
    <x v="3"/>
    <x v="1"/>
    <s v="DDH38"/>
  </r>
  <r>
    <x v="1"/>
    <x v="4"/>
    <x v="2"/>
    <s v="DDH38"/>
  </r>
  <r>
    <x v="2"/>
    <x v="5"/>
    <x v="1"/>
    <s v="DDH38"/>
  </r>
  <r>
    <x v="1"/>
    <x v="6"/>
    <x v="3"/>
    <s v="DDH38"/>
  </r>
  <r>
    <x v="1"/>
    <x v="7"/>
    <x v="4"/>
    <s v="DDH38"/>
  </r>
  <r>
    <x v="1"/>
    <x v="8"/>
    <x v="5"/>
    <s v="DDH38"/>
  </r>
  <r>
    <x v="1"/>
    <x v="9"/>
    <x v="6"/>
    <s v="DDH38"/>
  </r>
  <r>
    <x v="1"/>
    <x v="10"/>
    <x v="7"/>
    <s v="DDH38"/>
  </r>
  <r>
    <x v="1"/>
    <x v="11"/>
    <x v="8"/>
    <s v="DDH38"/>
  </r>
  <r>
    <x v="1"/>
    <x v="12"/>
    <x v="9"/>
    <s v="DDH38"/>
  </r>
  <r>
    <x v="1"/>
    <x v="13"/>
    <x v="10"/>
    <s v="DDH38"/>
  </r>
  <r>
    <x v="1"/>
    <x v="14"/>
    <x v="11"/>
    <s v="DDH38"/>
  </r>
  <r>
    <x v="1"/>
    <x v="15"/>
    <x v="12"/>
    <s v="DDH38"/>
  </r>
  <r>
    <x v="1"/>
    <x v="16"/>
    <x v="13"/>
    <s v="DDH38"/>
  </r>
  <r>
    <x v="1"/>
    <x v="17"/>
    <x v="14"/>
    <s v="DDH38"/>
  </r>
  <r>
    <x v="1"/>
    <x v="18"/>
    <x v="9"/>
    <s v="DDH38"/>
  </r>
  <r>
    <x v="1"/>
    <x v="19"/>
    <x v="15"/>
    <s v="DDH38"/>
  </r>
  <r>
    <x v="1"/>
    <x v="20"/>
    <x v="16"/>
    <s v="DDH38"/>
  </r>
  <r>
    <x v="1"/>
    <x v="21"/>
    <x v="17"/>
    <s v="DDH38"/>
  </r>
  <r>
    <x v="1"/>
    <x v="22"/>
    <x v="18"/>
    <s v="DDH38"/>
  </r>
  <r>
    <x v="1"/>
    <x v="23"/>
    <x v="10"/>
    <s v="DDH38"/>
  </r>
  <r>
    <x v="1"/>
    <x v="24"/>
    <x v="9"/>
    <s v="DDH38"/>
  </r>
  <r>
    <x v="1"/>
    <x v="25"/>
    <x v="19"/>
    <s v="DDH38"/>
  </r>
  <r>
    <x v="1"/>
    <x v="26"/>
    <x v="20"/>
    <s v="DDH38"/>
  </r>
  <r>
    <x v="1"/>
    <x v="27"/>
    <x v="21"/>
    <s v="DDH38"/>
  </r>
  <r>
    <x v="1"/>
    <x v="28"/>
    <x v="22"/>
    <s v="DDH38"/>
  </r>
  <r>
    <x v="1"/>
    <x v="29"/>
    <x v="23"/>
    <s v="DDH38"/>
  </r>
  <r>
    <x v="1"/>
    <x v="30"/>
    <x v="24"/>
    <s v="DDH38"/>
  </r>
  <r>
    <x v="1"/>
    <x v="31"/>
    <x v="25"/>
    <s v="DDH38"/>
  </r>
  <r>
    <x v="1"/>
    <x v="32"/>
    <x v="26"/>
    <s v="DDH38"/>
  </r>
  <r>
    <x v="1"/>
    <x v="33"/>
    <x v="14"/>
    <s v="DDH38"/>
  </r>
  <r>
    <x v="1"/>
    <x v="34"/>
    <x v="9"/>
    <s v="DDH38"/>
  </r>
  <r>
    <x v="1"/>
    <x v="35"/>
    <x v="27"/>
    <s v="DDH38"/>
  </r>
  <r>
    <x v="1"/>
    <x v="36"/>
    <x v="28"/>
    <s v="DDH38"/>
  </r>
  <r>
    <x v="1"/>
    <x v="37"/>
    <x v="29"/>
    <s v="DDH38"/>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r>
    <x v="2"/>
    <x v="38"/>
    <x v="3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E74593-1568-4191-9FFD-6A81CD2FA316}"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9" firstHeaderRow="1" firstDataRow="1" firstDataCol="1"/>
  <pivotFields count="44">
    <pivotField axis="axisRow" showAll="0">
      <items count="10">
        <item x="7"/>
        <item x="6"/>
        <item x="0"/>
        <item x="1"/>
        <item x="2"/>
        <item x="3"/>
        <item x="4"/>
        <item x="5"/>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97">
        <item x="2"/>
        <item x="0"/>
        <item x="1"/>
        <item x="76"/>
        <item x="60"/>
        <item x="21"/>
        <item x="3"/>
        <item x="47"/>
        <item x="75"/>
        <item x="4"/>
        <item x="32"/>
        <item x="31"/>
        <item x="27"/>
        <item x="6"/>
        <item x="42"/>
        <item x="82"/>
        <item x="54"/>
        <item x="71"/>
        <item x="40"/>
        <item x="18"/>
        <item x="77"/>
        <item x="89"/>
        <item x="70"/>
        <item x="48"/>
        <item x="22"/>
        <item x="86"/>
        <item x="38"/>
        <item x="36"/>
        <item x="44"/>
        <item x="46"/>
        <item x="52"/>
        <item x="68"/>
        <item x="81"/>
        <item x="57"/>
        <item x="8"/>
        <item x="16"/>
        <item x="12"/>
        <item x="67"/>
        <item x="29"/>
        <item x="49"/>
        <item x="63"/>
        <item x="73"/>
        <item x="33"/>
        <item x="25"/>
        <item x="50"/>
        <item x="13"/>
        <item x="66"/>
        <item x="62"/>
        <item x="65"/>
        <item x="90"/>
        <item x="64"/>
        <item x="20"/>
        <item x="14"/>
        <item x="34"/>
        <item x="83"/>
        <item x="91"/>
        <item x="5"/>
        <item x="78"/>
        <item x="84"/>
        <item x="39"/>
        <item x="17"/>
        <item x="88"/>
        <item x="55"/>
        <item x="56"/>
        <item x="85"/>
        <item x="45"/>
        <item x="92"/>
        <item x="58"/>
        <item x="53"/>
        <item x="43"/>
        <item x="37"/>
        <item x="69"/>
        <item x="15"/>
        <item x="51"/>
        <item x="72"/>
        <item x="35"/>
        <item x="19"/>
        <item x="74"/>
        <item x="26"/>
        <item x="24"/>
        <item x="10"/>
        <item x="61"/>
        <item x="41"/>
        <item x="28"/>
        <item x="59"/>
        <item x="7"/>
        <item x="30"/>
        <item x="23"/>
        <item x="87"/>
        <item x="80"/>
        <item x="11"/>
        <item x="9"/>
        <item x="79"/>
        <item x="95"/>
        <item x="93"/>
        <item x="94"/>
        <item t="default"/>
      </items>
    </pivotField>
    <pivotField showAll="0"/>
  </pivotFields>
  <rowFields count="1">
    <field x="0"/>
  </rowFields>
  <rowItems count="10">
    <i>
      <x/>
    </i>
    <i>
      <x v="1"/>
    </i>
    <i>
      <x v="2"/>
    </i>
    <i>
      <x v="3"/>
    </i>
    <i>
      <x v="4"/>
    </i>
    <i>
      <x v="5"/>
    </i>
    <i>
      <x v="6"/>
    </i>
    <i>
      <x v="7"/>
    </i>
    <i>
      <x v="8"/>
    </i>
    <i t="grand">
      <x/>
    </i>
  </rowItems>
  <colItems count="1">
    <i/>
  </colItems>
  <dataFields count="1">
    <dataField name="Sum of Total Costs" fld="42" baseField="0" baseItem="3"/>
  </dataFields>
  <formats count="1">
    <format dxfId="209">
      <pivotArea collapsedLevelsAreSubtotals="1" fieldPosition="0">
        <references count="1">
          <reference field="0"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DDAAA9-2E83-4478-9CE7-F8F2D392772A}"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43">
    <pivotField axis="axisRow" showAll="0">
      <items count="7">
        <item x="1"/>
        <item x="5"/>
        <item x="4"/>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3">
        <item x="2"/>
        <item x="0"/>
        <item x="1"/>
        <item x="6"/>
        <item x="29"/>
        <item x="50"/>
        <item x="39"/>
        <item x="40"/>
        <item x="5"/>
        <item x="49"/>
        <item x="28"/>
        <item x="33"/>
        <item x="41"/>
        <item x="35"/>
        <item x="38"/>
        <item x="36"/>
        <item x="13"/>
        <item x="30"/>
        <item x="55"/>
        <item x="15"/>
        <item x="56"/>
        <item x="16"/>
        <item x="42"/>
        <item x="26"/>
        <item x="25"/>
        <item x="54"/>
        <item x="20"/>
        <item x="34"/>
        <item x="11"/>
        <item x="51"/>
        <item x="7"/>
        <item x="32"/>
        <item x="59"/>
        <item x="22"/>
        <item x="37"/>
        <item x="12"/>
        <item x="21"/>
        <item x="24"/>
        <item x="10"/>
        <item x="14"/>
        <item x="47"/>
        <item x="58"/>
        <item x="27"/>
        <item x="46"/>
        <item x="3"/>
        <item x="9"/>
        <item x="52"/>
        <item x="18"/>
        <item x="19"/>
        <item x="44"/>
        <item x="45"/>
        <item x="23"/>
        <item x="8"/>
        <item x="31"/>
        <item x="4"/>
        <item x="48"/>
        <item x="57"/>
        <item x="17"/>
        <item x="53"/>
        <item x="43"/>
        <item x="61"/>
        <item x="60"/>
        <item t="default"/>
      </items>
    </pivotField>
  </pivotFields>
  <rowFields count="1">
    <field x="0"/>
  </rowFields>
  <rowItems count="7">
    <i>
      <x/>
    </i>
    <i>
      <x v="1"/>
    </i>
    <i>
      <x v="2"/>
    </i>
    <i>
      <x v="3"/>
    </i>
    <i>
      <x v="4"/>
    </i>
    <i>
      <x v="5"/>
    </i>
    <i t="grand">
      <x/>
    </i>
  </rowItems>
  <colItems count="1">
    <i/>
  </colItems>
  <dataFields count="1">
    <dataField name="Sum of Total Costs" fld="42" baseField="0" baseItem="0" numFmtId="44"/>
  </dataFields>
  <formats count="1">
    <format dxfId="2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1DBBA7-8725-4174-8032-7EEE8DF4B5A4}"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37" firstHeaderRow="1" firstDataRow="1" firstDataCol="1"/>
  <pivotFields count="37">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6">
        <item x="53"/>
        <item x="0"/>
        <item x="34"/>
        <item x="33"/>
        <item x="19"/>
        <item x="18"/>
        <item x="17"/>
        <item x="2"/>
        <item x="47"/>
        <item x="13"/>
        <item x="25"/>
        <item x="1"/>
        <item x="4"/>
        <item x="3"/>
        <item x="39"/>
        <item x="10"/>
        <item x="43"/>
        <item x="14"/>
        <item x="20"/>
        <item x="23"/>
        <item x="26"/>
        <item x="21"/>
        <item x="22"/>
        <item x="5"/>
        <item x="9"/>
        <item x="32"/>
        <item x="16"/>
        <item x="38"/>
        <item x="7"/>
        <item x="27"/>
        <item x="11"/>
        <item x="42"/>
        <item x="12"/>
        <item x="45"/>
        <item x="6"/>
        <item x="44"/>
        <item x="30"/>
        <item x="41"/>
        <item x="31"/>
        <item x="35"/>
        <item x="46"/>
        <item x="51"/>
        <item x="36"/>
        <item x="24"/>
        <item x="48"/>
        <item x="15"/>
        <item x="28"/>
        <item x="37"/>
        <item x="49"/>
        <item x="29"/>
        <item x="50"/>
        <item x="52"/>
        <item x="40"/>
        <item x="8"/>
        <item x="54"/>
        <item t="default"/>
      </items>
    </pivotField>
  </pivotFields>
  <rowFields count="1">
    <field x="0"/>
  </rowFields>
  <rowItems count="5">
    <i>
      <x/>
    </i>
    <i>
      <x v="1"/>
    </i>
    <i>
      <x v="2"/>
    </i>
    <i>
      <x v="3"/>
    </i>
    <i t="grand">
      <x/>
    </i>
  </rowItems>
  <colItems count="1">
    <i/>
  </colItems>
  <dataFields count="1">
    <dataField name="Sum of Total Costs" fld="36" baseField="0" baseItem="0"/>
  </dataFields>
  <formats count="1">
    <format dxfId="211">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DCE4A0-136B-4B95-A8FF-3F09ACB6EDF5}"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K16" firstHeaderRow="0" firstDataRow="1" firstDataCol="1"/>
  <pivotFields count="50">
    <pivotField axis="axisRow" showAll="0">
      <items count="6">
        <item x="0"/>
        <item x="4"/>
        <item x="3"/>
        <item x="1"/>
        <item x="2"/>
        <item t="default"/>
      </items>
    </pivotField>
    <pivotField dataField="1" showAll="0"/>
    <pivotField numFmtId="14" showAll="0">
      <items count="186">
        <item x="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 showAll="0"/>
    <pivotField showAll="0"/>
    <pivotField showAll="0"/>
    <pivotField showAll="0"/>
    <pivotField showAll="0" sumSubtotal="1"/>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showAll="0"/>
    <pivotField showAll="0"/>
    <pivotField showAll="0"/>
    <pivotField showAll="0"/>
    <pivotField dataField="1" showAll="0"/>
    <pivotField showAll="0"/>
    <pivotField showAll="0"/>
    <pivotField dataField="1" numFmtId="44" showAll="0"/>
    <pivotField showAll="0"/>
    <pivotField showAll="0"/>
    <pivotField dataField="1" numFmtId="44" showAll="0"/>
    <pivotField showAll="0"/>
    <pivotField showAll="0"/>
    <pivotField showAll="0"/>
    <pivotField dataField="1" numFmtId="44" showAll="0"/>
    <pivotField dataField="1" showAll="0"/>
    <pivotField showAll="0"/>
    <pivotField dataField="1" numFmtId="165" showAll="0"/>
    <pivotField showAll="0"/>
    <pivotField numFmtId="165"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6">
    <i>
      <x/>
    </i>
    <i>
      <x v="1"/>
    </i>
    <i>
      <x v="2"/>
    </i>
    <i>
      <x v="3"/>
    </i>
    <i>
      <x v="4"/>
    </i>
    <i t="grand">
      <x/>
    </i>
  </rowItems>
  <colFields count="1">
    <field x="-2"/>
  </colFields>
  <colItems count="10">
    <i>
      <x/>
    </i>
    <i i="1">
      <x v="1"/>
    </i>
    <i i="2">
      <x v="2"/>
    </i>
    <i i="3">
      <x v="3"/>
    </i>
    <i i="4">
      <x v="4"/>
    </i>
    <i i="5">
      <x v="5"/>
    </i>
    <i i="6">
      <x v="6"/>
    </i>
    <i i="7">
      <x v="7"/>
    </i>
    <i i="8">
      <x v="8"/>
    </i>
    <i i="9">
      <x v="9"/>
    </i>
  </colItems>
  <dataFields count="10">
    <dataField name="Sum of Completed Holes" fld="1" baseField="0" baseItem="0"/>
    <dataField name="Sum of Total Length PQ" fld="20" baseField="0" baseItem="0"/>
    <dataField name="Sum of Total Length HQ" fld="21" baseField="0" baseItem="0"/>
    <dataField name="Sum of Charged Drilling Cost" fld="24" baseField="0" baseItem="0"/>
    <dataField name="Sum of Active Hours total Cost" fld="32" baseField="0" baseItem="0" numFmtId="44"/>
    <dataField name="Sum of Standby &amp; Inactive Total Cost" fld="35" baseField="0" baseItem="0" numFmtId="44"/>
    <dataField name="Sum of Tool Hire Cost" fld="29" baseField="0" baseItem="0"/>
    <dataField name="Sum of Total Activity Hours Cost" fld="39" baseField="0" baseItem="0" numFmtId="44"/>
    <dataField name="Sum of ***Insert Total Consumable Costs***" fld="40" baseField="0" baseItem="0"/>
    <dataField name="Sum of Total Costs" fld="4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3B1A2D-ED0B-423C-BBD3-6D66429C4ABC}"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43" firstHeaderRow="0" firstDataRow="1" firstDataCol="1"/>
  <pivotFields count="5">
    <pivotField axis="axisRow" showAll="0">
      <items count="10">
        <item x="5"/>
        <item x="0"/>
        <item x="6"/>
        <item x="1"/>
        <item x="4"/>
        <item x="3"/>
        <item x="7"/>
        <item m="1" x="8"/>
        <item sd="0" x="2"/>
        <item t="default"/>
      </items>
    </pivotField>
    <pivotField axis="axisRow" showAll="0">
      <items count="4">
        <item x="0"/>
        <item x="2"/>
        <item x="1"/>
        <item t="default"/>
      </items>
    </pivotField>
    <pivotField axis="axisRow" showAll="0">
      <items count="7">
        <item x="5"/>
        <item x="1"/>
        <item x="3"/>
        <item x="0"/>
        <item x="4"/>
        <item sd="0" x="2"/>
        <item t="default"/>
      </items>
    </pivotField>
    <pivotField dataField="1" showAll="0"/>
    <pivotField dataField="1" showAll="0"/>
  </pivotFields>
  <rowFields count="3">
    <field x="0"/>
    <field x="2"/>
    <field x="1"/>
  </rowFields>
  <rowItems count="26">
    <i>
      <x/>
    </i>
    <i r="1">
      <x v="4"/>
    </i>
    <i r="2">
      <x/>
    </i>
    <i r="2">
      <x v="1"/>
    </i>
    <i>
      <x v="1"/>
    </i>
    <i r="1">
      <x v="3"/>
    </i>
    <i r="2">
      <x/>
    </i>
    <i>
      <x v="2"/>
    </i>
    <i r="1">
      <x/>
    </i>
    <i r="2">
      <x v="1"/>
    </i>
    <i>
      <x v="3"/>
    </i>
    <i r="1">
      <x v="1"/>
    </i>
    <i r="2">
      <x/>
    </i>
    <i>
      <x v="4"/>
    </i>
    <i r="1">
      <x v="4"/>
    </i>
    <i r="2">
      <x/>
    </i>
    <i r="2">
      <x v="1"/>
    </i>
    <i>
      <x v="5"/>
    </i>
    <i r="1">
      <x v="2"/>
    </i>
    <i r="2">
      <x/>
    </i>
    <i r="2">
      <x v="1"/>
    </i>
    <i>
      <x v="6"/>
    </i>
    <i r="1">
      <x/>
    </i>
    <i r="2">
      <x v="1"/>
    </i>
    <i>
      <x v="8"/>
    </i>
    <i t="grand">
      <x/>
    </i>
  </rowItems>
  <colFields count="1">
    <field x="-2"/>
  </colFields>
  <colItems count="2">
    <i>
      <x/>
    </i>
    <i i="1">
      <x v="1"/>
    </i>
  </colItems>
  <dataFields count="2">
    <dataField name="Sum of Planned Holes" fld="3" baseField="0" baseItem="0"/>
    <dataField name="Sum of Planned Metr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566AFE-7BFC-4534-814A-19154C8DD288}"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29" firstHeaderRow="1" firstDataRow="1" firstDataCol="1"/>
  <pivotFields count="8">
    <pivotField axis="axisRow" showAll="0">
      <items count="4">
        <item x="1"/>
        <item x="0"/>
        <item x="2"/>
        <item t="default"/>
      </items>
    </pivotField>
    <pivotField showAll="0">
      <items count="40">
        <item x="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dataField="1" showAll="0">
      <items count="32">
        <item x="1"/>
        <item x="0"/>
        <item x="5"/>
        <item x="28"/>
        <item x="4"/>
        <item x="27"/>
        <item x="12"/>
        <item x="29"/>
        <item x="14"/>
        <item x="15"/>
        <item x="25"/>
        <item x="24"/>
        <item x="19"/>
        <item x="10"/>
        <item x="6"/>
        <item x="21"/>
        <item x="11"/>
        <item x="20"/>
        <item x="23"/>
        <item x="9"/>
        <item x="13"/>
        <item x="26"/>
        <item x="2"/>
        <item x="8"/>
        <item x="17"/>
        <item x="18"/>
        <item x="22"/>
        <item x="7"/>
        <item x="3"/>
        <item x="16"/>
        <item x="30"/>
        <item t="default"/>
      </items>
    </pivotField>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2">
    <field x="0"/>
    <field x="7"/>
  </rowFields>
  <rowItems count="25">
    <i>
      <x/>
    </i>
    <i r="1">
      <x v="189"/>
    </i>
    <i r="1">
      <x v="190"/>
    </i>
    <i r="1">
      <x v="191"/>
    </i>
    <i r="1">
      <x v="192"/>
    </i>
    <i r="1">
      <x v="193"/>
    </i>
    <i r="1">
      <x v="194"/>
    </i>
    <i r="1">
      <x v="195"/>
    </i>
    <i r="1">
      <x v="196"/>
    </i>
    <i r="1">
      <x v="197"/>
    </i>
    <i r="1">
      <x v="198"/>
    </i>
    <i r="1">
      <x v="199"/>
    </i>
    <i r="1">
      <x v="200"/>
    </i>
    <i r="1">
      <x v="201"/>
    </i>
    <i r="1">
      <x v="202"/>
    </i>
    <i r="1">
      <x v="203"/>
    </i>
    <i r="1">
      <x v="204"/>
    </i>
    <i r="1">
      <x v="205"/>
    </i>
    <i>
      <x v="1"/>
    </i>
    <i r="1">
      <x v="187"/>
    </i>
    <i r="1">
      <x v="188"/>
    </i>
    <i>
      <x v="2"/>
    </i>
    <i r="1">
      <x/>
    </i>
    <i r="1">
      <x v="189"/>
    </i>
    <i t="grand">
      <x/>
    </i>
  </rowItems>
  <colItems count="1">
    <i/>
  </colItems>
  <dataFields count="1">
    <dataField name="Sum of Total Cost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1F845A-D63A-4585-A080-FC5CC33204F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6" firstHeaderRow="0" firstDataRow="1" firstDataCol="1"/>
  <pivotFields count="45">
    <pivotField axis="axisRow" showAll="0">
      <items count="5">
        <item h="1" x="1"/>
        <item x="3"/>
        <item h="1" x="0"/>
        <item x="2"/>
        <item t="default"/>
      </items>
    </pivotField>
    <pivotField dataField="1" showAll="0"/>
    <pivotField showAll="0"/>
    <pivotField showAll="0"/>
    <pivotField showAll="0"/>
    <pivotField showAll="0"/>
    <pivotField showAll="0"/>
    <pivotField dataField="1" showAll="0">
      <items count="6">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1">
    <field x="0"/>
  </rowFields>
  <rowItems count="3">
    <i>
      <x v="1"/>
    </i>
    <i>
      <x v="3"/>
    </i>
    <i t="grand">
      <x/>
    </i>
  </rowItems>
  <colFields count="1">
    <field x="-2"/>
  </colFields>
  <colItems count="6">
    <i>
      <x/>
    </i>
    <i i="1">
      <x v="1"/>
    </i>
    <i i="2">
      <x v="2"/>
    </i>
    <i i="3">
      <x v="3"/>
    </i>
    <i i="4">
      <x v="4"/>
    </i>
    <i i="5">
      <x v="5"/>
    </i>
  </colItems>
  <dataFields count="6">
    <dataField name="Sum of Total Activity Hours Cost" fld="37" baseField="0" baseItem="0"/>
    <dataField name="Sum of Charged Drilling Cost" fld="22" baseField="0" baseItem="3"/>
    <dataField name="Sum of Total Costs" fld="39" baseField="0" baseItem="0"/>
    <dataField name="Sum of Total Consumables Cost (-accom)" fld="38" baseField="0" baseItem="0"/>
    <dataField name="Sum of Accom Cost" fld="7" baseField="0" baseItem="1"/>
    <dataField name="Count of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38AF7B-6FBB-4BDB-A7FA-6752C051CF2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H15" firstHeaderRow="0" firstDataRow="1" firstDataCol="1"/>
  <pivotFields count="37">
    <pivotField axis="axisRow" showAll="0">
      <items count="4">
        <item h="1" x="0"/>
        <item x="2"/>
        <item h="1" x="1"/>
        <item t="default"/>
      </items>
    </pivotField>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s>
  <rowFields count="1">
    <field x="0"/>
  </rowFields>
  <rowItems count="2">
    <i>
      <x v="1"/>
    </i>
    <i t="grand">
      <x/>
    </i>
  </rowItems>
  <colFields count="1">
    <field x="-2"/>
  </colFields>
  <colItems count="7">
    <i>
      <x/>
    </i>
    <i i="1">
      <x v="1"/>
    </i>
    <i i="2">
      <x v="2"/>
    </i>
    <i i="3">
      <x v="3"/>
    </i>
    <i i="4">
      <x v="4"/>
    </i>
    <i i="5">
      <x v="5"/>
    </i>
    <i i="6">
      <x v="6"/>
    </i>
  </colItems>
  <dataFields count="7">
    <dataField name="Sum of Total Activity hours Cost" fld="30" baseField="0" baseItem="0"/>
    <dataField name="Sum of Charged Drilling Cost" fld="18" baseField="0" baseItem="0"/>
    <dataField name="Sum of Accom Cost" fld="8" baseField="0" baseItem="0"/>
    <dataField name="Sum of Total Costs" fld="32" baseField="0" baseItem="0"/>
    <dataField name="Count of Date" fld="1" subtotal="count" baseField="0" baseItem="0" numFmtId="2"/>
    <dataField name="Sum of Booster (p/hr)" fld="19" baseField="0" baseItem="0"/>
    <dataField name="Sum of Aux Compressor (p/hr)" fld="20" baseField="0" baseItem="0"/>
  </dataFields>
  <formats count="8">
    <format dxfId="158">
      <pivotArea type="all" dataOnly="0" outline="0" fieldPosition="0"/>
    </format>
    <format dxfId="157">
      <pivotArea outline="0" collapsedLevelsAreSubtotals="1" fieldPosition="0"/>
    </format>
    <format dxfId="156">
      <pivotArea field="0" type="button" dataOnly="0" labelOnly="1" outline="0" axis="axisRow" fieldPosition="0"/>
    </format>
    <format dxfId="155">
      <pivotArea dataOnly="0" labelOnly="1" fieldPosition="0">
        <references count="1">
          <reference field="0" count="0"/>
        </references>
      </pivotArea>
    </format>
    <format dxfId="154">
      <pivotArea dataOnly="0" labelOnly="1" grandRow="1" outline="0" fieldPosition="0"/>
    </format>
    <format dxfId="153">
      <pivotArea dataOnly="0" labelOnly="1" outline="0" fieldPosition="0">
        <references count="1">
          <reference field="4294967294" count="4">
            <x v="0"/>
            <x v="1"/>
            <x v="2"/>
            <x v="3"/>
          </reference>
        </references>
      </pivotArea>
    </format>
    <format dxfId="152">
      <pivotArea outline="0" collapsedLevelsAreSubtotals="1" fieldPosition="0">
        <references count="1">
          <reference field="4294967294" count="1" selected="0">
            <x v="4"/>
          </reference>
        </references>
      </pivotArea>
    </format>
    <format dxfId="151">
      <pivotArea dataOnly="0" labelOnly="1"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FBF464-1871-445D-B084-F61B257CE3D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G11" firstHeaderRow="0" firstDataRow="1" firstDataCol="1"/>
  <pivotFields count="45">
    <pivotField axis="axisRow" showAll="0">
      <items count="15">
        <item x="12"/>
        <item h="1" x="0"/>
        <item x="11"/>
        <item h="1" x="1"/>
        <item h="1" x="2"/>
        <item h="1" x="3"/>
        <item h="1" x="4"/>
        <item h="1" x="5"/>
        <item h="1" x="6"/>
        <item h="1" x="7"/>
        <item h="1" x="8"/>
        <item h="1" x="9"/>
        <item h="1" x="10"/>
        <item h="1" x="13"/>
        <item t="default"/>
      </items>
    </pivotField>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1">
    <field x="0"/>
  </rowFields>
  <rowItems count="3">
    <i>
      <x/>
    </i>
    <i>
      <x v="2"/>
    </i>
    <i t="grand">
      <x/>
    </i>
  </rowItems>
  <colFields count="1">
    <field x="-2"/>
  </colFields>
  <colItems count="6">
    <i>
      <x/>
    </i>
    <i i="1">
      <x v="1"/>
    </i>
    <i i="2">
      <x v="2"/>
    </i>
    <i i="3">
      <x v="3"/>
    </i>
    <i i="4">
      <x v="4"/>
    </i>
    <i i="5">
      <x v="5"/>
    </i>
  </colItems>
  <dataFields count="6">
    <dataField name="Sum of Total Activity Hours Cost" fld="37" baseField="0" baseItem="0"/>
    <dataField name="Sum of Charged Drilling Cost" fld="22" baseField="0" baseItem="0"/>
    <dataField name="Sum of Total Costs" fld="39" baseField="0" baseItem="0"/>
    <dataField name="Sum of Total Consumables Cost (-Accom)" fld="38" baseField="0" baseItem="0"/>
    <dataField name="Sum of Accom Cost" fld="7" baseField="0" baseItem="0"/>
    <dataField name="Count of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12</v>
    <v>1</v>
  </rv>
  <rv s="1">
    <v>12</v>
    <v>75</v>
    <v>0</v>
  </rv>
</rvData>
</file>

<file path=xl/richData/rdrichvaluestructure.xml><?xml version="1.0" encoding="utf-8"?>
<rvStructures xmlns="http://schemas.microsoft.com/office/spreadsheetml/2017/richdata" count="2">
  <s t="_error">
    <k n="errorType" t="i"/>
    <k n="propagated" t="b"/>
  </s>
  <s t="_error">
    <k n="errorType" t="i"/>
    <k n="field" t="s"/>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 xr10:uid="{EFA95B36-B383-4E22-AA80-99DB022762F1}" sourceName="Budget">
  <pivotTables>
    <pivotTable tabId="32" name="PivotTable5"/>
  </pivotTables>
  <data>
    <tabular pivotCacheId="720506983">
      <items count="9">
        <i x="5" s="1"/>
        <i x="0" s="1"/>
        <i x="6" s="1"/>
        <i x="1" s="1"/>
        <i x="4" s="1"/>
        <i x="3" s="1"/>
        <i x="7" s="1"/>
        <i x="8"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e_Type" xr10:uid="{39C8FF04-7BFE-4AF7-8C5D-D721E895369A}" sourceName="Hole Type">
  <pivotTables>
    <pivotTable tabId="32" name="PivotTable5"/>
  </pivotTables>
  <data>
    <tabular pivotCacheId="720506983">
      <items count="3">
        <i x="0" s="1"/>
        <i x="2"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5E27D684-78B5-42EE-89B1-295EB8E2C371}" sourceName="Campaign">
  <pivotTables>
    <pivotTable tabId="32" name="PivotTable5"/>
  </pivotTables>
  <data>
    <tabular pivotCacheId="720506983">
      <items count="6">
        <i x="5" s="1"/>
        <i x="1" s="1"/>
        <i x="3" s="1"/>
        <i x="0" s="1"/>
        <i x="4"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dget" xr10:uid="{97F43CF7-65A8-4FB9-8E23-23099F734B12}" cache="Slicer_Budget" caption="Budget" rowHeight="257175"/>
  <slicer name="Hole Type" xr10:uid="{E72F4AE6-5154-4D3D-A494-31402D6BB052}" cache="Slicer_Hole_Type" caption="Hole Type" rowHeight="257175"/>
  <slicer name="Campaign" xr10:uid="{771BB7F7-386F-4BC4-85CA-6597C5A67DE1}" cache="Slicer_Campaign" caption="Campaig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A6EDB0-F5C1-4186-99EE-504696D9A865}" name="Table3" displayName="Table3" ref="A3:AV188" totalsRowShown="0" headerRowDxfId="208" headerRowBorderDxfId="207">
  <autoFilter ref="A3:AV188" xr:uid="{2EA6EDB0-F5C1-4186-99EE-504696D9A865}">
    <filterColumn colId="45">
      <filters>
        <filter val="07"/>
      </filters>
    </filterColumn>
  </autoFilter>
  <tableColumns count="48">
    <tableColumn id="1" xr3:uid="{99268CF4-D99C-4768-9391-C88D952B852E}" name="Hole Type" dataDxfId="206">
      <calculatedColumnFormula>IFERROR(IF(FIND("MET",E4),"MET",IF(FIND("GT",E4),"GT",)),"")</calculatedColumnFormula>
    </tableColumn>
    <tableColumn id="2" xr3:uid="{DE7236CE-25F1-4636-8ED3-AAAF4D4DA057}" name="Completion" dataDxfId="205"/>
    <tableColumn id="3" xr3:uid="{666F62A7-A119-4D84-8058-F28B3C2497BB}" name="Date" dataDxfId="204">
      <calculatedColumnFormula>C2+1</calculatedColumnFormula>
    </tableColumn>
    <tableColumn id="4" xr3:uid="{3E1943AD-800E-477E-9799-B63B8CB0A32B}" name="Shift"/>
    <tableColumn id="5" xr3:uid="{A9E16F82-221A-49B0-83EF-9189D6BFD770}" name="Hole ID" dataDxfId="203"/>
    <tableColumn id="6" xr3:uid="{C4056F83-8E25-4F71-A59D-C1F76D91D3D6}" name="Hole ID2"/>
    <tableColumn id="7" xr3:uid="{2E753343-7289-416D-9657-9704058BA6AE}" name="Personel (incl driller) " dataDxfId="202"/>
    <tableColumn id="8" xr3:uid="{F88EEFBB-E73A-47A8-BDA7-45FBCCADF70E}" name="Accom Cost" dataDxfId="201" dataCellStyle="Currency">
      <calculatedColumnFormula>IF(ISBLANK(G4),"",G4*$H$1)</calculatedColumnFormula>
    </tableColumn>
    <tableColumn id="9" xr3:uid="{2BA5F728-E0B5-450B-8D7B-67089756A347}" name="Depth From" dataDxfId="200"/>
    <tableColumn id="10" xr3:uid="{0B80D88F-64C2-470F-ACCA-7B13AC8FCCF3}" name="Depth To" dataDxfId="199"/>
    <tableColumn id="11" xr3:uid="{420C7C52-AC41-4EE1-817B-F4A81F521D19}" name="Length" dataDxfId="198">
      <calculatedColumnFormula>IF(ISBLANK(I4),0,J4-I4)</calculatedColumnFormula>
    </tableColumn>
    <tableColumn id="12" xr3:uid="{CDA05C49-BDDC-4E36-87C7-5CD943AAB9DC}" name="Depth From3" dataDxfId="197"/>
    <tableColumn id="13" xr3:uid="{6B05BECC-1D90-4D53-A5E3-4E67C064E2FF}" name="Depth To4" dataDxfId="196"/>
    <tableColumn id="14" xr3:uid="{C914E7D9-606F-4F39-82CE-5F019A727DF2}" name="Length5" dataDxfId="195">
      <calculatedColumnFormula>IF(ISBLANK(L4),,M4-L4)</calculatedColumnFormula>
    </tableColumn>
    <tableColumn id="15" xr3:uid="{13617C9F-C159-4401-8B6D-CA1EE662279B}" name="Depth From6" dataDxfId="194"/>
    <tableColumn id="16" xr3:uid="{0E322317-0895-4A3F-B07C-282A8CC208AF}" name="Depth To7" dataDxfId="193"/>
    <tableColumn id="17" xr3:uid="{FCDABC9F-B8FD-4940-9017-C0C4ADDE5751}" name="Length8" dataDxfId="192">
      <calculatedColumnFormula>IF(ISBLANK(O4),,P4-O4)</calculatedColumnFormula>
    </tableColumn>
    <tableColumn id="18" xr3:uid="{9A08D852-C316-4BCF-ABD9-682EBEF45C20}" name="Depth From9" dataDxfId="191"/>
    <tableColumn id="19" xr3:uid="{A56BEAE3-6802-40DD-AAED-93E9124185BB}" name="Depth To10" dataDxfId="190"/>
    <tableColumn id="20" xr3:uid="{311AC8DD-3131-4406-BCC6-10C00DF5F461}" name="Length11" dataDxfId="189">
      <calculatedColumnFormula>IF(ISBLANK(R4),,S4-R4)</calculatedColumnFormula>
    </tableColumn>
    <tableColumn id="21" xr3:uid="{3702DBB0-0A1C-4D11-8DAB-B17CA6C85BA4}" name="Total Length PQ" dataDxfId="188">
      <calculatedColumnFormula>SUM(K4,Q4)</calculatedColumnFormula>
    </tableColumn>
    <tableColumn id="22" xr3:uid="{71C1C451-9659-45B5-AF2D-28FC78434C68}" name="Total Length HQ" dataDxfId="187">
      <calculatedColumnFormula>SUM(N4,T4)</calculatedColumnFormula>
    </tableColumn>
    <tableColumn id="23" xr3:uid="{5731C984-88B3-4D86-809E-FEAD95E915A6}" name="Total Length" dataDxfId="186">
      <calculatedColumnFormula>IFERROR(K4+N4+Q4+T4,"")</calculatedColumnFormula>
    </tableColumn>
    <tableColumn id="24" xr3:uid="{914EDA77-3E00-4C7A-9CA8-0548191B8F7B}" name="Drilling Cost" dataDxfId="185">
      <calculatedColumnFormula>IFERROR((K4*$K$1)+(N4*$N$1)+(Q4*$Q$1)+(T4*$T$1),"")</calculatedColumnFormula>
    </tableColumn>
    <tableColumn id="25" xr3:uid="{7A5F01F2-A45C-4F3E-859C-5D2A48D178E7}" name="Charged Drilling Cost" dataDxfId="184">
      <calculatedColumnFormula>IF(E4&lt;&gt;"",IF(X4&lt;(AE4*$AE$1),(AE4*$AE$1),X4),"")</calculatedColumnFormula>
    </tableColumn>
    <tableColumn id="26" xr3:uid="{2A589720-D64B-4FC9-9DE0-A516644D40B6}" name="PQ Ori Tool" dataDxfId="183"/>
    <tableColumn id="27" xr3:uid="{596ABA60-CAC8-44EB-B9BD-860592A961FD}" name="HQ Ori Tool" dataDxfId="182"/>
    <tableColumn id="28" xr3:uid="{9FD41B71-1A2C-4002-9D0B-39D57172D8D0}" name="Gyro Tool" dataDxfId="181"/>
    <tableColumn id="29" xr3:uid="{2A5E75AA-FAB7-47A4-AC78-A9F721B8BC77}" name="Tool ID" dataDxfId="180"/>
    <tableColumn id="30" xr3:uid="{E7CA3A78-EBCE-4731-A5FC-D367687C778D}" name="Tool Hire Cost" dataDxfId="179">
      <calculatedColumnFormula>SUMPRODUCT(Z4:AB4,$Z$1:$AB$1)</calculatedColumnFormula>
    </tableColumn>
    <tableColumn id="31" xr3:uid="{521FFC95-299D-48D7-B478-75E2C56BE2CE}" name="Drill Time" dataDxfId="178"/>
    <tableColumn id="32" xr3:uid="{5F90BB6F-F372-44A3-8FC7-69C4E1BA5ABA}" name="Active hours (Other than drilling)" dataDxfId="177"/>
    <tableColumn id="49" xr3:uid="{44422489-2FD9-457B-937F-626DB54C33F4}" name="Active Hours total Cost" dataDxfId="176">
      <calculatedColumnFormula>Table3[[#This Row],[Active hours (Other than drilling)]]*$AF$1</calculatedColumnFormula>
    </tableColumn>
    <tableColumn id="33" xr3:uid="{77771890-A48A-4FD6-AAAB-A61CE590732D}" name="Inactive Hours (Other than client standby)" dataDxfId="175"/>
    <tableColumn id="48" xr3:uid="{5E8F7A55-081D-461D-A0F2-9236AEB61C09}" name="Standby Total Hours" dataDxfId="174"/>
    <tableColumn id="34" xr3:uid="{4F0CF322-3763-4B21-8A27-7AD27308DD61}" name="Standby &amp; Inactive Total Cost" dataDxfId="173">
      <calculatedColumnFormula array="1">SUM(Table3[[#This Row],[Inactive Hours (Other than client standby)]:[Standby Total Hours]]*$AI1)</calculatedColumnFormula>
    </tableColumn>
    <tableColumn id="35" xr3:uid="{C56C6AAF-51C7-44A0-9242-75DC45026CEE}" name="Uncharged Hours" dataDxfId="172"/>
    <tableColumn id="36" xr3:uid="{1825F56D-C28B-4B3E-9DE4-1C922E4C0DC4}" name="Maintenance" dataDxfId="171"/>
    <tableColumn id="37" xr3:uid="{060E2137-576E-4754-9194-B4A3587A70ED}" name="Total Daily Hours" dataDxfId="170">
      <calculatedColumnFormula>IF(ISBLANK(AE4),"",SUM(AE4:AF4,AH4:AI4,AK4:AL4))</calculatedColumnFormula>
    </tableColumn>
    <tableColumn id="38" xr3:uid="{A2A8CD4A-BB45-471D-8FE6-2BF488995330}" name="Total Activity Hours Cost" dataDxfId="169">
      <calculatedColumnFormula>(AF4*$AF$1)+(AH4*$AH$1)+(AI4*$AI$1)</calculatedColumnFormula>
    </tableColumn>
    <tableColumn id="39" xr3:uid="{9C333D1B-02A6-4554-BB9B-1767DE29E7DB}" name="***Insert Total Consumable Costs***" dataDxfId="168"/>
    <tableColumn id="40" xr3:uid="{76767570-D860-43F5-A90F-DC42691E1DE4}" name="Total Consumables Cost (-accom)" dataDxfId="167" dataCellStyle="Currency"/>
    <tableColumn id="41" xr3:uid="{98C06417-87FC-493D-832A-EB7F24116E6A}" name="Total Costs" dataDxfId="166">
      <calculatedColumnFormula>SUM(Y4,AN4,AP4,H4)+AD4</calculatedColumnFormula>
    </tableColumn>
    <tableColumn id="42" xr3:uid="{9A74465C-D62B-42E8-9B25-B36C3729EEDF}" name="Plod Cost (Comparison)" dataDxfId="165"/>
    <tableColumn id="43" xr3:uid="{C5E775AE-B267-4C5D-A323-92CE48DC29C0}" name="Cummulative Cost" dataDxfId="164">
      <calculatedColumnFormula>SUM($AQ$4:AQ6)</calculatedColumnFormula>
    </tableColumn>
    <tableColumn id="44" xr3:uid="{5D61A8FA-7251-4E03-9487-8654222FEEBE}" name="Month">
      <calculatedColumnFormula>_xlfn.TEXTJOIN(,TRUE,"0",MONTH(C4))</calculatedColumnFormula>
    </tableColumn>
    <tableColumn id="45" xr3:uid="{C4B29340-EC81-463A-8491-45ABDAF53456}" name="Day">
      <calculatedColumnFormula>DAY(C4)</calculatedColumnFormula>
    </tableColumn>
    <tableColumn id="46" xr3:uid="{3D3D6212-C3EE-426E-8FA8-D63AF34F89CF}" name="Shift Shorthand">
      <calculatedColumnFormula>LEFT(D4,1)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507C21-8048-4FAC-A601-5865E4EFE1A3}" name="Planned" displayName="Planned" ref="A1:E15" totalsRowShown="0" headerRowDxfId="163" dataDxfId="162" dataCellStyle="Currency">
  <autoFilter ref="A1:E15" xr:uid="{99507C21-8048-4FAC-A601-5865E4EFE1A3}"/>
  <tableColumns count="5">
    <tableColumn id="1" xr3:uid="{D2C87C25-2F18-4C1F-B400-398F46BF97BC}" name="Budget" dataDxfId="161" dataCellStyle="Currency"/>
    <tableColumn id="2" xr3:uid="{D9F043BD-97E3-47F9-921A-0DA4F476F0AC}" name="Hole Type" dataDxfId="160" dataCellStyle="Currency"/>
    <tableColumn id="3" xr3:uid="{15617D8A-F65A-4401-992D-CCE3D408D174}" name="Campaign" dataDxfId="159" dataCellStyle="Currency"/>
    <tableColumn id="4" xr3:uid="{C089B636-121F-475B-93FE-CF793043F7DA}" name="Planned Holes"/>
    <tableColumn id="5" xr3:uid="{7DD11CC9-8AF6-4D2A-914D-704EE4A12CFC}" name="Planned Met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 dT="2025-06-29T08:38:03.13" personId="{5CCEC2CC-05D7-B84D-96F4-85A277DB46D0}" id="{92757D54-6FB3-4CF6-B42B-677AE877132F}">
    <text xml:space="preserve">New Tab adapted from other sheet, please fill out. </text>
  </threadedComment>
  <threadedComment ref="EC6" dT="2025-09-15T02:06:12.60" personId="{F589E374-C04F-4483-9E2D-CEE3DDDB92CB}" id="{67F63330-48C6-4C2E-996D-A878E79FCCB0}">
    <text>Single shifting</text>
  </threadedComment>
  <threadedComment ref="BA7" dT="2025-06-22T22:29:22.75" personId="{CCBF9F0B-DA2A-457E-9B11-FD3C009B9AB0}" id="{D5A89665-001C-4EB3-A2ED-A97FEFEB0E5A}">
    <text xml:space="preserve">Text and formulas are a bad mix. This affects the calculations at the bottom of the sheet. I have added a macro to outline todays date to help user narrow in on column of interest. </text>
  </threadedComment>
  <threadedComment ref="BC15" dT="2025-06-22T22:29:22.75" personId="{CCBF9F0B-DA2A-457E-9B11-FD3C009B9AB0}" id="{0765F5C8-7AEB-42E3-B0A1-5AF0665DA14C}">
    <text xml:space="preserve">Text and formulas are a bad mix. This affects the calculations at the bottom of the sheet. I have added a macro to outline todays date to help user narrow in on column of interest. </text>
  </threadedComment>
  <threadedComment ref="BD15" dT="2025-06-22T22:29:22.75" personId="{CCBF9F0B-DA2A-457E-9B11-FD3C009B9AB0}" id="{9B450259-319E-430B-84E8-39F533F3EB8D}">
    <text xml:space="preserve">Text and formulas are a bad mix. This affects the calculations at the bottom of the sheet. I have added a macro to outline todays date to help user narrow in on column of interest. </text>
  </threadedComment>
  <threadedComment ref="BI31" dT="2025-06-22T22:29:22.75" personId="{CCBF9F0B-DA2A-457E-9B11-FD3C009B9AB0}" id="{0C72AD0B-5610-4076-BD10-D909FE3EBFAF}">
    <text xml:space="preserve">Text and formulas are a bad mix. This affects the calculations at the bottom of the sheet. I have added a macro to outline todays date to help user narrow in on column of interest. </text>
  </threadedComment>
</ThreadedComments>
</file>

<file path=xl/threadedComments/threadedComment2.xml><?xml version="1.0" encoding="utf-8"?>
<ThreadedComments xmlns="http://schemas.microsoft.com/office/spreadsheetml/2018/threadedcomments" xmlns:x="http://schemas.openxmlformats.org/spreadsheetml/2006/main">
  <threadedComment ref="Y2" dT="2025-06-26T01:34:40.25" personId="{5CCEC2CC-05D7-B84D-96F4-85A277DB46D0}" id="{BE5A6C25-3588-43F0-87AF-4FDC521E5720}">
    <text>make sure you fill down. check the cost against coreplan.</text>
  </threadedComment>
</ThreadedComments>
</file>

<file path=xl/threadedComments/threadedComment3.xml><?xml version="1.0" encoding="utf-8"?>
<ThreadedComments xmlns="http://schemas.microsoft.com/office/spreadsheetml/2018/threadedcomments" xmlns:x="http://schemas.openxmlformats.org/spreadsheetml/2006/main">
  <threadedComment ref="AO2" dT="2025-06-28T02:53:15.42" personId="{5CCEC2CC-05D7-B84D-96F4-85A277DB46D0}" id="{77E78FF3-997F-44C9-807D-9184CC3ED767}">
    <text xml:space="preserve">NEW Column, please fill
</text>
  </threadedComment>
  <threadedComment ref="Y3" dT="2025-06-26T01:34:40.25" personId="{5CCEC2CC-05D7-B84D-96F4-85A277DB46D0}" id="{5A6A296A-6613-4ECD-A7DA-C9A6B4D9AEF7}">
    <text>make sure you fill down. check the cost against coreplan.</text>
  </threadedComment>
  <threadedComment ref="C5" dT="2025-08-09T05:04:06.79" personId="{2507058F-7914-4C7B-8A23-E3CCDC20DCDD}" id="{A04DE335-C7A1-4044-A680-9FB5B8C95085}">
    <text>Just enter hole type on the row when the hole is finished drilling. We want them to equal the amount of completed holes of that type.</text>
  </threadedComment>
</ThreadedComments>
</file>

<file path=xl/threadedComments/threadedComment4.xml><?xml version="1.0" encoding="utf-8"?>
<ThreadedComments xmlns="http://schemas.microsoft.com/office/spreadsheetml/2018/threadedcomments" xmlns:x="http://schemas.openxmlformats.org/spreadsheetml/2006/main">
  <threadedComment ref="AO2" dT="2025-06-28T02:53:15.42" personId="{5CCEC2CC-05D7-B84D-96F4-85A277DB46D0}" id="{4D8F719B-4F52-42F7-A31B-E5761DFCE6E8}">
    <text xml:space="preserve">NEW Column, please fill
</text>
  </threadedComment>
  <threadedComment ref="Y3" dT="2025-06-26T01:34:40.25" personId="{5CCEC2CC-05D7-B84D-96F4-85A277DB46D0}" id="{7BC64E99-5435-6141-8F9D-85AF8137B630}">
    <text>make sure you fill down. check the cost against coreplan.</text>
  </threadedComment>
  <threadedComment ref="AH13" dT="2025-06-26T01:37:15.40" personId="{5CCEC2CC-05D7-B84D-96F4-85A277DB46D0}" id="{DB72957D-3F28-FD41-A2C2-E39CDC6D3E0B}">
    <text>ensure you seperate out inactive hours (ie non drilling but productive) vs standby (ie non drilling and unproductive)</text>
  </threadedComment>
  <threadedComment ref="I14" dT="2025-06-29T23:27:19.04" personId="{5CCEC2CC-05D7-B84D-96F4-85A277DB46D0}" id="{BDE79B22-D3D7-4C77-8FB3-BEC7F4DA70D5}">
    <text>@Stephen Walsh The cut sheet says there should be 6 people under accom we are getting charged 7. Please advise.</text>
    <mentions>
      <mention mentionpersonId="{013FCEE4-2132-4F40-8D55-CE50D037DE9B}" mentionId="{CA6C8DE1-6F54-41A9-88AD-B065156E22BB}" startIndex="0" length="14"/>
    </mentions>
  </threadedComment>
  <threadedComment ref="F16" dT="2025-06-22T12:49:58.01" personId="{CCBF9F0B-DA2A-457E-9B11-FD3C009B9AB0}" id="{41CBE913-3656-4C9D-B529-718B374E15B8}">
    <text xml:space="preserve">I think we should change the hole ID to SPF for when we drill at Sandover </text>
  </threadedComment>
  <threadedComment ref="AI21" dT="2025-06-30T01:08:10.28" personId="{5CCEC2CC-05D7-B84D-96F4-85A277DB46D0}" id="{C1534CCD-CCE8-4B5C-BBCB-926563828650}">
    <text xml:space="preserve">@Matthew Draddy What is this standby for? Hole move at night? Please fill out corresponding column
</text>
  </threadedComment>
  <threadedComment ref="AI37" dT="2025-06-30T01:05:49.57" personId="{5CCEC2CC-05D7-B84D-96F4-85A277DB46D0}" id="{BE31F2AF-0A40-4F2B-B8FC-DA845DAB099B}">
    <text>@Stephen Walsh @Jeremy Simpson  This 6 hours relate to standby due to no rig moves at night? Is this a new condition I was not aware of? Are we able to move rig at night if all controls (i.e. lighting) are inplace?</text>
    <mentions>
      <mention mentionpersonId="{013FCEE4-2132-4F40-8D55-CE50D037DE9B}" mentionId="{47AEB588-2FFE-4B04-93E9-89AB6906C13C}" startIndex="0" length="14"/>
      <mention mentionpersonId="{46F415EC-C045-4E2C-9103-BC1BAE0631FE}" mentionId="{BD410B25-1313-4D43-AF90-A3A25856158F}" startIndex="15" length="15"/>
    </mentions>
  </threadedComment>
  <threadedComment ref="AI37" dT="2025-06-30T01:10:35.70" personId="{5CCEC2CC-05D7-B84D-96F4-85A277DB46D0}" id="{56C43AB9-FDD4-4726-9E68-E0E7BBEF3176}" parentId="{BE31F2AF-0A40-4F2B-B8FC-DA845DAB099B}">
    <text>@Matthew Draddy can you provide clarity on this?</text>
    <mentions>
      <mention mentionpersonId="{32D3151A-888B-4223-9ABF-520AE912D8A8}" mentionId="{4CA39355-9FA1-42B6-9EA6-CE4F5A0D46F5}" startIndex="0" length="15"/>
    </mentions>
  </threadedComment>
  <threadedComment ref="AI41" dT="2025-07-01T21:38:35.52" personId="{5CCEC2CC-05D7-B84D-96F4-85A277DB46D0}" id="{39C875A1-CDD9-48D3-BDDF-6DF202C2CAF4}">
    <text>@George Manton @Matthew Draddy Please provide clarity here</text>
    <mentions>
      <mention mentionpersonId="{736DCCAB-2EEC-4656-97F9-736402A43402}" mentionId="{63FDA2D2-7577-4E5C-8489-809A3C31B506}" startIndex="0" length="14"/>
      <mention mentionpersonId="{32D3151A-888B-4223-9ABF-520AE912D8A8}" mentionId="{ACCFF1E9-A8BB-4DC7-8F31-AAB48637C397}" startIndex="15" length="15"/>
    </mentions>
  </threadedComment>
  <threadedComment ref="F42" dT="2025-07-01T21:45:13.57" personId="{5CCEC2CC-05D7-B84D-96F4-85A277DB46D0}" id="{A8F4719D-0DDD-4EB9-A8D5-988A958E5177}">
    <text xml:space="preserve">@Felix Moore Please get familiar with this tracker and fill out to align with Core plan. Link to CP in column AQ. Let me know if you have trouble with access.
</text>
    <mentions>
      <mention mentionpersonId="{BDE7D679-A885-455D-ADB6-1A37CE00BCBA}" mentionId="{02C65187-FF82-4FA0-AAB6-C9F1FD35AF35}" startIndex="0" length="12"/>
    </mentions>
  </threadedComment>
  <threadedComment ref="Y141" dT="2025-08-20T03:24:49.31" personId="{F589E374-C04F-4483-9E2D-CEE3DDDB92CB}" id="{EBA46BE7-75DC-4A7A-B70A-EB1438595329}">
    <text>Rate changes to $150/m past 200m</text>
  </threadedComment>
  <threadedComment ref="Y142" dT="2025-08-21T00:29:23.39" personId="{F589E374-C04F-4483-9E2D-CEE3DDDB92CB}" id="{F8BC4942-C9DF-4464-BEB0-E4063A931578}">
    <text>Rate changes to $150/m past 200m</text>
  </threadedComment>
</ThreadedComments>
</file>

<file path=xl/threadedComments/threadedComment5.xml><?xml version="1.0" encoding="utf-8"?>
<ThreadedComments xmlns="http://schemas.microsoft.com/office/spreadsheetml/2018/threadedcomments" xmlns:x="http://schemas.openxmlformats.org/spreadsheetml/2006/main">
  <threadedComment ref="AK4" dT="2025-08-03T07:07:26.06" personId="{5CCEC2CC-05D7-B84D-96F4-85A277DB46D0}" id="{39ED96B8-A30E-4A53-B359-B99BB529681A}">
    <text xml:space="preserve">Type total consumable costs here and will automatically deduct accom costs and output cost on adjacent column
</text>
  </threadedComment>
</ThreadedComments>
</file>

<file path=xl/threadedComments/threadedComment6.xml><?xml version="1.0" encoding="utf-8"?>
<ThreadedComments xmlns="http://schemas.microsoft.com/office/spreadsheetml/2018/threadedcomments" xmlns:x="http://schemas.openxmlformats.org/spreadsheetml/2006/main">
  <threadedComment ref="T3" dT="2025-07-31T06:11:48.23" personId="{5CCEC2CC-05D7-B84D-96F4-85A277DB46D0}" id="{B8BE0AA1-4B9C-4D4F-A560-290E34EA67FA}">
    <text xml:space="preserve">rcheal@srk.com.au </text>
    <extLst>
      <x:ext xmlns:xltc2="http://schemas.microsoft.com/office/spreadsheetml/2020/threadedcomments2" uri="{F7C98A9C-CBB3-438F-8F68-D28B6AF4A901}">
        <xltc2:checksum>3913321429</xltc2:checksum>
        <xltc2:hyperlink startIndex="0" length="17" url="rcheal@srk.com.au"/>
      </x:ext>
    </extLst>
  </threadedComment>
  <threadedComment ref="T3" dT="2025-07-31T06:12:17.17" personId="{5CCEC2CC-05D7-B84D-96F4-85A277DB46D0}" id="{7B9AA464-F5BC-4B60-B4F3-DE460600F752}" parentId="{B8BE0AA1-4B9C-4D4F-A560-290E34EA67FA}">
    <text xml:space="preserve">Could you please check rates?
</text>
  </threadedComment>
  <threadedComment ref="AQ3" dT="2025-08-04T07:42:52.97" personId="{2E3E24E6-B45C-41CD-BDDA-3621FBE8F143}" id="{B6BDA8E0-7CA4-43A1-A450-E82DC50881E3}">
    <text>Check rate</text>
  </threadedComment>
  <threadedComment ref="AM4" dT="2025-07-30T11:21:26.72" personId="{2E3E24E6-B45C-41CD-BDDA-3621FBE8F143}" id="{B02D85BE-3462-4FE5-9B89-38A2D047F23D}">
    <text>Check rate, we are using 1m3 gravel bags</text>
  </threadedComment>
</ThreadedComments>
</file>

<file path=xl/threadedComments/threadedComment7.xml><?xml version="1.0" encoding="utf-8"?>
<ThreadedComments xmlns="http://schemas.microsoft.com/office/spreadsheetml/2018/threadedcomments" xmlns:x="http://schemas.openxmlformats.org/spreadsheetml/2006/main">
  <threadedComment ref="AF3" dT="2025-08-04T08:00:57.63" personId="{796A0CF3-FFCD-4C13-B618-231E36A91306}" id="{9A824653-D571-468B-BA6D-6A8E8FF7C461}">
    <text>check rate</text>
  </threadedComment>
  <threadedComment ref="AG3" dT="2025-08-04T07:26:58.24" personId="{796A0CF3-FFCD-4C13-B618-231E36A91306}" id="{A3A5259C-BADA-4698-993A-7B756EDD0203}">
    <text xml:space="preserve">check rate
</text>
  </threadedComment>
  <threadedComment ref="AK3" dT="2025-08-04T07:27:38.94" personId="{796A0CF3-FFCD-4C13-B618-231E36A91306}" id="{14CC8A62-5B47-4582-A641-E79D86462139}">
    <text xml:space="preserve">check rate
</text>
  </threadedComment>
  <threadedComment ref="AL3" dT="2025-08-04T08:01:56.66" personId="{796A0CF3-FFCD-4C13-B618-231E36A91306}" id="{19E3F6E6-A36D-4971-9E2E-A9F26C061029}">
    <text xml:space="preserve">check rate
</text>
  </threadedComment>
  <threadedComment ref="AH8" dT="2025-08-04T08:12:58.10" personId="{796A0CF3-FFCD-4C13-B618-231E36A91306}" id="{7CE5C338-0CAA-4ED2-BEEB-DC90A324C70F}">
    <text>HYD25-006A</text>
  </threadedComment>
  <threadedComment ref="AH10" dT="2025-08-04T08:13:12.27" personId="{796A0CF3-FFCD-4C13-B618-231E36A91306}" id="{AE615B8D-3B2A-439A-B2BF-69AB5F5B6332}">
    <text>HYD25-010B</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F0CC397-D981-4DEA-97A0-D275210210A6}" sourceName="Date">
  <pivotTables>
    <pivotTable tabId="32" name="PivotTable1"/>
  </pivotTables>
  <state minimalRefreshVersion="6" lastRefreshVersion="6" pivotCacheId="2044115623" filterType="unknown">
    <bounds startDate="2025-01-01T00:00:00" endDate="2026-01-01T05:02:2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03AA718-4D13-445F-9F19-27793A39D0D6}" cache="NativeTimeline_Date" caption="Date" level="3" selectionLevel="3" scrollPosition="2025-07-3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11/relationships/timeline" Target="../timelines/timelin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3" Type="http://schemas.openxmlformats.org/officeDocument/2006/relationships/hyperlink" Target="https://www.coreplan.io/app/ddh1-drilling/speewah-mining-speewah-fluorite-project-wa/plods/1663-" TargetMode="External"/><Relationship Id="rId18" Type="http://schemas.openxmlformats.org/officeDocument/2006/relationships/hyperlink" Target="https://www.coreplan.io/app/ddh1-drilling/speewah-mining-speewah-fluorite-project-wa/plods/1663-" TargetMode="External"/><Relationship Id="rId26" Type="http://schemas.openxmlformats.org/officeDocument/2006/relationships/hyperlink" Target="https://www.coreplan.io/app/ddh1-drilling/speewah-mining-speewah-fluorite-project-wa/plods/1663-" TargetMode="External"/><Relationship Id="rId39" Type="http://schemas.openxmlformats.org/officeDocument/2006/relationships/hyperlink" Target="https://www.coreplan.io/app/ddh1-drilling/speewah-mining-speewah-fluorite-project-wa/plods/1663-" TargetMode="External"/><Relationship Id="rId21" Type="http://schemas.openxmlformats.org/officeDocument/2006/relationships/hyperlink" Target="https://www.coreplan.io/app/ddh1-drilling/speewah-mining-speewah-fluorite-project-wa/plods/1663-" TargetMode="External"/><Relationship Id="rId34" Type="http://schemas.openxmlformats.org/officeDocument/2006/relationships/hyperlink" Target="https://www.coreplan.io/app/ddh1-drilling/speewah-mining-speewah-fluorite-project-wa/plods/1663-" TargetMode="External"/><Relationship Id="rId42" Type="http://schemas.openxmlformats.org/officeDocument/2006/relationships/hyperlink" Target="https://www.coreplan.io/app/ddh1-drilling/speewah-mining-speewah-fluorite-project-wa/plods/1663-" TargetMode="External"/><Relationship Id="rId47" Type="http://schemas.openxmlformats.org/officeDocument/2006/relationships/hyperlink" Target="https://www.coreplan.io/app/ddh1-drilling/speewah-mining-speewah-fluorite-project-wa/plods/1663-" TargetMode="External"/><Relationship Id="rId50" Type="http://schemas.openxmlformats.org/officeDocument/2006/relationships/hyperlink" Target="https://www.coreplan.io/app/ddh1-drilling/speewah-mining-speewah-fluorite-project-wa/plods/1663-" TargetMode="External"/><Relationship Id="rId55" Type="http://schemas.openxmlformats.org/officeDocument/2006/relationships/printerSettings" Target="../printerSettings/printerSettings3.bin"/><Relationship Id="rId7" Type="http://schemas.openxmlformats.org/officeDocument/2006/relationships/hyperlink" Target="https://www.coreplan.io/app/ddh1-drilling/speewah-mining-speewah-fluorite-project-wa/plods/1663-" TargetMode="External"/><Relationship Id="rId2" Type="http://schemas.openxmlformats.org/officeDocument/2006/relationships/hyperlink" Target="https://www.coreplan.io/app/ddh1-drilling/speewah-mining-speewah-fluorite-project-wa/plods/1663-" TargetMode="External"/><Relationship Id="rId16" Type="http://schemas.openxmlformats.org/officeDocument/2006/relationships/hyperlink" Target="https://www.coreplan.io/app/ddh1-drilling/speewah-mining-speewah-fluorite-project-wa/plods/1663-" TargetMode="External"/><Relationship Id="rId29" Type="http://schemas.openxmlformats.org/officeDocument/2006/relationships/hyperlink" Target="https://www.coreplan.io/app/ddh1-drilling/speewah-mining-speewah-fluorite-project-wa/plods/1663-" TargetMode="External"/><Relationship Id="rId11" Type="http://schemas.openxmlformats.org/officeDocument/2006/relationships/hyperlink" Target="https://www.coreplan.io/app/ddh1-drilling/speewah-mining-speewah-fluorite-project-wa/plods/1663-" TargetMode="External"/><Relationship Id="rId24" Type="http://schemas.openxmlformats.org/officeDocument/2006/relationships/hyperlink" Target="https://www.coreplan.io/app/ddh1-drilling/speewah-mining-speewah-fluorite-project-wa/plods/1663-" TargetMode="External"/><Relationship Id="rId32" Type="http://schemas.openxmlformats.org/officeDocument/2006/relationships/hyperlink" Target="https://www.coreplan.io/app/ddh1-drilling/speewah-mining-speewah-fluorite-project-wa/plods/1663-" TargetMode="External"/><Relationship Id="rId37" Type="http://schemas.openxmlformats.org/officeDocument/2006/relationships/hyperlink" Target="https://www.coreplan.io/app/ddh1-drilling/speewah-mining-speewah-fluorite-project-wa/plods/1663-" TargetMode="External"/><Relationship Id="rId40" Type="http://schemas.openxmlformats.org/officeDocument/2006/relationships/hyperlink" Target="https://www.coreplan.io/app/ddh1-drilling/speewah-mining-speewah-fluorite-project-wa/plods/1663-" TargetMode="External"/><Relationship Id="rId45" Type="http://schemas.openxmlformats.org/officeDocument/2006/relationships/hyperlink" Target="https://www.coreplan.io/app/ddh1-drilling/speewah-mining-speewah-fluorite-project-wa/plods/1663-" TargetMode="External"/><Relationship Id="rId53" Type="http://schemas.openxmlformats.org/officeDocument/2006/relationships/hyperlink" Target="https://www.coreplan.io/app/ddh1-drilling/speewah-mining-speewah-fluorite-project-wa/plods/1663-" TargetMode="External"/><Relationship Id="rId58" Type="http://schemas.microsoft.com/office/2017/10/relationships/threadedComment" Target="../threadedComments/threadedComment3.xml"/><Relationship Id="rId5" Type="http://schemas.openxmlformats.org/officeDocument/2006/relationships/hyperlink" Target="https://www.coreplan.io/app/ddh1-drilling/speewah-mining-speewah-fluorite-project-wa/plods/1663-" TargetMode="External"/><Relationship Id="rId19" Type="http://schemas.openxmlformats.org/officeDocument/2006/relationships/hyperlink" Target="https://www.coreplan.io/app/ddh1-drilling/speewah-mining-speewah-fluorite-project-wa/plods/1663-" TargetMode="External"/><Relationship Id="rId4" Type="http://schemas.openxmlformats.org/officeDocument/2006/relationships/hyperlink" Target="https://www.coreplan.io/app/ddh1-drilling/speewah-mining-speewah-fluorite-project-wa/plods/1663-" TargetMode="External"/><Relationship Id="rId9" Type="http://schemas.openxmlformats.org/officeDocument/2006/relationships/hyperlink" Target="https://www.coreplan.io/app/ddh1-drilling/speewah-mining-speewah-fluorite-project-wa/plods/1663-" TargetMode="External"/><Relationship Id="rId14" Type="http://schemas.openxmlformats.org/officeDocument/2006/relationships/hyperlink" Target="https://www.coreplan.io/app/ddh1-drilling/speewah-mining-speewah-fluorite-project-wa/plods/1663-" TargetMode="External"/><Relationship Id="rId22" Type="http://schemas.openxmlformats.org/officeDocument/2006/relationships/hyperlink" Target="https://www.coreplan.io/app/ddh1-drilling/speewah-mining-speewah-fluorite-project-wa/plods/1663-" TargetMode="External"/><Relationship Id="rId27" Type="http://schemas.openxmlformats.org/officeDocument/2006/relationships/hyperlink" Target="https://www.coreplan.io/app/ddh1-drilling/speewah-mining-speewah-fluorite-project-wa/plods/1663-" TargetMode="External"/><Relationship Id="rId30" Type="http://schemas.openxmlformats.org/officeDocument/2006/relationships/hyperlink" Target="https://www.coreplan.io/app/ddh1-drilling/speewah-mining-speewah-fluorite-project-wa/plods/1663-" TargetMode="External"/><Relationship Id="rId35" Type="http://schemas.openxmlformats.org/officeDocument/2006/relationships/hyperlink" Target="https://www.coreplan.io/app/ddh1-drilling/speewah-mining-speewah-fluorite-project-wa/plods/1663-" TargetMode="External"/><Relationship Id="rId43" Type="http://schemas.openxmlformats.org/officeDocument/2006/relationships/hyperlink" Target="https://www.coreplan.io/app/ddh1-drilling/speewah-mining-speewah-fluorite-project-wa/plods/1663-" TargetMode="External"/><Relationship Id="rId48" Type="http://schemas.openxmlformats.org/officeDocument/2006/relationships/hyperlink" Target="https://www.coreplan.io/app/ddh1-drilling/speewah-mining-speewah-fluorite-project-wa/plods/1663-" TargetMode="External"/><Relationship Id="rId56" Type="http://schemas.openxmlformats.org/officeDocument/2006/relationships/vmlDrawing" Target="../drawings/vmlDrawing3.vml"/><Relationship Id="rId8" Type="http://schemas.openxmlformats.org/officeDocument/2006/relationships/hyperlink" Target="https://www.coreplan.io/app/ddh1-drilling/speewah-mining-speewah-fluorite-project-wa/plods/1663-" TargetMode="External"/><Relationship Id="rId51" Type="http://schemas.openxmlformats.org/officeDocument/2006/relationships/hyperlink" Target="https://www.coreplan.io/app/ddh1-drilling/speewah-mining-speewah-fluorite-project-wa/plods/1663-" TargetMode="External"/><Relationship Id="rId3" Type="http://schemas.openxmlformats.org/officeDocument/2006/relationships/hyperlink" Target="https://www.coreplan.io/app/ddh1-drilling/speewah-mining-speewah-fluorite-project-wa/plods/1663-" TargetMode="External"/><Relationship Id="rId12" Type="http://schemas.openxmlformats.org/officeDocument/2006/relationships/hyperlink" Target="https://www.coreplan.io/app/ddh1-drilling/speewah-mining-speewah-fluorite-project-wa/plods/1663-" TargetMode="External"/><Relationship Id="rId17" Type="http://schemas.openxmlformats.org/officeDocument/2006/relationships/hyperlink" Target="https://www.coreplan.io/app/ddh1-drilling/speewah-mining-speewah-fluorite-project-wa/plods/1663-" TargetMode="External"/><Relationship Id="rId25" Type="http://schemas.openxmlformats.org/officeDocument/2006/relationships/hyperlink" Target="https://www.coreplan.io/app/ddh1-drilling/speewah-mining-speewah-fluorite-project-wa/plods/1663-" TargetMode="External"/><Relationship Id="rId33" Type="http://schemas.openxmlformats.org/officeDocument/2006/relationships/hyperlink" Target="https://www.coreplan.io/app/ddh1-drilling/speewah-mining-speewah-fluorite-project-wa/plods/1663-" TargetMode="External"/><Relationship Id="rId38" Type="http://schemas.openxmlformats.org/officeDocument/2006/relationships/hyperlink" Target="https://www.coreplan.io/app/ddh1-drilling/speewah-mining-speewah-fluorite-project-wa/plods/1663-" TargetMode="External"/><Relationship Id="rId46" Type="http://schemas.openxmlformats.org/officeDocument/2006/relationships/hyperlink" Target="https://www.coreplan.io/app/ddh1-drilling/speewah-mining-speewah-fluorite-project-wa/plods/1663-" TargetMode="External"/><Relationship Id="rId20" Type="http://schemas.openxmlformats.org/officeDocument/2006/relationships/hyperlink" Target="https://www.coreplan.io/app/ddh1-drilling/speewah-mining-speewah-fluorite-project-wa/plods/1663-" TargetMode="External"/><Relationship Id="rId41" Type="http://schemas.openxmlformats.org/officeDocument/2006/relationships/hyperlink" Target="https://www.coreplan.io/app/ddh1-drilling/speewah-mining-speewah-fluorite-project-wa/plods/1663-" TargetMode="External"/><Relationship Id="rId54" Type="http://schemas.openxmlformats.org/officeDocument/2006/relationships/hyperlink" Target="https://www.coreplan.io/app/ddh1-drilling/speewah-mining-speewah-fluorite-project-wa/plods/1663-" TargetMode="External"/><Relationship Id="rId1" Type="http://schemas.openxmlformats.org/officeDocument/2006/relationships/hyperlink" Target="https://www.coreplan.io/app/ddh1-drilling/speewah-mining-speewah-fluorite-project-wa/plods/1663-" TargetMode="External"/><Relationship Id="rId6" Type="http://schemas.openxmlformats.org/officeDocument/2006/relationships/hyperlink" Target="https://www.coreplan.io/app/ddh1-drilling/speewah-mining-speewah-fluorite-project-wa/plods/1663-" TargetMode="External"/><Relationship Id="rId15" Type="http://schemas.openxmlformats.org/officeDocument/2006/relationships/hyperlink" Target="https://www.coreplan.io/app/ddh1-drilling/speewah-mining-speewah-fluorite-project-wa/plods/1663-" TargetMode="External"/><Relationship Id="rId23" Type="http://schemas.openxmlformats.org/officeDocument/2006/relationships/hyperlink" Target="https://www.coreplan.io/app/ddh1-drilling/speewah-mining-speewah-fluorite-project-wa/plods/1663-" TargetMode="External"/><Relationship Id="rId28" Type="http://schemas.openxmlformats.org/officeDocument/2006/relationships/hyperlink" Target="https://www.coreplan.io/app/ddh1-drilling/speewah-mining-speewah-fluorite-project-wa/plods/1663-" TargetMode="External"/><Relationship Id="rId36" Type="http://schemas.openxmlformats.org/officeDocument/2006/relationships/hyperlink" Target="https://www.coreplan.io/app/ddh1-drilling/speewah-mining-speewah-fluorite-project-wa/plods/1663-" TargetMode="External"/><Relationship Id="rId49" Type="http://schemas.openxmlformats.org/officeDocument/2006/relationships/hyperlink" Target="https://www.coreplan.io/app/ddh1-drilling/speewah-mining-speewah-fluorite-project-wa/plods/1663-" TargetMode="External"/><Relationship Id="rId57" Type="http://schemas.openxmlformats.org/officeDocument/2006/relationships/comments" Target="../comments3.xml"/><Relationship Id="rId10" Type="http://schemas.openxmlformats.org/officeDocument/2006/relationships/hyperlink" Target="https://www.coreplan.io/app/ddh1-drilling/speewah-mining-speewah-fluorite-project-wa/plods/1663-" TargetMode="External"/><Relationship Id="rId31" Type="http://schemas.openxmlformats.org/officeDocument/2006/relationships/hyperlink" Target="https://www.coreplan.io/app/ddh1-drilling/speewah-mining-speewah-fluorite-project-wa/plods/1663-" TargetMode="External"/><Relationship Id="rId44" Type="http://schemas.openxmlformats.org/officeDocument/2006/relationships/hyperlink" Target="https://www.coreplan.io/app/ddh1-drilling/speewah-mining-speewah-fluorite-project-wa/plods/1663-" TargetMode="External"/><Relationship Id="rId52" Type="http://schemas.openxmlformats.org/officeDocument/2006/relationships/hyperlink" Target="https://www.coreplan.io/app/ddh1-drilling/speewah-mining-speewah-fluorite-project-wa/plods/1663-" TargetMode="Externa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https://www.coreplan.io/app/ddh1-drilling/speewah-mining-speewah-fluorite-project-wa/plods/1665-" TargetMode="External"/><Relationship Id="rId6" Type="http://schemas.microsoft.com/office/2019/04/relationships/documenttask" Target="../documenttasks/documenttask1.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37C17-4554-4179-869D-0B5396A308C5}">
  <sheetPr codeName="Sheet1"/>
  <dimension ref="A1:F16"/>
  <sheetViews>
    <sheetView workbookViewId="0">
      <selection activeCell="H14" sqref="H14"/>
    </sheetView>
  </sheetViews>
  <sheetFormatPr defaultRowHeight="15"/>
  <cols>
    <col min="1" max="3" width="25.85546875" customWidth="1"/>
    <col min="4" max="4" width="10.140625" bestFit="1" customWidth="1"/>
    <col min="5" max="5" width="20.28515625" bestFit="1" customWidth="1"/>
    <col min="6" max="6" width="14.7109375" bestFit="1" customWidth="1"/>
    <col min="7" max="7" width="12.28515625" customWidth="1"/>
    <col min="9" max="9" width="17.7109375" bestFit="1" customWidth="1"/>
    <col min="10" max="10" width="14.140625" bestFit="1" customWidth="1"/>
    <col min="11" max="11" width="17.7109375" bestFit="1" customWidth="1"/>
  </cols>
  <sheetData>
    <row r="1" spans="1:6">
      <c r="A1" s="270" t="s">
        <v>0</v>
      </c>
      <c r="B1" s="270"/>
      <c r="C1" s="384"/>
    </row>
    <row r="2" spans="1:6">
      <c r="A2" s="270" t="s">
        <v>1</v>
      </c>
      <c r="B2" s="270"/>
      <c r="C2" s="270"/>
    </row>
    <row r="3" spans="1:6">
      <c r="A3" s="270"/>
      <c r="B3" s="270" t="str" cm="1">
        <f t="array" ref="B3:C7">_xlfn.LET(
  _xlpm.cats, _xlfn.VSTACK(
    'DDH1 RIG 38'!B5:B149, 'DDH1 RIG 38'!B5:B149,
    'DDH1 RIG 41'!B5:B149, 'DDH1 RIG 41'!B5:B149
  ),
  _xlpm.vals, _xlfn.VSTACK(
    'DDH1 RIG 38'!F5:F149, 'DDH1 RIG 38'!G5:G149,
    'DDH1 RIG 41'!F5:F149, 'DDH1 RIG 41'!G5:G149
  ),
  _xlpm.mask, ISTEXT(_xlpm.vals),
  _xlpm.c, _xlfn._xlws.FILTER(_xlpm.cats, _xlpm.mask),
  _xlpm.v, _xlfn._xlws.FILTER(_xlpm.vals, _xlpm.mask),
  _xlpm.uC, _xlfn.UNIQUE(_xlpm.c),
  _xlfn.HSTACK(
    _xlpm.uC,
    _xlfn.MAP(_xlpm.uC, _xlfn.LAMBDA(_xlpm.x, COUNTA(_xlfn.UNIQUE(_xlfn._xlws.FILTER(_xlpm.v, _xlpm.c=_xlpm.x)))))
  )
)</f>
        <v>Met</v>
      </c>
      <c r="C3" s="270">
        <v>27</v>
      </c>
    </row>
    <row r="4" spans="1:6">
      <c r="A4" s="270"/>
      <c r="B4" s="270" t="str">
        <v>Geotech</v>
      </c>
      <c r="C4" s="270">
        <v>14</v>
      </c>
    </row>
    <row r="5" spans="1:6">
      <c r="A5" s="270"/>
      <c r="B5" s="270" t="str">
        <v>A Vein DD</v>
      </c>
      <c r="C5" s="270">
        <v>7</v>
      </c>
    </row>
    <row r="6" spans="1:6">
      <c r="A6" s="270"/>
      <c r="B6" s="270" t="str">
        <v>Infill</v>
      </c>
      <c r="C6" s="270">
        <v>5</v>
      </c>
    </row>
    <row r="7" spans="1:6">
      <c r="A7" s="270"/>
      <c r="B7" s="270" t="str">
        <v>G Vein DD</v>
      </c>
      <c r="C7" s="270">
        <v>4</v>
      </c>
    </row>
    <row r="8" spans="1:6">
      <c r="A8" s="270"/>
      <c r="B8" s="270"/>
      <c r="C8" s="270"/>
    </row>
    <row r="9" spans="1:6">
      <c r="A9" s="270" t="s">
        <v>2</v>
      </c>
      <c r="B9" s="270"/>
      <c r="C9" s="270"/>
    </row>
    <row r="10" spans="1:6">
      <c r="A10" s="270"/>
      <c r="B10" s="270" t="str" cm="1">
        <f t="array" ref="B10:C12">_xlfn.LET(
  _xlpm.cats, _xlfn.VSTACK('STR RIG 18'!B5:B149,'STR RIG 18'!B5:B149,'STR RIG 18'!B5:B149,'STR RIG 18'!B5:B149),
  _xlpm.vals, _xlfn.VSTACK('STR RIG 18'!E5:E149,'STR RIG 18'!F5:F149,'STR RIG 18'!G5:G149,'STR RIG 18'!H5:H149),
  _xlpm.mask, ISTEXT(_xlpm.vals),
  _xlpm.c, _xlfn._xlws.FILTER(_xlpm.cats,_xlpm.mask),
  _xlpm.v, _xlfn._xlws.FILTER(_xlpm.vals,_xlpm.mask),
  _xlpm.uC, _xlfn.UNIQUE(_xlpm.c),
  _xlfn.HSTACK(
    _xlpm.uC,
    _xlfn.MAP(_xlpm.uC,_xlfn.LAMBDA(_xlpm.x,COUNTA(_xlfn.UNIQUE(_xlfn._xlws.FILTER(_xlpm.v,_xlpm.c=_xlpm.x)))))
  )
)</f>
        <v>A Vein RC</v>
      </c>
      <c r="C10" s="270">
        <v>42</v>
      </c>
    </row>
    <row r="11" spans="1:6">
      <c r="A11" s="270"/>
      <c r="B11" s="270" t="str">
        <v>Infill</v>
      </c>
      <c r="C11" s="270">
        <v>38</v>
      </c>
    </row>
    <row r="12" spans="1:6">
      <c r="A12" s="270"/>
      <c r="B12" s="270" t="str">
        <v>G Vein RC</v>
      </c>
      <c r="C12" s="270">
        <v>38</v>
      </c>
    </row>
    <row r="13" spans="1:6">
      <c r="B13" t="s">
        <v>1420</v>
      </c>
    </row>
    <row r="15" spans="1:6">
      <c r="D15" t="s">
        <v>22</v>
      </c>
      <c r="E15" t="s">
        <v>1422</v>
      </c>
    </row>
    <row r="16" spans="1:6">
      <c r="A16" t="s">
        <v>1419</v>
      </c>
      <c r="B16" t="s">
        <v>42</v>
      </c>
      <c r="C16" t="s">
        <v>1421</v>
      </c>
      <c r="D16">
        <v>1223</v>
      </c>
      <c r="F16" t="s">
        <v>1423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638C-B6B1-4761-BC35-2C61617586E3}">
  <sheetPr codeName="Sheet2"/>
  <dimension ref="A2:N37"/>
  <sheetViews>
    <sheetView workbookViewId="0"/>
  </sheetViews>
  <sheetFormatPr defaultRowHeight="15"/>
  <cols>
    <col min="1" max="1" width="15.5703125" bestFit="1" customWidth="1"/>
    <col min="2" max="2" width="19.85546875" customWidth="1"/>
    <col min="3" max="3" width="3" bestFit="1" customWidth="1"/>
    <col min="4" max="9" width="3" customWidth="1"/>
    <col min="10" max="12" width="5" bestFit="1" customWidth="1"/>
    <col min="13" max="13" width="8" bestFit="1" customWidth="1"/>
    <col min="14" max="14" width="14.28515625" bestFit="1" customWidth="1"/>
    <col min="15" max="15" width="7" bestFit="1" customWidth="1"/>
    <col min="16" max="16" width="8" bestFit="1" customWidth="1"/>
    <col min="17" max="17" width="7" bestFit="1" customWidth="1"/>
    <col min="18" max="18" width="8" bestFit="1" customWidth="1"/>
    <col min="19" max="23" width="5" bestFit="1" customWidth="1"/>
    <col min="24" max="24" width="8" bestFit="1" customWidth="1"/>
    <col min="25" max="25" width="5" bestFit="1" customWidth="1"/>
    <col min="26" max="26" width="7" bestFit="1" customWidth="1"/>
    <col min="27" max="29" width="8" bestFit="1" customWidth="1"/>
    <col min="30" max="30" width="5" bestFit="1" customWidth="1"/>
    <col min="31" max="31" width="8" bestFit="1" customWidth="1"/>
    <col min="32" max="32" width="5" bestFit="1" customWidth="1"/>
    <col min="33" max="34" width="8" bestFit="1" customWidth="1"/>
    <col min="35" max="35" width="5" bestFit="1" customWidth="1"/>
    <col min="36" max="36" width="8" bestFit="1" customWidth="1"/>
    <col min="37" max="37" width="7" bestFit="1" customWidth="1"/>
    <col min="38" max="43" width="8" bestFit="1" customWidth="1"/>
    <col min="44" max="44" width="5" bestFit="1" customWidth="1"/>
    <col min="45" max="45" width="8" bestFit="1" customWidth="1"/>
    <col min="46" max="46" width="5" bestFit="1" customWidth="1"/>
    <col min="47" max="47" width="8" bestFit="1" customWidth="1"/>
    <col min="48" max="49" width="5" bestFit="1" customWidth="1"/>
    <col min="50" max="50" width="8" bestFit="1" customWidth="1"/>
    <col min="51" max="52" width="5" bestFit="1" customWidth="1"/>
    <col min="53" max="53" width="8" bestFit="1" customWidth="1"/>
    <col min="54" max="54" width="7" bestFit="1" customWidth="1"/>
    <col min="55" max="55" width="8" bestFit="1" customWidth="1"/>
    <col min="56" max="57" width="5" bestFit="1" customWidth="1"/>
    <col min="58" max="59" width="7" bestFit="1" customWidth="1"/>
    <col min="60" max="62" width="8" bestFit="1" customWidth="1"/>
    <col min="63" max="63" width="7" bestFit="1" customWidth="1"/>
    <col min="64" max="65" width="8" bestFit="1" customWidth="1"/>
    <col min="66" max="66" width="6" bestFit="1" customWidth="1"/>
    <col min="67" max="67" width="9" bestFit="1" customWidth="1"/>
    <col min="68" max="68" width="14.28515625" bestFit="1" customWidth="1"/>
    <col min="69" max="69" width="7.28515625" bestFit="1" customWidth="1"/>
    <col min="70" max="70" width="11.28515625" bestFit="1" customWidth="1"/>
  </cols>
  <sheetData>
    <row r="2" spans="1:14">
      <c r="A2" t="s">
        <v>3</v>
      </c>
    </row>
    <row r="3" spans="1:14">
      <c r="A3" s="149" t="s">
        <v>4</v>
      </c>
      <c r="B3" t="s">
        <v>5</v>
      </c>
    </row>
    <row r="4" spans="1:14">
      <c r="A4" s="150"/>
      <c r="B4" s="9">
        <v>3780</v>
      </c>
      <c r="M4" s="140" t="s">
        <v>6</v>
      </c>
      <c r="N4" s="140" t="s">
        <v>7</v>
      </c>
    </row>
    <row r="5" spans="1:14">
      <c r="A5" s="150" t="s">
        <v>8</v>
      </c>
      <c r="B5" s="9">
        <v>48065.74</v>
      </c>
      <c r="M5" s="404" t="s">
        <v>8</v>
      </c>
      <c r="N5" s="2">
        <f>GETPIVOTDATA("Total Costs",$A$3,"Hole Type","DDRD")+GETPIVOTDATA("Total Costs",$A$19,"Hole Type","DDRD")</f>
        <v>117511.38999999998</v>
      </c>
    </row>
    <row r="6" spans="1:14">
      <c r="A6" s="150" t="s">
        <v>9</v>
      </c>
      <c r="B6" s="9">
        <v>156449.69</v>
      </c>
      <c r="M6" s="140" t="s">
        <v>9</v>
      </c>
      <c r="N6" s="2">
        <f>GETPIVOTDATA("Total Costs",$A$3,"Hole Type","GT")+GETPIVOTDATA("Total Costs",$A$19,"Hole Type","GT")</f>
        <v>292723.41000000003</v>
      </c>
    </row>
    <row r="7" spans="1:14">
      <c r="A7" s="150" t="s">
        <v>10</v>
      </c>
      <c r="B7" s="9">
        <v>37</v>
      </c>
      <c r="M7" s="140" t="s">
        <v>11</v>
      </c>
      <c r="N7" s="2">
        <f>GETPIVOTDATA("Total Costs",$A$3,"Hole Type","MET")+GETPIVOTDATA("Total Costs",$A$19,"Hole Type","MET")</f>
        <v>796476.72999999975</v>
      </c>
    </row>
    <row r="8" spans="1:14">
      <c r="A8" s="150" t="s">
        <v>11</v>
      </c>
      <c r="B8" s="9">
        <v>256886.27999999997</v>
      </c>
      <c r="M8" s="140" t="s">
        <v>12</v>
      </c>
      <c r="N8" s="2">
        <f>GETPIVOTDATA("Total Costs",$A$32,"Hole Purpose","INF")</f>
        <v>474557.50000000006</v>
      </c>
    </row>
    <row r="9" spans="1:14">
      <c r="A9" s="150" t="s">
        <v>13</v>
      </c>
      <c r="B9" s="9">
        <v>0</v>
      </c>
      <c r="M9" s="140" t="s">
        <v>14</v>
      </c>
      <c r="N9" s="2">
        <f>GETPIVOTDATA("Total Costs",$A$32,"Hole Purpose","EXT")</f>
        <v>208987.97999999998</v>
      </c>
    </row>
    <row r="10" spans="1:14">
      <c r="A10" s="150" t="s">
        <v>15</v>
      </c>
      <c r="B10" s="9">
        <v>465218.70999999996</v>
      </c>
      <c r="M10" s="140"/>
    </row>
    <row r="11" spans="1:14">
      <c r="A11" s="150"/>
      <c r="B11" s="9"/>
      <c r="M11" s="140" t="s">
        <v>16</v>
      </c>
      <c r="N11" s="9">
        <f>SUM(N5:N9)</f>
        <v>1890257.0099999998</v>
      </c>
    </row>
    <row r="12" spans="1:14">
      <c r="A12" s="150"/>
      <c r="B12" s="9"/>
      <c r="M12" s="140"/>
      <c r="N12" s="9"/>
    </row>
    <row r="13" spans="1:14">
      <c r="A13" s="150"/>
      <c r="B13" s="9"/>
      <c r="M13" s="140"/>
      <c r="N13" s="9"/>
    </row>
    <row r="14" spans="1:14">
      <c r="A14" s="150"/>
      <c r="B14" s="9"/>
      <c r="M14" s="140"/>
      <c r="N14" s="9"/>
    </row>
    <row r="15" spans="1:14">
      <c r="A15" s="150"/>
      <c r="B15" s="9"/>
      <c r="M15" s="140"/>
      <c r="N15" s="9"/>
    </row>
    <row r="16" spans="1:14">
      <c r="A16" s="150"/>
      <c r="B16" s="9"/>
      <c r="M16" s="140"/>
      <c r="N16" s="9"/>
    </row>
    <row r="18" spans="1:2">
      <c r="A18" s="150" t="s">
        <v>17</v>
      </c>
    </row>
    <row r="19" spans="1:2">
      <c r="A19" s="149" t="s">
        <v>4</v>
      </c>
      <c r="B19" t="s">
        <v>5</v>
      </c>
    </row>
    <row r="20" spans="1:2">
      <c r="A20" s="150" t="s">
        <v>8</v>
      </c>
      <c r="B20" s="9">
        <v>69445.649999999994</v>
      </c>
    </row>
    <row r="21" spans="1:2">
      <c r="A21" s="150" t="s">
        <v>9</v>
      </c>
      <c r="B21" s="9">
        <v>136273.72</v>
      </c>
    </row>
    <row r="22" spans="1:2">
      <c r="A22" s="150" t="s">
        <v>10</v>
      </c>
      <c r="B22" s="9">
        <v>37</v>
      </c>
    </row>
    <row r="23" spans="1:2">
      <c r="A23" s="150" t="s">
        <v>11</v>
      </c>
      <c r="B23" s="9">
        <v>539590.44999999972</v>
      </c>
    </row>
    <row r="24" spans="1:2">
      <c r="A24" s="403">
        <v>45821.71</v>
      </c>
      <c r="B24">
        <v>0</v>
      </c>
    </row>
    <row r="25" spans="1:2">
      <c r="A25" s="403">
        <v>45822.71</v>
      </c>
      <c r="B25">
        <v>0</v>
      </c>
    </row>
    <row r="26" spans="1:2">
      <c r="A26" s="403">
        <v>45823.71</v>
      </c>
      <c r="B26">
        <v>0</v>
      </c>
    </row>
    <row r="27" spans="1:2">
      <c r="A27" s="403">
        <v>45824.71</v>
      </c>
      <c r="B27">
        <v>0</v>
      </c>
    </row>
    <row r="28" spans="1:2">
      <c r="A28" s="150" t="s">
        <v>13</v>
      </c>
      <c r="B28" t="e">
        <v>#VALUE!</v>
      </c>
    </row>
    <row r="29" spans="1:2">
      <c r="A29" s="150" t="s">
        <v>15</v>
      </c>
      <c r="B29" t="e">
        <v>#VALUE!</v>
      </c>
    </row>
    <row r="31" spans="1:2">
      <c r="A31" t="s">
        <v>18</v>
      </c>
    </row>
    <row r="32" spans="1:2">
      <c r="A32" s="149" t="s">
        <v>4</v>
      </c>
      <c r="B32" t="s">
        <v>5</v>
      </c>
    </row>
    <row r="33" spans="1:2">
      <c r="A33" s="150" t="s">
        <v>14</v>
      </c>
      <c r="B33" s="9">
        <v>208987.97999999998</v>
      </c>
    </row>
    <row r="34" spans="1:2">
      <c r="A34" s="150" t="s">
        <v>10</v>
      </c>
      <c r="B34" s="9">
        <v>28</v>
      </c>
    </row>
    <row r="35" spans="1:2">
      <c r="A35" s="150" t="s">
        <v>12</v>
      </c>
      <c r="B35" s="9">
        <v>474557.50000000006</v>
      </c>
    </row>
    <row r="36" spans="1:2">
      <c r="A36" s="150" t="s">
        <v>13</v>
      </c>
      <c r="B36" s="9">
        <v>19201.02</v>
      </c>
    </row>
    <row r="37" spans="1:2">
      <c r="A37" s="150" t="s">
        <v>15</v>
      </c>
      <c r="B37">
        <v>702774.5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027C7-4DB7-4CE7-9BE6-800FAF7CDCEC}">
  <sheetPr codeName="Sheet3" filterMode="1">
    <tabColor rgb="FFFFC000"/>
  </sheetPr>
  <dimension ref="A1:FV180"/>
  <sheetViews>
    <sheetView topLeftCell="F2" zoomScale="85" zoomScaleNormal="85" workbookViewId="0">
      <pane xSplit="2" ySplit="3" topLeftCell="BF5" activePane="bottomRight" state="frozen"/>
      <selection activeCell="F2" sqref="F2"/>
      <selection pane="topRight" activeCell="H2" sqref="H2"/>
      <selection pane="bottomLeft" activeCell="F5" sqref="F5"/>
      <selection pane="bottomRight" activeCell="BI10" sqref="BI10"/>
    </sheetView>
  </sheetViews>
  <sheetFormatPr defaultRowHeight="15" outlineLevelRow="1"/>
  <cols>
    <col min="1" max="1" width="16" hidden="1" customWidth="1"/>
    <col min="2" max="3" width="0" hidden="1" customWidth="1"/>
    <col min="5" max="5" width="20.85546875" bestFit="1" customWidth="1"/>
    <col min="6" max="6" width="11.85546875" bestFit="1" customWidth="1"/>
    <col min="7" max="7" width="22" bestFit="1" customWidth="1"/>
    <col min="8" max="25" width="9.28515625" customWidth="1"/>
    <col min="40" max="48" width="9.5703125" bestFit="1" customWidth="1"/>
    <col min="49" max="66" width="9.7109375" bestFit="1" customWidth="1"/>
    <col min="67" max="110" width="10.42578125" bestFit="1" customWidth="1"/>
    <col min="111" max="111" width="9.7109375" bestFit="1" customWidth="1"/>
    <col min="112" max="128" width="9.42578125" bestFit="1" customWidth="1"/>
    <col min="129" max="134" width="10.42578125" bestFit="1" customWidth="1"/>
    <col min="147" max="147" width="11.140625" bestFit="1" customWidth="1"/>
  </cols>
  <sheetData>
    <row r="1" spans="1:178" ht="24">
      <c r="B1" s="58"/>
      <c r="C1" s="58"/>
      <c r="D1" s="58"/>
      <c r="E1" s="58" t="s">
        <v>19</v>
      </c>
      <c r="F1" s="58"/>
      <c r="G1" s="58"/>
      <c r="H1" t="str">
        <f>TEXT(H2,"DDDD")</f>
        <v>Thursday</v>
      </c>
      <c r="I1" t="str">
        <f t="shared" ref="I1:S1" si="0">TEXT(I2,"DDDD")</f>
        <v>Friday</v>
      </c>
      <c r="J1" t="str">
        <f t="shared" si="0"/>
        <v>Saturday</v>
      </c>
      <c r="K1" t="str">
        <f t="shared" si="0"/>
        <v>Sunday</v>
      </c>
      <c r="L1" t="str">
        <f t="shared" si="0"/>
        <v>Monday</v>
      </c>
      <c r="M1" t="str">
        <f t="shared" si="0"/>
        <v>Tuesday</v>
      </c>
      <c r="N1" t="str">
        <f t="shared" si="0"/>
        <v>Wednesday</v>
      </c>
      <c r="O1" t="str">
        <f t="shared" si="0"/>
        <v>Thursday</v>
      </c>
      <c r="P1" t="str">
        <f t="shared" si="0"/>
        <v>Friday</v>
      </c>
      <c r="Q1" t="str">
        <f t="shared" si="0"/>
        <v>Saturday</v>
      </c>
      <c r="R1" t="str">
        <f t="shared" si="0"/>
        <v>Sunday</v>
      </c>
      <c r="S1" t="str">
        <f t="shared" si="0"/>
        <v>Monday</v>
      </c>
      <c r="T1" t="str">
        <f>TEXT(T2,"DDDD")</f>
        <v>Tuesday</v>
      </c>
      <c r="U1" t="str">
        <f t="shared" ref="U1:CF1" si="1">TEXT(U2,"DDDD")</f>
        <v>Wednesday</v>
      </c>
      <c r="V1" t="str">
        <f t="shared" si="1"/>
        <v>Thursday</v>
      </c>
      <c r="W1" t="str">
        <f t="shared" si="1"/>
        <v>Friday</v>
      </c>
      <c r="X1" t="str">
        <f t="shared" si="1"/>
        <v>Saturday</v>
      </c>
      <c r="Y1" t="str">
        <f t="shared" si="1"/>
        <v>Sunday</v>
      </c>
      <c r="Z1" t="str">
        <f t="shared" si="1"/>
        <v>Monday</v>
      </c>
      <c r="AA1" t="str">
        <f t="shared" si="1"/>
        <v>Tuesday</v>
      </c>
      <c r="AB1" t="str">
        <f t="shared" si="1"/>
        <v>Wednesday</v>
      </c>
      <c r="AC1" t="str">
        <f t="shared" si="1"/>
        <v>Thursday</v>
      </c>
      <c r="AD1" t="str">
        <f t="shared" si="1"/>
        <v>Friday</v>
      </c>
      <c r="AE1" t="str">
        <f t="shared" si="1"/>
        <v>Saturday</v>
      </c>
      <c r="AF1" t="str">
        <f t="shared" si="1"/>
        <v>Sunday</v>
      </c>
      <c r="AG1" t="str">
        <f t="shared" si="1"/>
        <v>Monday</v>
      </c>
      <c r="AH1" t="str">
        <f t="shared" si="1"/>
        <v>Tuesday</v>
      </c>
      <c r="AI1" t="str">
        <f t="shared" si="1"/>
        <v>Wednesday</v>
      </c>
      <c r="AJ1" t="str">
        <f t="shared" si="1"/>
        <v>Thursday</v>
      </c>
      <c r="AK1" t="str">
        <f t="shared" si="1"/>
        <v>Friday</v>
      </c>
      <c r="AL1" t="str">
        <f t="shared" si="1"/>
        <v>Saturday</v>
      </c>
      <c r="AM1" t="str">
        <f t="shared" si="1"/>
        <v>Sunday</v>
      </c>
      <c r="AN1" t="str">
        <f t="shared" si="1"/>
        <v>Monday</v>
      </c>
      <c r="AO1" t="str">
        <f t="shared" si="1"/>
        <v>Tuesday</v>
      </c>
      <c r="AP1" t="str">
        <f t="shared" si="1"/>
        <v>Wednesday</v>
      </c>
      <c r="AQ1" t="str">
        <f t="shared" si="1"/>
        <v>Thursday</v>
      </c>
      <c r="AR1" t="str">
        <f t="shared" si="1"/>
        <v>Friday</v>
      </c>
      <c r="AS1" t="str">
        <f t="shared" si="1"/>
        <v>Saturday</v>
      </c>
      <c r="AT1" t="str">
        <f t="shared" si="1"/>
        <v>Sunday</v>
      </c>
      <c r="AU1" t="str">
        <f t="shared" si="1"/>
        <v>Monday</v>
      </c>
      <c r="AV1" t="str">
        <f t="shared" si="1"/>
        <v>Tuesday</v>
      </c>
      <c r="AW1" t="str">
        <f t="shared" si="1"/>
        <v>Wednesday</v>
      </c>
      <c r="AX1" t="str">
        <f t="shared" si="1"/>
        <v>Thursday</v>
      </c>
      <c r="AY1" t="str">
        <f t="shared" si="1"/>
        <v>Friday</v>
      </c>
      <c r="AZ1" t="str">
        <f t="shared" si="1"/>
        <v>Saturday</v>
      </c>
      <c r="BA1" t="str">
        <f t="shared" si="1"/>
        <v>Sunday</v>
      </c>
      <c r="BB1" t="str">
        <f t="shared" si="1"/>
        <v>Monday</v>
      </c>
      <c r="BC1" t="str">
        <f t="shared" si="1"/>
        <v>Tuesday</v>
      </c>
      <c r="BD1" t="str">
        <f t="shared" si="1"/>
        <v>Wednesday</v>
      </c>
      <c r="BE1" t="str">
        <f t="shared" si="1"/>
        <v>Thursday</v>
      </c>
      <c r="BF1" t="str">
        <f t="shared" si="1"/>
        <v>Friday</v>
      </c>
      <c r="BG1" t="str">
        <f t="shared" si="1"/>
        <v>Saturday</v>
      </c>
      <c r="BH1" t="str">
        <f t="shared" si="1"/>
        <v>Sunday</v>
      </c>
      <c r="BI1" t="str">
        <f t="shared" si="1"/>
        <v>Monday</v>
      </c>
      <c r="BJ1" t="str">
        <f t="shared" si="1"/>
        <v>Tuesday</v>
      </c>
      <c r="BK1" t="str">
        <f t="shared" si="1"/>
        <v>Wednesday</v>
      </c>
      <c r="BL1" t="str">
        <f t="shared" si="1"/>
        <v>Thursday</v>
      </c>
      <c r="BM1" t="str">
        <f t="shared" si="1"/>
        <v>Friday</v>
      </c>
      <c r="BN1" t="str">
        <f t="shared" si="1"/>
        <v>Saturday</v>
      </c>
      <c r="BO1" t="str">
        <f t="shared" si="1"/>
        <v>Sunday</v>
      </c>
      <c r="BP1" t="str">
        <f t="shared" si="1"/>
        <v>Monday</v>
      </c>
      <c r="BQ1" t="str">
        <f t="shared" si="1"/>
        <v>Tuesday</v>
      </c>
      <c r="BR1" t="str">
        <f t="shared" si="1"/>
        <v>Wednesday</v>
      </c>
      <c r="BS1" t="str">
        <f t="shared" si="1"/>
        <v>Thursday</v>
      </c>
      <c r="BT1" t="str">
        <f t="shared" si="1"/>
        <v>Friday</v>
      </c>
      <c r="BU1" t="str">
        <f t="shared" si="1"/>
        <v>Saturday</v>
      </c>
      <c r="BV1" t="str">
        <f t="shared" si="1"/>
        <v>Sunday</v>
      </c>
      <c r="BW1" t="str">
        <f t="shared" si="1"/>
        <v>Monday</v>
      </c>
      <c r="BX1" t="str">
        <f t="shared" si="1"/>
        <v>Tuesday</v>
      </c>
      <c r="BY1" t="str">
        <f t="shared" si="1"/>
        <v>Wednesday</v>
      </c>
      <c r="BZ1" t="str">
        <f t="shared" si="1"/>
        <v>Thursday</v>
      </c>
      <c r="CA1" t="str">
        <f t="shared" si="1"/>
        <v>Friday</v>
      </c>
      <c r="CB1" t="str">
        <f t="shared" si="1"/>
        <v>Saturday</v>
      </c>
      <c r="CC1" t="str">
        <f t="shared" si="1"/>
        <v>Sunday</v>
      </c>
      <c r="CD1" t="str">
        <f t="shared" si="1"/>
        <v>Monday</v>
      </c>
      <c r="CE1" t="str">
        <f t="shared" si="1"/>
        <v>Tuesday</v>
      </c>
      <c r="CF1" t="str">
        <f t="shared" si="1"/>
        <v>Wednesday</v>
      </c>
      <c r="CG1" t="str">
        <f t="shared" ref="CG1:ER1" si="2">TEXT(CG2,"DDDD")</f>
        <v>Thursday</v>
      </c>
      <c r="CH1" t="str">
        <f t="shared" si="2"/>
        <v>Friday</v>
      </c>
      <c r="CI1" t="str">
        <f t="shared" si="2"/>
        <v>Saturday</v>
      </c>
      <c r="CJ1" t="str">
        <f t="shared" si="2"/>
        <v>Sunday</v>
      </c>
      <c r="CK1" t="str">
        <f t="shared" si="2"/>
        <v>Monday</v>
      </c>
      <c r="CL1" t="str">
        <f t="shared" si="2"/>
        <v>Tuesday</v>
      </c>
      <c r="CM1" t="str">
        <f t="shared" si="2"/>
        <v>Wednesday</v>
      </c>
      <c r="CN1" t="str">
        <f t="shared" si="2"/>
        <v>Thursday</v>
      </c>
      <c r="CO1" t="str">
        <f t="shared" si="2"/>
        <v>Friday</v>
      </c>
      <c r="CP1" t="str">
        <f t="shared" si="2"/>
        <v>Saturday</v>
      </c>
      <c r="CQ1" t="str">
        <f t="shared" si="2"/>
        <v>Sunday</v>
      </c>
      <c r="CR1" t="str">
        <f t="shared" si="2"/>
        <v>Monday</v>
      </c>
      <c r="CS1" t="str">
        <f t="shared" si="2"/>
        <v>Tuesday</v>
      </c>
      <c r="CT1" t="str">
        <f t="shared" si="2"/>
        <v>Wednesday</v>
      </c>
      <c r="CU1" t="str">
        <f t="shared" si="2"/>
        <v>Thursday</v>
      </c>
      <c r="CV1" t="str">
        <f t="shared" si="2"/>
        <v>Friday</v>
      </c>
      <c r="CW1" t="str">
        <f t="shared" si="2"/>
        <v>Saturday</v>
      </c>
      <c r="CX1" t="str">
        <f t="shared" si="2"/>
        <v>Sunday</v>
      </c>
      <c r="CY1" t="str">
        <f t="shared" si="2"/>
        <v>Monday</v>
      </c>
      <c r="CZ1" t="str">
        <f t="shared" si="2"/>
        <v>Tuesday</v>
      </c>
      <c r="DA1" t="str">
        <f t="shared" si="2"/>
        <v>Wednesday</v>
      </c>
      <c r="DB1" t="str">
        <f t="shared" si="2"/>
        <v>Thursday</v>
      </c>
      <c r="DC1" t="str">
        <f t="shared" si="2"/>
        <v>Friday</v>
      </c>
      <c r="DD1" t="str">
        <f t="shared" si="2"/>
        <v>Saturday</v>
      </c>
      <c r="DE1" t="str">
        <f t="shared" si="2"/>
        <v>Sunday</v>
      </c>
      <c r="DF1" t="str">
        <f t="shared" si="2"/>
        <v>Monday</v>
      </c>
      <c r="DG1" t="str">
        <f t="shared" si="2"/>
        <v>Tuesday</v>
      </c>
      <c r="DH1" t="str">
        <f t="shared" si="2"/>
        <v>Wednesday</v>
      </c>
      <c r="DI1" t="str">
        <f t="shared" si="2"/>
        <v>Thursday</v>
      </c>
      <c r="DJ1" t="str">
        <f t="shared" si="2"/>
        <v>Friday</v>
      </c>
      <c r="DK1" t="str">
        <f t="shared" si="2"/>
        <v>Saturday</v>
      </c>
      <c r="DL1" t="str">
        <f t="shared" si="2"/>
        <v>Sunday</v>
      </c>
      <c r="DM1" t="str">
        <f t="shared" si="2"/>
        <v>Monday</v>
      </c>
      <c r="DN1" t="str">
        <f t="shared" si="2"/>
        <v>Tuesday</v>
      </c>
      <c r="DO1" t="str">
        <f t="shared" si="2"/>
        <v>Wednesday</v>
      </c>
      <c r="DP1" t="str">
        <f t="shared" si="2"/>
        <v>Thursday</v>
      </c>
      <c r="DQ1" t="str">
        <f t="shared" si="2"/>
        <v>Friday</v>
      </c>
      <c r="DR1" t="str">
        <f t="shared" si="2"/>
        <v>Saturday</v>
      </c>
      <c r="DS1" t="str">
        <f t="shared" si="2"/>
        <v>Sunday</v>
      </c>
      <c r="DT1" t="str">
        <f t="shared" si="2"/>
        <v>Monday</v>
      </c>
      <c r="DU1" t="str">
        <f t="shared" si="2"/>
        <v>Tuesday</v>
      </c>
      <c r="DV1" t="str">
        <f t="shared" si="2"/>
        <v>Wednesday</v>
      </c>
      <c r="DW1" t="str">
        <f t="shared" si="2"/>
        <v>Thursday</v>
      </c>
      <c r="DX1" t="str">
        <f t="shared" si="2"/>
        <v>Friday</v>
      </c>
      <c r="DY1" t="str">
        <f t="shared" si="2"/>
        <v>Saturday</v>
      </c>
      <c r="DZ1" t="str">
        <f t="shared" si="2"/>
        <v>Sunday</v>
      </c>
      <c r="EA1" t="str">
        <f t="shared" si="2"/>
        <v>Monday</v>
      </c>
      <c r="EB1" t="str">
        <f t="shared" si="2"/>
        <v>Tuesday</v>
      </c>
      <c r="EC1" t="str">
        <f t="shared" si="2"/>
        <v>Wednesday</v>
      </c>
      <c r="ED1" t="str">
        <f t="shared" si="2"/>
        <v>Thursday</v>
      </c>
      <c r="EE1" t="str">
        <f t="shared" si="2"/>
        <v>Friday</v>
      </c>
      <c r="EF1" t="str">
        <f t="shared" si="2"/>
        <v>Saturday</v>
      </c>
      <c r="EG1" t="str">
        <f t="shared" si="2"/>
        <v>Sunday</v>
      </c>
      <c r="EH1" t="str">
        <f t="shared" si="2"/>
        <v>Monday</v>
      </c>
      <c r="EI1" t="str">
        <f t="shared" si="2"/>
        <v>Tuesday</v>
      </c>
      <c r="EJ1" t="str">
        <f t="shared" si="2"/>
        <v>Wednesday</v>
      </c>
      <c r="EK1" t="str">
        <f t="shared" si="2"/>
        <v>Thursday</v>
      </c>
      <c r="EL1" t="str">
        <f t="shared" si="2"/>
        <v>Friday</v>
      </c>
      <c r="EM1" t="str">
        <f t="shared" si="2"/>
        <v>Saturday</v>
      </c>
      <c r="EN1" t="str">
        <f t="shared" si="2"/>
        <v>Sunday</v>
      </c>
      <c r="EO1" t="str">
        <f t="shared" si="2"/>
        <v>Monday</v>
      </c>
      <c r="EP1" t="str">
        <f t="shared" si="2"/>
        <v>Tuesday</v>
      </c>
      <c r="EQ1" t="str">
        <f t="shared" si="2"/>
        <v>Wednesday</v>
      </c>
      <c r="ER1" t="str">
        <f t="shared" si="2"/>
        <v>Thursday</v>
      </c>
      <c r="ES1" t="str">
        <f t="shared" ref="ES1:FV1" si="3">TEXT(ES2,"DDDD")</f>
        <v>Friday</v>
      </c>
      <c r="ET1" t="str">
        <f t="shared" si="3"/>
        <v>Saturday</v>
      </c>
      <c r="EU1" t="str">
        <f t="shared" si="3"/>
        <v>Sunday</v>
      </c>
      <c r="EV1" t="str">
        <f t="shared" si="3"/>
        <v>Monday</v>
      </c>
      <c r="EW1" t="str">
        <f t="shared" si="3"/>
        <v>Tuesday</v>
      </c>
      <c r="EX1" t="str">
        <f t="shared" si="3"/>
        <v>Wednesday</v>
      </c>
      <c r="EY1" t="str">
        <f t="shared" si="3"/>
        <v>Thursday</v>
      </c>
      <c r="EZ1" t="str">
        <f t="shared" si="3"/>
        <v>Friday</v>
      </c>
      <c r="FA1" t="str">
        <f t="shared" si="3"/>
        <v>Saturday</v>
      </c>
      <c r="FB1" t="str">
        <f t="shared" si="3"/>
        <v>Sunday</v>
      </c>
      <c r="FC1" t="str">
        <f t="shared" si="3"/>
        <v>Monday</v>
      </c>
      <c r="FD1" t="str">
        <f t="shared" si="3"/>
        <v>Tuesday</v>
      </c>
      <c r="FE1" t="str">
        <f t="shared" si="3"/>
        <v>Wednesday</v>
      </c>
      <c r="FF1" t="str">
        <f t="shared" si="3"/>
        <v>Thursday</v>
      </c>
      <c r="FG1" t="str">
        <f t="shared" si="3"/>
        <v>Friday</v>
      </c>
      <c r="FH1" t="str">
        <f t="shared" si="3"/>
        <v>Saturday</v>
      </c>
      <c r="FI1" t="str">
        <f t="shared" si="3"/>
        <v>Sunday</v>
      </c>
      <c r="FJ1" t="str">
        <f t="shared" si="3"/>
        <v>Monday</v>
      </c>
      <c r="FK1" t="str">
        <f t="shared" si="3"/>
        <v>Tuesday</v>
      </c>
      <c r="FL1" t="str">
        <f t="shared" si="3"/>
        <v>Wednesday</v>
      </c>
      <c r="FM1" t="str">
        <f t="shared" si="3"/>
        <v>Thursday</v>
      </c>
      <c r="FN1" t="str">
        <f t="shared" si="3"/>
        <v>Friday</v>
      </c>
      <c r="FO1" t="str">
        <f t="shared" si="3"/>
        <v>Saturday</v>
      </c>
      <c r="FP1" t="str">
        <f t="shared" si="3"/>
        <v>Sunday</v>
      </c>
      <c r="FQ1" t="str">
        <f t="shared" si="3"/>
        <v>Monday</v>
      </c>
      <c r="FR1" t="str">
        <f t="shared" si="3"/>
        <v>Tuesday</v>
      </c>
      <c r="FS1" t="str">
        <f t="shared" si="3"/>
        <v>Wednesday</v>
      </c>
      <c r="FT1" t="str">
        <f t="shared" si="3"/>
        <v>Thursday</v>
      </c>
      <c r="FU1" t="str">
        <f t="shared" si="3"/>
        <v>Friday</v>
      </c>
      <c r="FV1" t="str">
        <f t="shared" si="3"/>
        <v>Saturday</v>
      </c>
    </row>
    <row r="2" spans="1:178" ht="48.75" thickBot="1">
      <c r="A2" s="59" t="s">
        <v>20</v>
      </c>
      <c r="B2" s="59" t="s">
        <v>21</v>
      </c>
      <c r="C2" s="59" t="s">
        <v>22</v>
      </c>
      <c r="D2" s="59"/>
      <c r="E2" s="59" t="s">
        <v>23</v>
      </c>
      <c r="F2" s="59" t="s">
        <v>24</v>
      </c>
      <c r="G2" s="59" t="s">
        <v>25</v>
      </c>
      <c r="H2" s="60">
        <v>45785</v>
      </c>
      <c r="I2" s="60">
        <v>45786</v>
      </c>
      <c r="J2" s="60">
        <v>45787</v>
      </c>
      <c r="K2" s="60">
        <v>45788</v>
      </c>
      <c r="L2" s="60">
        <v>45789</v>
      </c>
      <c r="M2" s="60">
        <v>45790</v>
      </c>
      <c r="N2" s="60">
        <v>45791</v>
      </c>
      <c r="O2" s="60">
        <v>45792</v>
      </c>
      <c r="P2" s="60">
        <v>45793</v>
      </c>
      <c r="Q2" s="60">
        <v>45794</v>
      </c>
      <c r="R2" s="60">
        <v>45795</v>
      </c>
      <c r="S2" s="60">
        <v>45796</v>
      </c>
      <c r="T2" s="60">
        <v>45797</v>
      </c>
      <c r="U2" s="60">
        <v>45798</v>
      </c>
      <c r="V2" s="60">
        <v>45799</v>
      </c>
      <c r="W2" s="60">
        <v>45800</v>
      </c>
      <c r="X2" s="60">
        <v>45801</v>
      </c>
      <c r="Y2" s="60">
        <v>45802</v>
      </c>
      <c r="Z2" s="60">
        <v>45803</v>
      </c>
      <c r="AA2" s="60">
        <v>45804</v>
      </c>
      <c r="AB2" s="60">
        <v>45805</v>
      </c>
      <c r="AC2" s="60">
        <v>45806</v>
      </c>
      <c r="AD2" s="60">
        <v>45807</v>
      </c>
      <c r="AE2" s="60">
        <v>45808</v>
      </c>
      <c r="AF2" s="60">
        <v>45809</v>
      </c>
      <c r="AG2" s="60">
        <v>45810</v>
      </c>
      <c r="AH2" s="60">
        <v>45811</v>
      </c>
      <c r="AI2" s="60">
        <v>45812</v>
      </c>
      <c r="AJ2" s="60">
        <v>45813</v>
      </c>
      <c r="AK2" s="60">
        <v>45814</v>
      </c>
      <c r="AL2" s="60">
        <v>45815</v>
      </c>
      <c r="AM2" s="60">
        <v>45816</v>
      </c>
      <c r="AN2" s="60">
        <v>45817</v>
      </c>
      <c r="AO2" s="60">
        <v>45818</v>
      </c>
      <c r="AP2" s="60">
        <v>45819</v>
      </c>
      <c r="AQ2" s="60">
        <v>45820</v>
      </c>
      <c r="AR2" s="60">
        <v>45821</v>
      </c>
      <c r="AS2" s="60">
        <v>45822</v>
      </c>
      <c r="AT2" s="60">
        <v>45823</v>
      </c>
      <c r="AU2" s="60">
        <v>45824</v>
      </c>
      <c r="AV2" s="60">
        <v>45825</v>
      </c>
      <c r="AW2" s="60">
        <v>45826</v>
      </c>
      <c r="AX2" s="60">
        <v>45827</v>
      </c>
      <c r="AY2" s="60">
        <v>45828</v>
      </c>
      <c r="AZ2" s="60">
        <v>45829</v>
      </c>
      <c r="BA2" s="60">
        <v>45830</v>
      </c>
      <c r="BB2" s="60">
        <v>45831</v>
      </c>
      <c r="BC2" s="60">
        <v>45832</v>
      </c>
      <c r="BD2" s="60">
        <v>45833</v>
      </c>
      <c r="BE2" s="60">
        <v>45834</v>
      </c>
      <c r="BF2" s="60">
        <v>45835</v>
      </c>
      <c r="BG2" s="60">
        <v>45836</v>
      </c>
      <c r="BH2" s="60">
        <v>45837</v>
      </c>
      <c r="BI2" s="60">
        <v>45838</v>
      </c>
      <c r="BJ2" s="60">
        <v>45839</v>
      </c>
      <c r="BK2" s="60">
        <v>45840</v>
      </c>
      <c r="BL2" s="60">
        <v>45841</v>
      </c>
      <c r="BM2" s="60">
        <v>45842</v>
      </c>
      <c r="BN2" s="60">
        <v>45843</v>
      </c>
      <c r="BO2" s="60">
        <v>45844</v>
      </c>
      <c r="BP2" s="60">
        <v>45845</v>
      </c>
      <c r="BQ2" s="60">
        <v>45846</v>
      </c>
      <c r="BR2" s="60">
        <v>45847</v>
      </c>
      <c r="BS2" s="60">
        <v>45848</v>
      </c>
      <c r="BT2" s="60">
        <v>45849</v>
      </c>
      <c r="BU2" s="60">
        <v>45850</v>
      </c>
      <c r="BV2" s="60">
        <v>45851</v>
      </c>
      <c r="BW2" s="60">
        <v>45852</v>
      </c>
      <c r="BX2" s="60">
        <v>45853</v>
      </c>
      <c r="BY2" s="60">
        <v>45854</v>
      </c>
      <c r="BZ2" s="60">
        <v>45855</v>
      </c>
      <c r="CA2" s="60">
        <v>45856</v>
      </c>
      <c r="CB2" s="60">
        <v>45857</v>
      </c>
      <c r="CC2" s="60">
        <v>45858</v>
      </c>
      <c r="CD2" s="60">
        <v>45859</v>
      </c>
      <c r="CE2" s="60">
        <v>45860</v>
      </c>
      <c r="CF2" s="60">
        <v>45861</v>
      </c>
      <c r="CG2" s="60">
        <v>45862</v>
      </c>
      <c r="CH2" s="60">
        <v>45863</v>
      </c>
      <c r="CI2" s="60">
        <v>45864</v>
      </c>
      <c r="CJ2" s="60">
        <v>45865</v>
      </c>
      <c r="CK2" s="60">
        <v>45866</v>
      </c>
      <c r="CL2" s="60">
        <v>45867</v>
      </c>
      <c r="CM2" s="60">
        <v>45868</v>
      </c>
      <c r="CN2" s="60">
        <v>45869</v>
      </c>
      <c r="CO2" s="60">
        <v>45870</v>
      </c>
      <c r="CP2" s="60">
        <v>45871</v>
      </c>
      <c r="CQ2" s="60">
        <v>45872</v>
      </c>
      <c r="CR2" s="60">
        <v>45873</v>
      </c>
      <c r="CS2" s="60">
        <v>45874</v>
      </c>
      <c r="CT2" s="60">
        <v>45875</v>
      </c>
      <c r="CU2" s="60">
        <v>45876</v>
      </c>
      <c r="CV2" s="60">
        <v>45877</v>
      </c>
      <c r="CW2" s="60">
        <v>45878</v>
      </c>
      <c r="CX2" s="60">
        <v>45879</v>
      </c>
      <c r="CY2" s="60">
        <v>45880</v>
      </c>
      <c r="CZ2" s="60">
        <v>45881</v>
      </c>
      <c r="DA2" s="60">
        <v>45882</v>
      </c>
      <c r="DB2" s="60">
        <v>45883</v>
      </c>
      <c r="DC2" s="60">
        <v>45884</v>
      </c>
      <c r="DD2" s="60">
        <v>45885</v>
      </c>
      <c r="DE2" s="60">
        <v>45886</v>
      </c>
      <c r="DF2" s="60">
        <v>45887</v>
      </c>
      <c r="DG2" s="60">
        <v>45888</v>
      </c>
      <c r="DH2" s="60">
        <v>45889</v>
      </c>
      <c r="DI2" s="60">
        <v>45890</v>
      </c>
      <c r="DJ2" s="60">
        <v>45891</v>
      </c>
      <c r="DK2" s="60">
        <v>45892</v>
      </c>
      <c r="DL2" s="60">
        <v>45893</v>
      </c>
      <c r="DM2" s="60">
        <v>45894</v>
      </c>
      <c r="DN2" s="60">
        <v>45895</v>
      </c>
      <c r="DO2" s="60">
        <v>45896</v>
      </c>
      <c r="DP2" s="60">
        <v>45897</v>
      </c>
      <c r="DQ2" s="60">
        <v>45898</v>
      </c>
      <c r="DR2" s="60">
        <v>45899</v>
      </c>
      <c r="DS2" s="60">
        <v>45900</v>
      </c>
      <c r="DT2" s="60">
        <v>45901</v>
      </c>
      <c r="DU2" s="60">
        <v>45902</v>
      </c>
      <c r="DV2" s="60">
        <v>45903</v>
      </c>
      <c r="DW2" s="60">
        <v>45904</v>
      </c>
      <c r="DX2" s="60">
        <v>45905</v>
      </c>
      <c r="DY2" s="60">
        <v>45906</v>
      </c>
      <c r="DZ2" s="60">
        <v>45907</v>
      </c>
      <c r="EA2" s="60">
        <v>45908</v>
      </c>
      <c r="EB2" s="60">
        <v>45909</v>
      </c>
      <c r="EC2" s="60">
        <v>45910</v>
      </c>
      <c r="ED2" s="60">
        <v>45911</v>
      </c>
      <c r="EE2" s="60">
        <v>45912</v>
      </c>
      <c r="EF2" s="60">
        <v>45913</v>
      </c>
      <c r="EG2" s="60">
        <v>45914</v>
      </c>
      <c r="EH2" s="60">
        <v>45915</v>
      </c>
      <c r="EI2" s="60">
        <v>45916</v>
      </c>
      <c r="EJ2" s="60">
        <v>45917</v>
      </c>
      <c r="EK2" s="60">
        <v>45918</v>
      </c>
      <c r="EL2" s="60">
        <v>45919</v>
      </c>
      <c r="EM2" s="60">
        <v>45920</v>
      </c>
      <c r="EN2" s="60">
        <v>45921</v>
      </c>
      <c r="EO2" s="60">
        <v>45922</v>
      </c>
      <c r="EP2" s="60">
        <v>45923</v>
      </c>
      <c r="EQ2" s="60">
        <v>45924</v>
      </c>
      <c r="ER2" s="60">
        <v>45925</v>
      </c>
      <c r="ES2" s="60">
        <v>45926</v>
      </c>
      <c r="ET2" s="60">
        <v>45927</v>
      </c>
      <c r="EU2" s="60">
        <v>45928</v>
      </c>
      <c r="EV2" s="60">
        <v>45929</v>
      </c>
      <c r="EW2" s="60">
        <v>45930</v>
      </c>
      <c r="EX2" s="60">
        <v>45931</v>
      </c>
      <c r="EY2" s="60">
        <v>45932</v>
      </c>
      <c r="EZ2" s="60">
        <v>45933</v>
      </c>
      <c r="FA2" s="60">
        <v>45934</v>
      </c>
      <c r="FB2" s="60">
        <v>45935</v>
      </c>
      <c r="FC2" s="60">
        <v>45936</v>
      </c>
      <c r="FD2" s="60">
        <v>45937</v>
      </c>
      <c r="FE2" s="60">
        <v>45938</v>
      </c>
      <c r="FF2" s="60">
        <v>45939</v>
      </c>
      <c r="FG2" s="60">
        <v>45940</v>
      </c>
      <c r="FH2" s="60">
        <v>45941</v>
      </c>
      <c r="FI2" s="60">
        <v>45942</v>
      </c>
      <c r="FJ2" s="60">
        <v>45943</v>
      </c>
      <c r="FK2" s="60">
        <v>45944</v>
      </c>
      <c r="FL2" s="60">
        <v>45945</v>
      </c>
      <c r="FM2" s="60">
        <v>45946</v>
      </c>
      <c r="FN2" s="60">
        <v>45947</v>
      </c>
      <c r="FO2" s="60">
        <v>45948</v>
      </c>
      <c r="FP2" s="60">
        <v>45949</v>
      </c>
      <c r="FQ2" s="60">
        <v>45950</v>
      </c>
      <c r="FR2" s="60">
        <v>45951</v>
      </c>
      <c r="FS2" s="60">
        <v>45952</v>
      </c>
      <c r="FT2" s="60">
        <v>45953</v>
      </c>
      <c r="FU2" s="60">
        <v>45954</v>
      </c>
      <c r="FV2" s="60">
        <v>45955</v>
      </c>
    </row>
    <row r="3" spans="1:178" ht="15.75" thickBot="1">
      <c r="A3" s="521" t="s">
        <v>26</v>
      </c>
      <c r="B3" s="521"/>
      <c r="C3" s="521"/>
      <c r="D3" s="521"/>
      <c r="E3" s="521"/>
      <c r="F3" s="521"/>
      <c r="G3" s="522"/>
      <c r="H3" s="62" t="s">
        <v>27</v>
      </c>
      <c r="I3" s="63"/>
      <c r="J3" s="63"/>
      <c r="K3" s="63"/>
      <c r="L3" s="63"/>
      <c r="M3" s="63"/>
      <c r="N3" s="64"/>
      <c r="O3" s="62" t="s">
        <v>28</v>
      </c>
      <c r="P3" s="63"/>
      <c r="Q3" s="63"/>
      <c r="R3" s="63"/>
      <c r="S3" s="63"/>
      <c r="T3" s="63"/>
      <c r="U3" s="64"/>
      <c r="V3" s="65" t="s">
        <v>29</v>
      </c>
      <c r="W3" s="65"/>
      <c r="X3" s="65"/>
      <c r="AP3" s="60"/>
      <c r="AQ3" s="60"/>
      <c r="AR3" s="60"/>
      <c r="AS3" s="60"/>
      <c r="AT3" s="60"/>
      <c r="AU3" s="60"/>
      <c r="AV3" s="60"/>
      <c r="AW3" s="60"/>
      <c r="AX3" s="60"/>
      <c r="AY3" s="60"/>
      <c r="AZ3" s="60"/>
      <c r="BA3" s="60"/>
      <c r="BB3" s="60"/>
      <c r="BC3" s="60"/>
      <c r="BD3" s="60"/>
      <c r="BE3" s="60"/>
      <c r="BF3" s="60"/>
      <c r="BG3" s="60"/>
      <c r="BH3" s="60"/>
      <c r="BI3" s="60"/>
      <c r="BJ3" s="60"/>
      <c r="BK3" s="60"/>
      <c r="BO3" s="65" t="s">
        <v>30</v>
      </c>
      <c r="BP3" s="65"/>
      <c r="BQ3" s="65"/>
      <c r="BR3" s="65"/>
      <c r="BS3" s="65"/>
      <c r="BT3" s="65"/>
      <c r="BU3" s="65"/>
      <c r="BV3" s="65"/>
      <c r="BW3" s="65"/>
      <c r="BX3" s="65"/>
      <c r="BY3" s="65"/>
      <c r="BZ3" s="65"/>
      <c r="CA3" s="65"/>
      <c r="CB3" s="65"/>
      <c r="CC3" s="65"/>
      <c r="CD3" s="65"/>
      <c r="CE3" s="65"/>
      <c r="CF3" s="60"/>
      <c r="CG3" s="60"/>
      <c r="CH3" s="60"/>
      <c r="CI3" s="60"/>
      <c r="CJ3" s="60"/>
      <c r="CK3" s="60"/>
      <c r="CL3" s="60"/>
      <c r="CM3" s="60"/>
      <c r="CN3" s="60"/>
      <c r="CO3" s="60"/>
      <c r="CP3" s="60"/>
      <c r="CQ3" s="60"/>
      <c r="CR3" s="60"/>
      <c r="CS3" s="60"/>
      <c r="CT3" s="60"/>
      <c r="CU3" s="60"/>
      <c r="CV3" s="60"/>
      <c r="CW3" s="60"/>
      <c r="CX3" s="60"/>
      <c r="CY3" s="60"/>
      <c r="CZ3" s="60"/>
      <c r="DA3" s="60"/>
      <c r="DM3" s="66" t="s">
        <v>31</v>
      </c>
      <c r="DN3" s="66"/>
      <c r="DO3" s="66"/>
      <c r="DP3" s="66"/>
      <c r="DQ3" s="67"/>
      <c r="DR3" s="67"/>
      <c r="DS3" s="67"/>
      <c r="DT3" s="67"/>
      <c r="DU3" s="67"/>
      <c r="DV3" s="67"/>
      <c r="DW3" s="67"/>
      <c r="DX3" s="67"/>
      <c r="DY3" s="67"/>
      <c r="DZ3" s="67"/>
      <c r="EA3" s="67"/>
      <c r="EB3" s="67"/>
      <c r="EC3" s="67"/>
      <c r="ED3" s="67"/>
      <c r="EE3" s="67"/>
      <c r="EF3" s="67"/>
      <c r="EG3" s="67"/>
      <c r="EH3" s="67"/>
      <c r="EI3" s="67"/>
      <c r="EJ3" s="67"/>
      <c r="EK3" s="67"/>
      <c r="EL3" s="67"/>
    </row>
    <row r="4" spans="1:178" ht="15.75" thickBot="1">
      <c r="A4" s="68"/>
      <c r="B4" s="68"/>
      <c r="C4" s="68"/>
      <c r="D4" s="68"/>
      <c r="E4" s="68"/>
      <c r="F4" s="68"/>
      <c r="G4" s="61" t="s">
        <v>32</v>
      </c>
      <c r="H4" s="69" t="s">
        <v>33</v>
      </c>
      <c r="I4" s="70"/>
      <c r="J4" s="70"/>
      <c r="K4" s="70"/>
      <c r="L4" s="69"/>
      <c r="M4" s="70"/>
      <c r="N4" s="70"/>
      <c r="O4" s="7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71" t="s">
        <v>34</v>
      </c>
      <c r="BL4" s="72"/>
      <c r="BM4" s="72"/>
      <c r="BN4" s="72"/>
      <c r="BO4" s="60"/>
      <c r="BP4" s="60"/>
      <c r="BQ4" s="60"/>
      <c r="BR4" s="60"/>
      <c r="BS4" s="60"/>
      <c r="BT4" s="60"/>
      <c r="BU4" s="60"/>
      <c r="BV4" s="60"/>
      <c r="BW4" s="60"/>
      <c r="BX4" s="60"/>
      <c r="BY4" s="60"/>
      <c r="BZ4" s="60"/>
      <c r="CA4" s="60"/>
      <c r="CB4" s="60"/>
      <c r="CC4" s="60"/>
      <c r="CD4" s="60"/>
      <c r="CE4" s="60"/>
      <c r="CF4" s="60"/>
      <c r="CG4" s="60"/>
      <c r="CH4" s="60"/>
      <c r="CI4" s="60"/>
      <c r="CJ4" s="60"/>
      <c r="CK4" s="60"/>
      <c r="CL4" s="60"/>
      <c r="CM4" s="60"/>
      <c r="CN4" s="60"/>
      <c r="CO4" s="60"/>
      <c r="CP4" s="71" t="s">
        <v>34</v>
      </c>
      <c r="CQ4" s="72"/>
      <c r="CR4" s="72"/>
      <c r="CS4" s="72"/>
      <c r="CT4" s="60"/>
      <c r="CU4" s="60"/>
      <c r="CV4" s="60"/>
      <c r="CW4" s="60"/>
      <c r="CX4" s="60"/>
      <c r="CY4" s="60"/>
      <c r="CZ4" s="60"/>
      <c r="DA4" s="60"/>
      <c r="DQ4" s="60"/>
      <c r="DV4" s="60"/>
      <c r="DW4" s="60"/>
      <c r="DX4" s="60"/>
      <c r="DY4" s="71" t="s">
        <v>34</v>
      </c>
      <c r="DZ4" s="72"/>
      <c r="EA4" s="72"/>
      <c r="EB4" s="72"/>
      <c r="EC4" s="60"/>
      <c r="ED4" s="60"/>
      <c r="EE4" s="60"/>
      <c r="EF4" s="60"/>
      <c r="EG4" s="60"/>
      <c r="EH4" s="60"/>
      <c r="EI4" s="60"/>
      <c r="EJ4" s="60"/>
      <c r="EK4" s="60"/>
      <c r="EL4" s="60"/>
    </row>
    <row r="5" spans="1:178" s="77" customFormat="1" outlineLevel="1">
      <c r="A5" s="73"/>
      <c r="B5" s="74"/>
      <c r="C5" s="74"/>
      <c r="D5" s="74"/>
      <c r="E5" s="75" t="s">
        <v>35</v>
      </c>
      <c r="F5" s="74"/>
      <c r="G5" s="76" t="s">
        <v>36</v>
      </c>
      <c r="AV5" s="78"/>
      <c r="AW5" s="78" t="s">
        <v>37</v>
      </c>
      <c r="AX5" s="78" t="s">
        <v>37</v>
      </c>
      <c r="AY5" s="78" t="s">
        <v>37</v>
      </c>
      <c r="AZ5" s="78" t="s">
        <v>37</v>
      </c>
      <c r="BA5" s="78" t="s">
        <v>37</v>
      </c>
      <c r="BB5" s="78" t="s">
        <v>37</v>
      </c>
      <c r="BC5" s="78" t="s">
        <v>37</v>
      </c>
      <c r="BD5" s="78" t="s">
        <v>37</v>
      </c>
      <c r="BE5" s="78" t="s">
        <v>37</v>
      </c>
      <c r="BF5" s="78" t="s">
        <v>37</v>
      </c>
      <c r="BG5" s="78" t="s">
        <v>37</v>
      </c>
      <c r="BH5" s="78" t="s">
        <v>37</v>
      </c>
      <c r="BI5" s="78" t="s">
        <v>37</v>
      </c>
      <c r="BJ5" s="78" t="s">
        <v>37</v>
      </c>
      <c r="BK5" s="78" t="s">
        <v>37</v>
      </c>
      <c r="BL5" s="78" t="s">
        <v>37</v>
      </c>
      <c r="BM5" s="78" t="s">
        <v>37</v>
      </c>
      <c r="BN5" s="78" t="s">
        <v>37</v>
      </c>
      <c r="BO5" s="78" t="s">
        <v>37</v>
      </c>
      <c r="BP5" s="78" t="s">
        <v>37</v>
      </c>
      <c r="BQ5" s="78" t="s">
        <v>37</v>
      </c>
      <c r="BR5" s="78" t="s">
        <v>37</v>
      </c>
      <c r="BS5" s="78" t="s">
        <v>37</v>
      </c>
      <c r="BT5" s="78" t="s">
        <v>37</v>
      </c>
      <c r="BU5" s="78" t="s">
        <v>37</v>
      </c>
      <c r="BV5" s="78" t="s">
        <v>37</v>
      </c>
      <c r="BW5" s="78" t="s">
        <v>37</v>
      </c>
      <c r="BX5" s="78" t="s">
        <v>37</v>
      </c>
      <c r="BY5" s="78" t="s">
        <v>37</v>
      </c>
      <c r="BZ5" s="78" t="s">
        <v>37</v>
      </c>
      <c r="CA5" s="78" t="s">
        <v>37</v>
      </c>
      <c r="CB5" s="6" t="s">
        <v>38</v>
      </c>
      <c r="CC5" s="6" t="s">
        <v>38</v>
      </c>
      <c r="CD5" s="6" t="s">
        <v>38</v>
      </c>
      <c r="CE5" s="6" t="s">
        <v>38</v>
      </c>
      <c r="CF5" s="6" t="s">
        <v>38</v>
      </c>
      <c r="CG5" s="6" t="s">
        <v>38</v>
      </c>
      <c r="CH5" s="6" t="s">
        <v>38</v>
      </c>
      <c r="CI5" s="6" t="s">
        <v>38</v>
      </c>
      <c r="CJ5" s="6" t="s">
        <v>38</v>
      </c>
      <c r="CK5" s="78" t="s">
        <v>37</v>
      </c>
      <c r="CL5" s="78" t="s">
        <v>37</v>
      </c>
      <c r="CM5" s="78" t="s">
        <v>37</v>
      </c>
      <c r="CN5" s="78" t="s">
        <v>37</v>
      </c>
      <c r="CO5" s="78" t="s">
        <v>37</v>
      </c>
      <c r="CP5" s="78" t="s">
        <v>37</v>
      </c>
      <c r="CQ5" s="78" t="s">
        <v>37</v>
      </c>
      <c r="CR5" s="78" t="s">
        <v>37</v>
      </c>
      <c r="CS5" s="78" t="s">
        <v>9</v>
      </c>
      <c r="CT5" s="78" t="s">
        <v>9</v>
      </c>
      <c r="CU5" s="78" t="s">
        <v>9</v>
      </c>
      <c r="CV5" s="78" t="s">
        <v>9</v>
      </c>
      <c r="CW5" s="78" t="s">
        <v>9</v>
      </c>
      <c r="CX5" s="78" t="s">
        <v>8</v>
      </c>
      <c r="CY5" s="78" t="s">
        <v>8</v>
      </c>
      <c r="CZ5" s="78" t="s">
        <v>8</v>
      </c>
      <c r="DA5" s="78" t="s">
        <v>37</v>
      </c>
      <c r="DB5" s="78" t="s">
        <v>37</v>
      </c>
      <c r="DC5" s="78" t="s">
        <v>37</v>
      </c>
      <c r="DD5" s="78" t="s">
        <v>37</v>
      </c>
      <c r="DE5" s="78" t="s">
        <v>39</v>
      </c>
      <c r="DF5" s="78" t="s">
        <v>39</v>
      </c>
      <c r="DG5" s="78" t="s">
        <v>39</v>
      </c>
      <c r="DH5" s="78" t="s">
        <v>39</v>
      </c>
      <c r="DI5" s="80" t="s">
        <v>40</v>
      </c>
      <c r="DJ5" s="80" t="s">
        <v>40</v>
      </c>
      <c r="DK5" s="80" t="s">
        <v>40</v>
      </c>
      <c r="DL5" s="80" t="s">
        <v>40</v>
      </c>
      <c r="DM5" s="78" t="s">
        <v>39</v>
      </c>
      <c r="DN5" s="78" t="s">
        <v>39</v>
      </c>
      <c r="DO5" s="78" t="s">
        <v>39</v>
      </c>
      <c r="DP5" s="78" t="s">
        <v>39</v>
      </c>
      <c r="DQ5" s="78" t="s">
        <v>39</v>
      </c>
      <c r="DR5" s="78" t="s">
        <v>41</v>
      </c>
      <c r="DS5" s="78" t="s">
        <v>41</v>
      </c>
      <c r="DT5" s="78" t="s">
        <v>41</v>
      </c>
      <c r="DU5" s="78" t="s">
        <v>41</v>
      </c>
      <c r="DV5" s="78" t="s">
        <v>41</v>
      </c>
      <c r="DW5" s="78" t="s">
        <v>41</v>
      </c>
      <c r="DX5" s="78" t="s">
        <v>41</v>
      </c>
      <c r="DY5" s="78" t="s">
        <v>41</v>
      </c>
      <c r="DZ5" s="78" t="s">
        <v>41</v>
      </c>
      <c r="EA5" s="78" t="s">
        <v>41</v>
      </c>
      <c r="EB5" s="78" t="s">
        <v>41</v>
      </c>
      <c r="EC5" s="78" t="s">
        <v>41</v>
      </c>
      <c r="ED5" s="78" t="s">
        <v>41</v>
      </c>
      <c r="EE5" s="78" t="s">
        <v>41</v>
      </c>
      <c r="EF5" s="78" t="s">
        <v>41</v>
      </c>
      <c r="EG5" s="78" t="s">
        <v>41</v>
      </c>
      <c r="EH5" s="78" t="s">
        <v>41</v>
      </c>
      <c r="EI5" s="78" t="s">
        <v>41</v>
      </c>
      <c r="EJ5" s="78" t="s">
        <v>41</v>
      </c>
      <c r="EK5" s="78" t="s">
        <v>41</v>
      </c>
      <c r="EL5" s="78" t="s">
        <v>41</v>
      </c>
      <c r="EM5" s="78" t="s">
        <v>41</v>
      </c>
      <c r="EN5" s="78" t="s">
        <v>41</v>
      </c>
      <c r="EO5" s="78" t="s">
        <v>41</v>
      </c>
      <c r="EP5" s="78" t="s">
        <v>41</v>
      </c>
      <c r="EQ5" s="78" t="s">
        <v>41</v>
      </c>
      <c r="ER5" s="78" t="s">
        <v>41</v>
      </c>
      <c r="ES5" s="78" t="s">
        <v>41</v>
      </c>
      <c r="ET5" s="78" t="s">
        <v>41</v>
      </c>
      <c r="EU5" s="78" t="s">
        <v>41</v>
      </c>
      <c r="EV5" s="78" t="s">
        <v>41</v>
      </c>
      <c r="EW5" s="78" t="s">
        <v>41</v>
      </c>
      <c r="EX5" s="78" t="s">
        <v>41</v>
      </c>
      <c r="EY5" s="78" t="s">
        <v>41</v>
      </c>
      <c r="EZ5" s="78" t="s">
        <v>41</v>
      </c>
      <c r="FA5" s="78" t="s">
        <v>41</v>
      </c>
      <c r="FB5" s="78" t="s">
        <v>41</v>
      </c>
      <c r="FC5" s="78" t="s">
        <v>41</v>
      </c>
      <c r="FD5" s="78" t="s">
        <v>41</v>
      </c>
      <c r="FE5" s="78" t="s">
        <v>41</v>
      </c>
      <c r="FF5" s="78" t="s">
        <v>41</v>
      </c>
      <c r="FG5" s="78" t="s">
        <v>41</v>
      </c>
      <c r="FH5" s="78" t="s">
        <v>41</v>
      </c>
      <c r="FI5" s="78" t="s">
        <v>41</v>
      </c>
      <c r="FJ5" s="78" t="s">
        <v>41</v>
      </c>
      <c r="FK5" s="78" t="s">
        <v>41</v>
      </c>
      <c r="FL5" s="78" t="s">
        <v>41</v>
      </c>
      <c r="FM5" s="78" t="s">
        <v>41</v>
      </c>
      <c r="FN5" s="78" t="s">
        <v>41</v>
      </c>
      <c r="FO5" s="78" t="s">
        <v>41</v>
      </c>
      <c r="FP5" s="78" t="s">
        <v>41</v>
      </c>
      <c r="FQ5" s="78" t="s">
        <v>41</v>
      </c>
      <c r="FR5" s="78" t="s">
        <v>41</v>
      </c>
    </row>
    <row r="6" spans="1:178" outlineLevel="1">
      <c r="A6" s="7" t="b">
        <f>IF((C6+40)&gt;=B6,TRUE,FALSE)</f>
        <v>1</v>
      </c>
      <c r="B6" s="81">
        <v>2045</v>
      </c>
      <c r="C6" s="81">
        <f>SUM(Y6:XFD6)</f>
        <v>3260</v>
      </c>
      <c r="D6" s="81"/>
      <c r="E6" t="s">
        <v>42</v>
      </c>
      <c r="F6" t="s">
        <v>43</v>
      </c>
      <c r="G6" s="82" t="s">
        <v>44</v>
      </c>
      <c r="AW6">
        <v>25</v>
      </c>
      <c r="AX6">
        <v>25</v>
      </c>
      <c r="AY6">
        <v>25</v>
      </c>
      <c r="AZ6">
        <v>25</v>
      </c>
      <c r="BA6">
        <v>25</v>
      </c>
      <c r="BB6">
        <v>25</v>
      </c>
      <c r="BC6">
        <v>25</v>
      </c>
      <c r="BD6">
        <v>25</v>
      </c>
      <c r="BE6">
        <v>25</v>
      </c>
      <c r="BF6">
        <v>25</v>
      </c>
      <c r="BG6">
        <v>25</v>
      </c>
      <c r="BH6">
        <v>25</v>
      </c>
      <c r="BI6">
        <v>25</v>
      </c>
      <c r="BJ6">
        <v>25</v>
      </c>
      <c r="BK6">
        <v>25</v>
      </c>
      <c r="BL6">
        <v>25</v>
      </c>
      <c r="BM6">
        <v>25</v>
      </c>
      <c r="BN6">
        <v>25</v>
      </c>
      <c r="BO6">
        <v>25</v>
      </c>
      <c r="BP6">
        <v>25</v>
      </c>
      <c r="BQ6">
        <v>25</v>
      </c>
      <c r="BR6">
        <v>25</v>
      </c>
      <c r="BS6">
        <v>25</v>
      </c>
      <c r="BT6">
        <v>25</v>
      </c>
      <c r="BU6">
        <v>25</v>
      </c>
      <c r="BV6">
        <v>25</v>
      </c>
      <c r="BW6">
        <v>25</v>
      </c>
      <c r="BX6">
        <v>25</v>
      </c>
      <c r="BY6">
        <v>25</v>
      </c>
      <c r="BZ6">
        <v>25</v>
      </c>
      <c r="CA6">
        <v>25</v>
      </c>
      <c r="CB6">
        <v>30</v>
      </c>
      <c r="CC6">
        <v>30</v>
      </c>
      <c r="CD6">
        <v>30</v>
      </c>
      <c r="CE6">
        <v>30</v>
      </c>
      <c r="CF6">
        <v>30</v>
      </c>
      <c r="CG6">
        <v>30</v>
      </c>
      <c r="CH6">
        <v>30</v>
      </c>
      <c r="CI6">
        <v>30</v>
      </c>
      <c r="CJ6">
        <v>30</v>
      </c>
      <c r="CK6">
        <v>25</v>
      </c>
      <c r="CL6">
        <v>25</v>
      </c>
      <c r="CM6">
        <v>25</v>
      </c>
      <c r="CN6">
        <v>25</v>
      </c>
      <c r="CO6">
        <v>25</v>
      </c>
      <c r="CP6">
        <v>25</v>
      </c>
      <c r="CQ6">
        <v>25</v>
      </c>
      <c r="CR6">
        <v>25</v>
      </c>
      <c r="CS6">
        <v>30</v>
      </c>
      <c r="CT6">
        <v>30</v>
      </c>
      <c r="CU6">
        <v>30</v>
      </c>
      <c r="CV6">
        <v>30</v>
      </c>
      <c r="CW6">
        <v>30</v>
      </c>
      <c r="CX6">
        <v>30</v>
      </c>
      <c r="CY6">
        <v>30</v>
      </c>
      <c r="CZ6">
        <v>30</v>
      </c>
      <c r="DA6">
        <v>25</v>
      </c>
      <c r="DB6">
        <v>25</v>
      </c>
      <c r="DC6">
        <v>25</v>
      </c>
      <c r="DD6">
        <v>25</v>
      </c>
      <c r="DE6">
        <v>30</v>
      </c>
      <c r="DF6">
        <v>30</v>
      </c>
      <c r="DG6">
        <v>30</v>
      </c>
      <c r="DH6">
        <v>30</v>
      </c>
      <c r="DI6">
        <v>30</v>
      </c>
      <c r="DJ6">
        <v>30</v>
      </c>
      <c r="DK6">
        <v>30</v>
      </c>
      <c r="DL6">
        <v>30</v>
      </c>
      <c r="DM6">
        <v>30</v>
      </c>
      <c r="DN6">
        <v>30</v>
      </c>
      <c r="DO6">
        <v>30</v>
      </c>
      <c r="DP6">
        <v>30</v>
      </c>
      <c r="DQ6">
        <v>30</v>
      </c>
      <c r="DR6">
        <v>25</v>
      </c>
      <c r="DS6">
        <v>25</v>
      </c>
      <c r="DT6">
        <v>25</v>
      </c>
      <c r="DU6">
        <v>25</v>
      </c>
      <c r="DV6">
        <v>25</v>
      </c>
      <c r="DW6">
        <v>25</v>
      </c>
      <c r="DX6">
        <v>25</v>
      </c>
      <c r="DY6">
        <v>25</v>
      </c>
      <c r="DZ6">
        <v>25</v>
      </c>
      <c r="EA6">
        <v>25</v>
      </c>
      <c r="EB6">
        <v>25</v>
      </c>
      <c r="EC6">
        <v>15</v>
      </c>
      <c r="ED6">
        <v>15</v>
      </c>
      <c r="EE6">
        <v>15</v>
      </c>
      <c r="EF6">
        <v>15</v>
      </c>
      <c r="EG6">
        <v>25</v>
      </c>
      <c r="EH6">
        <v>25</v>
      </c>
      <c r="EI6">
        <v>25</v>
      </c>
      <c r="EJ6">
        <v>25</v>
      </c>
      <c r="EK6">
        <v>25</v>
      </c>
      <c r="EL6">
        <v>25</v>
      </c>
      <c r="EM6">
        <v>25</v>
      </c>
      <c r="EN6">
        <v>25</v>
      </c>
      <c r="EO6">
        <v>25</v>
      </c>
      <c r="EP6">
        <v>25</v>
      </c>
      <c r="EQ6">
        <v>25</v>
      </c>
      <c r="ER6">
        <v>25</v>
      </c>
      <c r="ES6">
        <v>25</v>
      </c>
      <c r="ET6">
        <v>25</v>
      </c>
      <c r="EU6">
        <v>25</v>
      </c>
      <c r="EV6">
        <v>25</v>
      </c>
      <c r="EW6">
        <v>25</v>
      </c>
      <c r="EX6">
        <v>25</v>
      </c>
      <c r="EY6">
        <v>25</v>
      </c>
      <c r="EZ6">
        <v>25</v>
      </c>
      <c r="FA6">
        <v>25</v>
      </c>
      <c r="FB6">
        <v>25</v>
      </c>
      <c r="FC6">
        <v>25</v>
      </c>
      <c r="FD6">
        <v>25</v>
      </c>
      <c r="FE6">
        <v>25</v>
      </c>
      <c r="FF6">
        <v>25</v>
      </c>
      <c r="FG6">
        <v>25</v>
      </c>
      <c r="FH6">
        <v>25</v>
      </c>
      <c r="FI6">
        <v>25</v>
      </c>
      <c r="FJ6">
        <v>25</v>
      </c>
      <c r="FK6">
        <v>25</v>
      </c>
      <c r="FL6">
        <v>25</v>
      </c>
      <c r="FM6">
        <v>25</v>
      </c>
      <c r="FN6">
        <v>25</v>
      </c>
      <c r="FO6">
        <v>25</v>
      </c>
      <c r="FP6">
        <v>25</v>
      </c>
      <c r="FQ6">
        <v>25</v>
      </c>
      <c r="FR6">
        <v>25</v>
      </c>
    </row>
    <row r="7" spans="1:178" outlineLevel="1">
      <c r="A7" s="7"/>
      <c r="B7" s="81"/>
      <c r="C7" s="81"/>
      <c r="D7" s="81"/>
      <c r="E7" s="140" t="s">
        <v>45</v>
      </c>
      <c r="G7" s="82" t="s">
        <v>22</v>
      </c>
      <c r="AV7">
        <v>0</v>
      </c>
      <c r="AW7">
        <v>51.5</v>
      </c>
      <c r="AX7">
        <v>56</v>
      </c>
      <c r="AY7">
        <v>52.5</v>
      </c>
      <c r="AZ7">
        <v>21.4</v>
      </c>
      <c r="BA7">
        <v>58.6</v>
      </c>
      <c r="BB7">
        <v>30</v>
      </c>
      <c r="BC7">
        <v>32.6</v>
      </c>
      <c r="BD7">
        <v>23</v>
      </c>
      <c r="BE7">
        <v>65.099999999999994</v>
      </c>
      <c r="BF7">
        <v>43.9</v>
      </c>
      <c r="BG7">
        <v>36.1</v>
      </c>
      <c r="BH7">
        <v>45.4</v>
      </c>
      <c r="BI7">
        <v>21.000000000000007</v>
      </c>
      <c r="BJ7">
        <v>20.6</v>
      </c>
      <c r="BK7">
        <v>34.4</v>
      </c>
      <c r="BL7">
        <v>15.8</v>
      </c>
      <c r="BM7">
        <v>30.4</v>
      </c>
      <c r="BN7">
        <v>38.5</v>
      </c>
      <c r="BO7">
        <f>17.9+8.3</f>
        <v>26.2</v>
      </c>
      <c r="BP7">
        <f>10.4+26.4</f>
        <v>36.799999999999997</v>
      </c>
      <c r="BQ7">
        <f>5.6+27</f>
        <v>32.6</v>
      </c>
      <c r="BR7">
        <f>9.6+11.4</f>
        <v>21</v>
      </c>
      <c r="BS7">
        <f>7.9+19.6</f>
        <v>27.5</v>
      </c>
      <c r="BT7">
        <f>18+10.2</f>
        <v>28.2</v>
      </c>
      <c r="BU7">
        <f>10.8+21</f>
        <v>31.8</v>
      </c>
      <c r="BV7">
        <f>3+14.5</f>
        <v>17.5</v>
      </c>
      <c r="BW7">
        <f>12.7+24</f>
        <v>36.700000000000003</v>
      </c>
      <c r="BX7">
        <f>10.3+13.8</f>
        <v>24.1</v>
      </c>
      <c r="BY7">
        <v>33</v>
      </c>
      <c r="BZ7">
        <f>20.7+11.5</f>
        <v>32.200000000000003</v>
      </c>
      <c r="CA7">
        <f>21.8+12</f>
        <v>33.799999999999997</v>
      </c>
      <c r="CB7">
        <f>30.6+30</f>
        <v>60.6</v>
      </c>
      <c r="CC7">
        <f>30+19.4</f>
        <v>49.4</v>
      </c>
      <c r="CD7">
        <f>30.6+30</f>
        <v>60.6</v>
      </c>
      <c r="CE7">
        <f>30+19.4</f>
        <v>49.4</v>
      </c>
      <c r="CF7">
        <f>11.9+30.5</f>
        <v>42.4</v>
      </c>
      <c r="CG7">
        <v>60</v>
      </c>
      <c r="CH7">
        <f>17.6+18.5</f>
        <v>36.1</v>
      </c>
      <c r="CI7">
        <f>60</f>
        <v>60</v>
      </c>
      <c r="CJ7">
        <f>30+21.5</f>
        <v>51.5</v>
      </c>
      <c r="CK7">
        <v>39.200000000000003</v>
      </c>
      <c r="CL7">
        <v>16.600000000000001</v>
      </c>
      <c r="CM7">
        <v>22.4</v>
      </c>
      <c r="CN7">
        <v>43.9</v>
      </c>
      <c r="CO7">
        <v>48.4</v>
      </c>
      <c r="CP7">
        <v>24.6</v>
      </c>
      <c r="CQ7">
        <v>49.7</v>
      </c>
      <c r="CR7">
        <v>29.8</v>
      </c>
      <c r="CS7">
        <v>24.3</v>
      </c>
      <c r="CT7">
        <v>63.7</v>
      </c>
      <c r="CU7">
        <v>28.7</v>
      </c>
      <c r="CV7">
        <v>64.8</v>
      </c>
      <c r="CW7">
        <v>45.7</v>
      </c>
      <c r="CX7">
        <v>59.3</v>
      </c>
      <c r="CY7">
        <v>44.9</v>
      </c>
      <c r="CZ7">
        <v>44.1</v>
      </c>
      <c r="DA7">
        <v>7.2</v>
      </c>
      <c r="DB7">
        <v>44.4</v>
      </c>
      <c r="DC7">
        <v>30</v>
      </c>
      <c r="DD7">
        <v>30.8</v>
      </c>
      <c r="DE7">
        <v>66.400000000000006</v>
      </c>
      <c r="DF7">
        <v>66</v>
      </c>
      <c r="DG7">
        <v>69</v>
      </c>
      <c r="DH7">
        <v>33</v>
      </c>
      <c r="DI7">
        <v>57.5</v>
      </c>
      <c r="DJ7">
        <v>16.5</v>
      </c>
      <c r="DK7">
        <v>72.7</v>
      </c>
      <c r="DL7">
        <v>46.8</v>
      </c>
      <c r="DM7">
        <v>68</v>
      </c>
      <c r="DN7">
        <v>51</v>
      </c>
      <c r="DO7">
        <v>30</v>
      </c>
      <c r="DP7">
        <v>35.9</v>
      </c>
      <c r="DQ7">
        <v>72.7</v>
      </c>
      <c r="DR7">
        <v>21.4</v>
      </c>
      <c r="DS7">
        <v>42</v>
      </c>
      <c r="DT7">
        <f t="shared" ref="DT7:DZ7" si="4">SUM(DT6:DU6)</f>
        <v>50</v>
      </c>
      <c r="DU7">
        <f t="shared" si="4"/>
        <v>50</v>
      </c>
      <c r="DV7">
        <f t="shared" si="4"/>
        <v>50</v>
      </c>
      <c r="DW7">
        <f t="shared" si="4"/>
        <v>50</v>
      </c>
      <c r="DX7">
        <f t="shared" si="4"/>
        <v>50</v>
      </c>
      <c r="DY7">
        <f t="shared" si="4"/>
        <v>50</v>
      </c>
      <c r="DZ7">
        <f t="shared" si="4"/>
        <v>50</v>
      </c>
      <c r="EA7">
        <v>30.4</v>
      </c>
      <c r="EB7">
        <v>32.5</v>
      </c>
      <c r="EC7">
        <v>0.5</v>
      </c>
      <c r="ED7">
        <v>33</v>
      </c>
      <c r="EE7">
        <v>13.6</v>
      </c>
      <c r="EF7">
        <v>30.6</v>
      </c>
      <c r="EG7">
        <v>27.7</v>
      </c>
      <c r="EH7">
        <v>26.7</v>
      </c>
      <c r="EI7">
        <v>15.5</v>
      </c>
      <c r="EJ7">
        <v>30</v>
      </c>
      <c r="EK7">
        <v>22.2</v>
      </c>
      <c r="EL7">
        <v>28.8</v>
      </c>
      <c r="EM7">
        <v>23.5</v>
      </c>
      <c r="EN7">
        <v>12.6</v>
      </c>
      <c r="EO7">
        <v>29.7</v>
      </c>
      <c r="EP7">
        <v>24.3</v>
      </c>
      <c r="EQ7">
        <v>24</v>
      </c>
      <c r="ER7">
        <v>29.4</v>
      </c>
      <c r="ES7">
        <v>5.9</v>
      </c>
      <c r="ET7">
        <v>12.6</v>
      </c>
      <c r="EU7">
        <v>27</v>
      </c>
      <c r="EV7">
        <v>48</v>
      </c>
      <c r="EW7">
        <v>48.4</v>
      </c>
      <c r="EX7">
        <v>31.2</v>
      </c>
      <c r="EY7">
        <v>37</v>
      </c>
      <c r="EZ7">
        <v>32.700000000000003</v>
      </c>
      <c r="FA7">
        <v>27.2</v>
      </c>
      <c r="FB7">
        <v>6.8</v>
      </c>
      <c r="FC7">
        <v>10.9</v>
      </c>
      <c r="FD7">
        <v>12</v>
      </c>
      <c r="FE7">
        <v>4.7</v>
      </c>
      <c r="FF7">
        <v>39</v>
      </c>
      <c r="FG7">
        <v>8.9</v>
      </c>
      <c r="FH7">
        <v>27</v>
      </c>
      <c r="FI7">
        <v>21</v>
      </c>
      <c r="FJ7">
        <v>21</v>
      </c>
      <c r="FK7">
        <v>22.7</v>
      </c>
      <c r="FL7">
        <v>30.1</v>
      </c>
      <c r="FM7">
        <v>0</v>
      </c>
      <c r="FN7">
        <v>46.1</v>
      </c>
      <c r="FO7">
        <v>37</v>
      </c>
      <c r="FP7">
        <v>29.7</v>
      </c>
    </row>
    <row r="8" spans="1:178" outlineLevel="1">
      <c r="A8" s="7"/>
      <c r="B8" s="81"/>
      <c r="C8" s="81"/>
      <c r="D8" s="81"/>
      <c r="G8" s="82" t="s">
        <v>46</v>
      </c>
      <c r="AV8">
        <f t="shared" ref="AV8:AZ8" si="5">IF(ISBLANK(AV7),"",AV7-AV6)</f>
        <v>0</v>
      </c>
      <c r="AW8">
        <f t="shared" si="5"/>
        <v>26.5</v>
      </c>
      <c r="AX8">
        <f t="shared" si="5"/>
        <v>31</v>
      </c>
      <c r="AY8">
        <f t="shared" si="5"/>
        <v>27.5</v>
      </c>
      <c r="AZ8">
        <f t="shared" si="5"/>
        <v>-3.6000000000000014</v>
      </c>
      <c r="BA8">
        <f>IF(ISBLANK(BA7),"",BA7-BA6)</f>
        <v>33.6</v>
      </c>
      <c r="BB8">
        <f t="shared" ref="BB8:DM8" si="6">IF(ISBLANK(BB7),"",BB7-BB6)</f>
        <v>5</v>
      </c>
      <c r="BC8">
        <f t="shared" si="6"/>
        <v>7.6000000000000014</v>
      </c>
      <c r="BD8">
        <f t="shared" si="6"/>
        <v>-2</v>
      </c>
      <c r="BE8">
        <f t="shared" si="6"/>
        <v>40.099999999999994</v>
      </c>
      <c r="BF8">
        <f t="shared" si="6"/>
        <v>18.899999999999999</v>
      </c>
      <c r="BG8">
        <f t="shared" si="6"/>
        <v>11.100000000000001</v>
      </c>
      <c r="BH8">
        <f t="shared" si="6"/>
        <v>20.399999999999999</v>
      </c>
      <c r="BI8">
        <f t="shared" si="6"/>
        <v>-3.9999999999999929</v>
      </c>
      <c r="BJ8">
        <f t="shared" si="6"/>
        <v>-4.3999999999999986</v>
      </c>
      <c r="BK8">
        <f t="shared" si="6"/>
        <v>9.3999999999999986</v>
      </c>
      <c r="BL8">
        <f t="shared" si="6"/>
        <v>-9.1999999999999993</v>
      </c>
      <c r="BM8">
        <f t="shared" si="6"/>
        <v>5.3999999999999986</v>
      </c>
      <c r="BN8">
        <f t="shared" si="6"/>
        <v>13.5</v>
      </c>
      <c r="BO8">
        <f t="shared" si="6"/>
        <v>1.1999999999999993</v>
      </c>
      <c r="BP8">
        <f t="shared" si="6"/>
        <v>11.799999999999997</v>
      </c>
      <c r="BQ8">
        <f t="shared" si="6"/>
        <v>7.6000000000000014</v>
      </c>
      <c r="BR8">
        <f t="shared" si="6"/>
        <v>-4</v>
      </c>
      <c r="BS8">
        <f t="shared" si="6"/>
        <v>2.5</v>
      </c>
      <c r="BT8">
        <f t="shared" si="6"/>
        <v>3.1999999999999993</v>
      </c>
      <c r="BU8">
        <f t="shared" si="6"/>
        <v>6.8000000000000007</v>
      </c>
      <c r="BV8">
        <f t="shared" si="6"/>
        <v>-7.5</v>
      </c>
      <c r="BW8">
        <f t="shared" si="6"/>
        <v>11.700000000000003</v>
      </c>
      <c r="BX8">
        <f t="shared" si="6"/>
        <v>-0.89999999999999858</v>
      </c>
      <c r="BY8">
        <f t="shared" si="6"/>
        <v>8</v>
      </c>
      <c r="BZ8">
        <f t="shared" si="6"/>
        <v>7.2000000000000028</v>
      </c>
      <c r="CA8">
        <f t="shared" si="6"/>
        <v>8.7999999999999972</v>
      </c>
      <c r="CB8">
        <f t="shared" si="6"/>
        <v>30.6</v>
      </c>
      <c r="CC8">
        <f t="shared" si="6"/>
        <v>19.399999999999999</v>
      </c>
      <c r="CD8">
        <f t="shared" si="6"/>
        <v>30.6</v>
      </c>
      <c r="CE8">
        <f t="shared" si="6"/>
        <v>19.399999999999999</v>
      </c>
      <c r="CF8">
        <f t="shared" si="6"/>
        <v>12.399999999999999</v>
      </c>
      <c r="CG8">
        <f t="shared" si="6"/>
        <v>30</v>
      </c>
      <c r="CH8">
        <f t="shared" si="6"/>
        <v>6.1000000000000014</v>
      </c>
      <c r="CI8">
        <f t="shared" si="6"/>
        <v>30</v>
      </c>
      <c r="CJ8">
        <f t="shared" si="6"/>
        <v>21.5</v>
      </c>
      <c r="CK8">
        <f t="shared" si="6"/>
        <v>14.200000000000003</v>
      </c>
      <c r="CL8">
        <f t="shared" si="6"/>
        <v>-8.3999999999999986</v>
      </c>
      <c r="CM8">
        <f t="shared" si="6"/>
        <v>-2.6000000000000014</v>
      </c>
      <c r="CN8">
        <f t="shared" si="6"/>
        <v>18.899999999999999</v>
      </c>
      <c r="CO8">
        <f>IF(ISBLANK(CO7),"",CO7-CO6)</f>
        <v>23.4</v>
      </c>
      <c r="CP8">
        <f>IF(ISBLANK(CP7),"",CP7-CP6)</f>
        <v>-0.39999999999999858</v>
      </c>
      <c r="CQ8">
        <f t="shared" ref="CQ8:CV8" si="7">IF(ISBLANK(CQ7),"",CQ7-CQ6)</f>
        <v>24.700000000000003</v>
      </c>
      <c r="CR8">
        <f t="shared" si="7"/>
        <v>4.8000000000000007</v>
      </c>
      <c r="CS8">
        <f t="shared" si="7"/>
        <v>-5.6999999999999993</v>
      </c>
      <c r="CT8">
        <f t="shared" si="7"/>
        <v>33.700000000000003</v>
      </c>
      <c r="CU8">
        <f t="shared" si="7"/>
        <v>-1.3000000000000007</v>
      </c>
      <c r="CV8">
        <f t="shared" si="7"/>
        <v>34.799999999999997</v>
      </c>
      <c r="CW8">
        <f t="shared" si="6"/>
        <v>15.700000000000003</v>
      </c>
      <c r="CX8">
        <f t="shared" si="6"/>
        <v>29.299999999999997</v>
      </c>
      <c r="CY8">
        <f t="shared" si="6"/>
        <v>14.899999999999999</v>
      </c>
      <c r="CZ8">
        <f t="shared" si="6"/>
        <v>14.100000000000001</v>
      </c>
      <c r="DA8">
        <f t="shared" si="6"/>
        <v>-17.8</v>
      </c>
      <c r="DB8">
        <f t="shared" si="6"/>
        <v>19.399999999999999</v>
      </c>
      <c r="DC8">
        <f t="shared" si="6"/>
        <v>5</v>
      </c>
      <c r="DD8">
        <f t="shared" si="6"/>
        <v>5.8000000000000007</v>
      </c>
      <c r="DE8">
        <f t="shared" si="6"/>
        <v>36.400000000000006</v>
      </c>
      <c r="DF8">
        <f t="shared" si="6"/>
        <v>36</v>
      </c>
      <c r="DG8">
        <f t="shared" si="6"/>
        <v>39</v>
      </c>
      <c r="DH8">
        <f t="shared" si="6"/>
        <v>3</v>
      </c>
      <c r="DI8">
        <f t="shared" si="6"/>
        <v>27.5</v>
      </c>
      <c r="DJ8">
        <f t="shared" si="6"/>
        <v>-13.5</v>
      </c>
      <c r="DK8">
        <f t="shared" si="6"/>
        <v>42.7</v>
      </c>
      <c r="DL8">
        <f t="shared" si="6"/>
        <v>16.799999999999997</v>
      </c>
      <c r="DM8">
        <f t="shared" si="6"/>
        <v>38</v>
      </c>
      <c r="DN8">
        <f t="shared" ref="DN8:FA8" si="8">IF(ISBLANK(DN7),"",DN7-DN6)</f>
        <v>21</v>
      </c>
      <c r="DO8">
        <f t="shared" si="8"/>
        <v>0</v>
      </c>
      <c r="DP8">
        <f t="shared" si="8"/>
        <v>5.8999999999999986</v>
      </c>
      <c r="DQ8">
        <f t="shared" si="8"/>
        <v>42.7</v>
      </c>
      <c r="DR8">
        <f t="shared" si="8"/>
        <v>-3.6000000000000014</v>
      </c>
      <c r="DS8">
        <f t="shared" si="8"/>
        <v>17</v>
      </c>
      <c r="DT8">
        <f t="shared" si="8"/>
        <v>25</v>
      </c>
      <c r="DU8">
        <f t="shared" si="8"/>
        <v>25</v>
      </c>
      <c r="DV8">
        <f t="shared" si="8"/>
        <v>25</v>
      </c>
      <c r="DW8">
        <f t="shared" si="8"/>
        <v>25</v>
      </c>
      <c r="DX8">
        <f t="shared" si="8"/>
        <v>25</v>
      </c>
      <c r="DY8">
        <f t="shared" si="8"/>
        <v>25</v>
      </c>
      <c r="DZ8">
        <f t="shared" si="8"/>
        <v>25</v>
      </c>
      <c r="EA8">
        <f t="shared" si="8"/>
        <v>5.3999999999999986</v>
      </c>
      <c r="EB8">
        <f t="shared" si="8"/>
        <v>7.5</v>
      </c>
      <c r="EC8">
        <f t="shared" si="8"/>
        <v>-14.5</v>
      </c>
      <c r="ED8">
        <f t="shared" si="8"/>
        <v>18</v>
      </c>
      <c r="EE8">
        <f t="shared" si="8"/>
        <v>-1.4000000000000004</v>
      </c>
      <c r="EF8">
        <f t="shared" si="8"/>
        <v>15.600000000000001</v>
      </c>
      <c r="EG8">
        <f t="shared" si="8"/>
        <v>2.6999999999999993</v>
      </c>
      <c r="EH8">
        <f t="shared" si="8"/>
        <v>1.6999999999999993</v>
      </c>
      <c r="EI8">
        <f t="shared" si="8"/>
        <v>-9.5</v>
      </c>
      <c r="EJ8">
        <f t="shared" si="8"/>
        <v>5</v>
      </c>
      <c r="EK8">
        <f t="shared" si="8"/>
        <v>-2.8000000000000007</v>
      </c>
      <c r="EL8">
        <f t="shared" si="8"/>
        <v>3.8000000000000007</v>
      </c>
      <c r="EM8">
        <f t="shared" si="8"/>
        <v>-1.5</v>
      </c>
      <c r="EN8">
        <f t="shared" si="8"/>
        <v>-12.4</v>
      </c>
      <c r="EO8">
        <f t="shared" si="8"/>
        <v>4.6999999999999993</v>
      </c>
      <c r="EP8">
        <f t="shared" si="8"/>
        <v>-0.69999999999999929</v>
      </c>
      <c r="EQ8">
        <f t="shared" si="8"/>
        <v>-1</v>
      </c>
      <c r="ER8">
        <f t="shared" si="8"/>
        <v>4.3999999999999986</v>
      </c>
      <c r="ES8">
        <f t="shared" si="8"/>
        <v>-19.100000000000001</v>
      </c>
      <c r="ET8">
        <f t="shared" si="8"/>
        <v>-12.4</v>
      </c>
      <c r="EU8">
        <f t="shared" si="8"/>
        <v>2</v>
      </c>
      <c r="EV8">
        <f t="shared" si="8"/>
        <v>23</v>
      </c>
      <c r="EW8">
        <f t="shared" si="8"/>
        <v>23.4</v>
      </c>
      <c r="EX8">
        <f t="shared" si="8"/>
        <v>6.1999999999999993</v>
      </c>
      <c r="EY8">
        <f t="shared" si="8"/>
        <v>12</v>
      </c>
      <c r="EZ8">
        <f t="shared" si="8"/>
        <v>7.7000000000000028</v>
      </c>
      <c r="FA8">
        <f t="shared" si="8"/>
        <v>2.1999999999999993</v>
      </c>
      <c r="FB8">
        <f t="shared" ref="FB8:FC8" si="9">IF(ISBLANK(FB7),"",FB7-FB6)</f>
        <v>-18.2</v>
      </c>
      <c r="FC8">
        <f t="shared" si="9"/>
        <v>-14.1</v>
      </c>
      <c r="FD8">
        <f t="shared" ref="FD8:FE8" si="10">IF(ISBLANK(FD7),"",FD7-FD6)</f>
        <v>-13</v>
      </c>
      <c r="FE8">
        <f t="shared" si="10"/>
        <v>-20.3</v>
      </c>
      <c r="FF8">
        <f t="shared" ref="FF8:FR8" si="11">IF(ISBLANK(FF7),"",FF7-FF6)</f>
        <v>14</v>
      </c>
      <c r="FG8">
        <f t="shared" si="11"/>
        <v>-16.100000000000001</v>
      </c>
      <c r="FH8">
        <f t="shared" si="11"/>
        <v>2</v>
      </c>
      <c r="FI8">
        <f t="shared" si="11"/>
        <v>-4</v>
      </c>
      <c r="FJ8">
        <f t="shared" si="11"/>
        <v>-4</v>
      </c>
      <c r="FK8">
        <f t="shared" si="11"/>
        <v>-2.3000000000000007</v>
      </c>
      <c r="FL8">
        <f t="shared" si="11"/>
        <v>5.1000000000000014</v>
      </c>
      <c r="FM8">
        <f t="shared" si="11"/>
        <v>-25</v>
      </c>
      <c r="FN8">
        <f t="shared" si="11"/>
        <v>21.1</v>
      </c>
      <c r="FO8">
        <f t="shared" si="11"/>
        <v>12</v>
      </c>
      <c r="FP8">
        <f t="shared" si="11"/>
        <v>4.6999999999999993</v>
      </c>
      <c r="FQ8" t="str">
        <f t="shared" si="11"/>
        <v/>
      </c>
      <c r="FR8" t="str">
        <f t="shared" si="11"/>
        <v/>
      </c>
    </row>
    <row r="9" spans="1:178" outlineLevel="1">
      <c r="A9" s="7"/>
      <c r="B9" s="81"/>
      <c r="C9" s="81"/>
      <c r="D9" s="81"/>
      <c r="G9" s="82" t="s">
        <v>47</v>
      </c>
      <c r="AV9">
        <f t="shared" ref="AV9:AZ9" si="12">IFERROR(IF(ISBLANK(AV8),"",AV8+AU9),"")</f>
        <v>0</v>
      </c>
      <c r="AW9">
        <f t="shared" si="12"/>
        <v>26.5</v>
      </c>
      <c r="AX9">
        <f t="shared" si="12"/>
        <v>57.5</v>
      </c>
      <c r="AY9">
        <f t="shared" si="12"/>
        <v>85</v>
      </c>
      <c r="AZ9">
        <f t="shared" si="12"/>
        <v>81.400000000000006</v>
      </c>
      <c r="BA9">
        <f>IFERROR(IF(ISBLANK(BA8),"",BA8+AZ9),"")</f>
        <v>115</v>
      </c>
      <c r="BB9">
        <f t="shared" ref="BB9:DM9" si="13">IFERROR(IF(ISBLANK(BB8),"",BB8+BA9),"")</f>
        <v>120</v>
      </c>
      <c r="BC9">
        <f t="shared" si="13"/>
        <v>127.6</v>
      </c>
      <c r="BD9">
        <f t="shared" si="13"/>
        <v>125.6</v>
      </c>
      <c r="BE9">
        <f t="shared" si="13"/>
        <v>165.7</v>
      </c>
      <c r="BF9">
        <f t="shared" si="13"/>
        <v>184.6</v>
      </c>
      <c r="BG9">
        <f t="shared" si="13"/>
        <v>195.7</v>
      </c>
      <c r="BH9">
        <f t="shared" si="13"/>
        <v>216.1</v>
      </c>
      <c r="BI9">
        <f t="shared" si="13"/>
        <v>212.1</v>
      </c>
      <c r="BJ9">
        <f t="shared" si="13"/>
        <v>207.7</v>
      </c>
      <c r="BK9">
        <f t="shared" si="13"/>
        <v>217.1</v>
      </c>
      <c r="BL9">
        <f t="shared" si="13"/>
        <v>207.9</v>
      </c>
      <c r="BM9">
        <f t="shared" si="13"/>
        <v>213.3</v>
      </c>
      <c r="BN9">
        <f t="shared" si="13"/>
        <v>226.8</v>
      </c>
      <c r="BO9">
        <f t="shared" si="13"/>
        <v>228</v>
      </c>
      <c r="BP9">
        <f t="shared" si="13"/>
        <v>239.8</v>
      </c>
      <c r="BQ9">
        <f t="shared" si="13"/>
        <v>247.4</v>
      </c>
      <c r="BR9">
        <f t="shared" si="13"/>
        <v>243.4</v>
      </c>
      <c r="BS9">
        <f t="shared" si="13"/>
        <v>245.9</v>
      </c>
      <c r="BT9">
        <f t="shared" si="13"/>
        <v>249.1</v>
      </c>
      <c r="BU9">
        <f t="shared" si="13"/>
        <v>255.9</v>
      </c>
      <c r="BV9">
        <f t="shared" si="13"/>
        <v>248.4</v>
      </c>
      <c r="BW9">
        <f t="shared" si="13"/>
        <v>260.10000000000002</v>
      </c>
      <c r="BX9">
        <f t="shared" si="13"/>
        <v>259.20000000000005</v>
      </c>
      <c r="BY9">
        <f t="shared" si="13"/>
        <v>267.20000000000005</v>
      </c>
      <c r="BZ9">
        <f t="shared" si="13"/>
        <v>274.40000000000003</v>
      </c>
      <c r="CA9">
        <f t="shared" si="13"/>
        <v>283.20000000000005</v>
      </c>
      <c r="CB9">
        <f t="shared" si="13"/>
        <v>313.80000000000007</v>
      </c>
      <c r="CC9">
        <f t="shared" si="13"/>
        <v>333.20000000000005</v>
      </c>
      <c r="CD9">
        <f t="shared" si="13"/>
        <v>363.80000000000007</v>
      </c>
      <c r="CE9">
        <f t="shared" si="13"/>
        <v>383.20000000000005</v>
      </c>
      <c r="CF9">
        <f t="shared" si="13"/>
        <v>395.6</v>
      </c>
      <c r="CG9">
        <f t="shared" si="13"/>
        <v>425.6</v>
      </c>
      <c r="CH9">
        <f t="shared" si="13"/>
        <v>431.70000000000005</v>
      </c>
      <c r="CI9">
        <f t="shared" si="13"/>
        <v>461.70000000000005</v>
      </c>
      <c r="CJ9">
        <f t="shared" si="13"/>
        <v>483.20000000000005</v>
      </c>
      <c r="CK9">
        <f t="shared" si="13"/>
        <v>497.40000000000003</v>
      </c>
      <c r="CL9">
        <f t="shared" si="13"/>
        <v>489.00000000000006</v>
      </c>
      <c r="CM9">
        <f t="shared" si="13"/>
        <v>486.40000000000003</v>
      </c>
      <c r="CN9">
        <f t="shared" si="13"/>
        <v>505.3</v>
      </c>
      <c r="CO9">
        <f>IFERROR(IF(ISBLANK(CO8),"",CO8+CN9),"")</f>
        <v>528.70000000000005</v>
      </c>
      <c r="CP9">
        <f t="shared" si="13"/>
        <v>528.30000000000007</v>
      </c>
      <c r="CQ9">
        <f t="shared" ref="CQ9" si="14">IFERROR(IF(ISBLANK(CQ8),"",CQ8+CP9),"")</f>
        <v>553.00000000000011</v>
      </c>
      <c r="CR9">
        <f t="shared" ref="CR9" si="15">IFERROR(IF(ISBLANK(CR8),"",CR8+CQ9),"")</f>
        <v>557.80000000000007</v>
      </c>
      <c r="CS9">
        <f t="shared" ref="CS9" si="16">IFERROR(IF(ISBLANK(CS8),"",CS8+CR9),"")</f>
        <v>552.1</v>
      </c>
      <c r="CT9">
        <f t="shared" ref="CT9" si="17">IFERROR(IF(ISBLANK(CT8),"",CT8+CS9),"")</f>
        <v>585.80000000000007</v>
      </c>
      <c r="CU9">
        <f t="shared" ref="CU9" si="18">IFERROR(IF(ISBLANK(CU8),"",CU8+CT9),"")</f>
        <v>584.50000000000011</v>
      </c>
      <c r="CV9">
        <f t="shared" ref="CV9" si="19">IFERROR(IF(ISBLANK(CV8),"",CV8+CU9),"")</f>
        <v>619.30000000000007</v>
      </c>
      <c r="CW9">
        <f t="shared" si="13"/>
        <v>635.00000000000011</v>
      </c>
      <c r="CX9">
        <f t="shared" si="13"/>
        <v>664.30000000000007</v>
      </c>
      <c r="CY9">
        <f t="shared" si="13"/>
        <v>679.2</v>
      </c>
      <c r="CZ9">
        <f t="shared" si="13"/>
        <v>693.30000000000007</v>
      </c>
      <c r="DA9">
        <f t="shared" si="13"/>
        <v>675.50000000000011</v>
      </c>
      <c r="DB9">
        <f t="shared" si="13"/>
        <v>694.90000000000009</v>
      </c>
      <c r="DC9">
        <f t="shared" si="13"/>
        <v>699.90000000000009</v>
      </c>
      <c r="DD9">
        <f t="shared" si="13"/>
        <v>705.7</v>
      </c>
      <c r="DE9">
        <f t="shared" si="13"/>
        <v>742.1</v>
      </c>
      <c r="DF9">
        <f t="shared" si="13"/>
        <v>778.1</v>
      </c>
      <c r="DG9">
        <f t="shared" si="13"/>
        <v>817.1</v>
      </c>
      <c r="DH9">
        <f t="shared" si="13"/>
        <v>820.1</v>
      </c>
      <c r="DI9">
        <f t="shared" si="13"/>
        <v>847.6</v>
      </c>
      <c r="DJ9">
        <f t="shared" si="13"/>
        <v>834.1</v>
      </c>
      <c r="DK9">
        <f t="shared" si="13"/>
        <v>876.80000000000007</v>
      </c>
      <c r="DL9">
        <f t="shared" si="13"/>
        <v>893.6</v>
      </c>
      <c r="DM9">
        <f t="shared" si="13"/>
        <v>931.6</v>
      </c>
      <c r="DN9">
        <f t="shared" ref="DN9:EP9" si="20">IFERROR(IF(ISBLANK(DN8),"",DN8+DM9),"")</f>
        <v>952.6</v>
      </c>
      <c r="DO9">
        <f t="shared" si="20"/>
        <v>952.6</v>
      </c>
      <c r="DP9">
        <f t="shared" si="20"/>
        <v>958.5</v>
      </c>
      <c r="DQ9">
        <f t="shared" si="20"/>
        <v>1001.2</v>
      </c>
      <c r="DR9">
        <f t="shared" si="20"/>
        <v>997.6</v>
      </c>
      <c r="DS9">
        <f t="shared" si="20"/>
        <v>1014.6</v>
      </c>
      <c r="DT9">
        <f t="shared" si="20"/>
        <v>1039.5999999999999</v>
      </c>
      <c r="DU9">
        <f t="shared" si="20"/>
        <v>1064.5999999999999</v>
      </c>
      <c r="DV9">
        <f t="shared" si="20"/>
        <v>1089.5999999999999</v>
      </c>
      <c r="DW9">
        <f t="shared" si="20"/>
        <v>1114.5999999999999</v>
      </c>
      <c r="DX9">
        <f t="shared" si="20"/>
        <v>1139.5999999999999</v>
      </c>
      <c r="DY9">
        <f t="shared" si="20"/>
        <v>1164.5999999999999</v>
      </c>
      <c r="DZ9">
        <f t="shared" si="20"/>
        <v>1189.5999999999999</v>
      </c>
      <c r="EA9">
        <f t="shared" si="20"/>
        <v>1195</v>
      </c>
      <c r="EB9">
        <f t="shared" si="20"/>
        <v>1202.5</v>
      </c>
      <c r="EC9">
        <f t="shared" si="20"/>
        <v>1188</v>
      </c>
      <c r="ED9">
        <f t="shared" si="20"/>
        <v>1206</v>
      </c>
      <c r="EE9">
        <f t="shared" si="20"/>
        <v>1204.5999999999999</v>
      </c>
      <c r="EF9">
        <f t="shared" si="20"/>
        <v>1220.1999999999998</v>
      </c>
      <c r="EG9">
        <f t="shared" si="20"/>
        <v>1222.8999999999999</v>
      </c>
      <c r="EH9">
        <f t="shared" si="20"/>
        <v>1224.5999999999999</v>
      </c>
      <c r="EI9">
        <f t="shared" si="20"/>
        <v>1215.0999999999999</v>
      </c>
      <c r="EJ9">
        <f t="shared" si="20"/>
        <v>1220.0999999999999</v>
      </c>
      <c r="EK9">
        <f t="shared" si="20"/>
        <v>1217.3</v>
      </c>
      <c r="EL9">
        <f t="shared" si="20"/>
        <v>1221.0999999999999</v>
      </c>
      <c r="EM9">
        <f t="shared" si="20"/>
        <v>1219.5999999999999</v>
      </c>
      <c r="EN9">
        <f t="shared" si="20"/>
        <v>1207.1999999999998</v>
      </c>
      <c r="EO9">
        <f t="shared" si="20"/>
        <v>1211.8999999999999</v>
      </c>
      <c r="EP9">
        <f t="shared" si="20"/>
        <v>1211.1999999999998</v>
      </c>
      <c r="EQ9">
        <f t="shared" ref="EQ9" si="21">IFERROR(IF(ISBLANK(EQ8),"",EQ8+EP9),"")</f>
        <v>1210.1999999999998</v>
      </c>
      <c r="ER9">
        <f t="shared" ref="ER9" si="22">IFERROR(IF(ISBLANK(ER8),"",ER8+EQ9),"")</f>
        <v>1214.5999999999999</v>
      </c>
      <c r="ES9">
        <f t="shared" ref="ES9" si="23">IFERROR(IF(ISBLANK(ES8),"",ES8+ER9),"")</f>
        <v>1195.5</v>
      </c>
      <c r="ET9">
        <f t="shared" ref="ET9" si="24">IFERROR(IF(ISBLANK(ET8),"",ET8+ES9),"")</f>
        <v>1183.0999999999999</v>
      </c>
      <c r="EU9">
        <f t="shared" ref="EU9" si="25">IFERROR(IF(ISBLANK(EU8),"",EU8+ET9),"")</f>
        <v>1185.0999999999999</v>
      </c>
      <c r="EV9">
        <f t="shared" ref="EV9" si="26">IFERROR(IF(ISBLANK(EV8),"",EV8+EU9),"")</f>
        <v>1208.0999999999999</v>
      </c>
      <c r="EW9">
        <f t="shared" ref="EW9" si="27">IFERROR(IF(ISBLANK(EW8),"",EW8+EV9),"")</f>
        <v>1231.5</v>
      </c>
      <c r="EX9">
        <f t="shared" ref="EX9" si="28">IFERROR(IF(ISBLANK(EX8),"",EX8+EW9),"")</f>
        <v>1237.7</v>
      </c>
      <c r="EY9">
        <f t="shared" ref="EY9" si="29">IFERROR(IF(ISBLANK(EY8),"",EY8+EX9),"")</f>
        <v>1249.7</v>
      </c>
      <c r="EZ9">
        <f t="shared" ref="EZ9" si="30">IFERROR(IF(ISBLANK(EZ8),"",EZ8+EY9),"")</f>
        <v>1257.4000000000001</v>
      </c>
      <c r="FA9">
        <f t="shared" ref="FA9" si="31">IFERROR(IF(ISBLANK(FA8),"",FA8+EZ9),"")</f>
        <v>1259.6000000000001</v>
      </c>
      <c r="FB9">
        <f t="shared" ref="FB9" si="32">IFERROR(IF(ISBLANK(FB8),"",FB8+FA9),"")</f>
        <v>1241.4000000000001</v>
      </c>
      <c r="FC9">
        <f t="shared" ref="FC9" si="33">IFERROR(IF(ISBLANK(FC8),"",FC8+FB9),"")</f>
        <v>1227.3000000000002</v>
      </c>
      <c r="FD9">
        <f t="shared" ref="FD9" si="34">IFERROR(IF(ISBLANK(FD8),"",FD8+FC9),"")</f>
        <v>1214.3000000000002</v>
      </c>
      <c r="FE9">
        <f t="shared" ref="FE9" si="35">IFERROR(IF(ISBLANK(FE8),"",FE8+FD9),"")</f>
        <v>1194.0000000000002</v>
      </c>
      <c r="FF9">
        <f t="shared" ref="FF9" si="36">IFERROR(IF(ISBLANK(FF8),"",FF8+FE9),"")</f>
        <v>1208.0000000000002</v>
      </c>
      <c r="FG9">
        <f t="shared" ref="FG9" si="37">IFERROR(IF(ISBLANK(FG8),"",FG8+FF9),"")</f>
        <v>1191.9000000000003</v>
      </c>
      <c r="FH9">
        <f t="shared" ref="FH9" si="38">IFERROR(IF(ISBLANK(FH8),"",FH8+FG9),"")</f>
        <v>1193.9000000000003</v>
      </c>
      <c r="FI9">
        <f t="shared" ref="FI9" si="39">IFERROR(IF(ISBLANK(FI8),"",FI8+FH9),"")</f>
        <v>1189.9000000000003</v>
      </c>
      <c r="FJ9">
        <f t="shared" ref="FJ9" si="40">IFERROR(IF(ISBLANK(FJ8),"",FJ8+FI9),"")</f>
        <v>1185.9000000000003</v>
      </c>
      <c r="FK9">
        <f t="shared" ref="FK9" si="41">IFERROR(IF(ISBLANK(FK8),"",FK8+FJ9),"")</f>
        <v>1183.6000000000004</v>
      </c>
      <c r="FL9">
        <f t="shared" ref="FL9" si="42">IFERROR(IF(ISBLANK(FL8),"",FL8+FK9),"")</f>
        <v>1188.7000000000003</v>
      </c>
      <c r="FM9">
        <f t="shared" ref="FM9" si="43">IFERROR(IF(ISBLANK(FM8),"",FM8+FL9),"")</f>
        <v>1163.7000000000003</v>
      </c>
      <c r="FN9">
        <f t="shared" ref="FN9" si="44">IFERROR(IF(ISBLANK(FN8),"",FN8+FM9),"")</f>
        <v>1184.8000000000002</v>
      </c>
      <c r="FO9">
        <f t="shared" ref="FO9" si="45">IFERROR(IF(ISBLANK(FO8),"",FO8+FN9),"")</f>
        <v>1196.8000000000002</v>
      </c>
      <c r="FP9">
        <f t="shared" ref="FP9" si="46">IFERROR(IF(ISBLANK(FP8),"",FP8+FO9),"")</f>
        <v>1201.5000000000002</v>
      </c>
      <c r="FQ9" t="str">
        <f t="shared" ref="FQ9" si="47">IFERROR(IF(ISBLANK(FQ8),"",FQ8+FP9),"")</f>
        <v/>
      </c>
      <c r="FR9" t="str">
        <f t="shared" ref="FR9" si="48">IFERROR(IF(ISBLANK(FR8),"",FR8+FQ9),"")</f>
        <v/>
      </c>
    </row>
    <row r="10" spans="1:178" outlineLevel="1">
      <c r="A10" s="7"/>
      <c r="B10" s="81"/>
      <c r="C10" s="81"/>
      <c r="D10" s="81"/>
      <c r="G10" s="61" t="s">
        <v>48</v>
      </c>
      <c r="BB10" s="81">
        <f>IFERROR(AVERAGE(AV7:BB7),"")</f>
        <v>38.571428571428569</v>
      </c>
      <c r="BI10" s="81">
        <f t="shared" ref="BI10" si="49">IFERROR(AVERAGE(BC7:BI7),"")</f>
        <v>38.157142857142858</v>
      </c>
      <c r="BP10" s="81">
        <f t="shared" ref="BP10" si="50">IFERROR(AVERAGE(BJ7:BP7),"")</f>
        <v>28.957142857142856</v>
      </c>
      <c r="BW10" s="81">
        <f t="shared" ref="BW10" si="51">IFERROR(AVERAGE(BQ7:BW7),"")</f>
        <v>27.900000000000002</v>
      </c>
      <c r="CD10" s="81">
        <f t="shared" ref="CD10" si="52">IFERROR(AVERAGE(BX7:CD7),"")</f>
        <v>41.957142857142863</v>
      </c>
      <c r="CK10" s="81">
        <f t="shared" ref="CK10" si="53">IFERROR(AVERAGE(CE7:CK7),"")</f>
        <v>48.371428571428567</v>
      </c>
      <c r="CR10" s="81">
        <f t="shared" ref="CR10" si="54">IFERROR(AVERAGE(CL7:CR7),"")</f>
        <v>33.628571428571433</v>
      </c>
      <c r="CY10">
        <f t="shared" ref="CY10" si="55">IFERROR(AVERAGE(CS7:CY7),"")</f>
        <v>47.342857142857142</v>
      </c>
      <c r="DF10">
        <f t="shared" ref="DF10" si="56">IFERROR(AVERAGE(CZ7:DF7),"")</f>
        <v>41.271428571428565</v>
      </c>
      <c r="DM10">
        <f>IFERROR(AVERAGE(DF7:DL7),"")</f>
        <v>51.642857142857146</v>
      </c>
      <c r="DT10">
        <f t="shared" ref="DT10" si="57">IFERROR(AVERAGE(DN7:DT7),"")</f>
        <v>43.285714285714285</v>
      </c>
      <c r="EA10">
        <f t="shared" ref="EA10" si="58">IFERROR(AVERAGE(DU7:EA7),"")</f>
        <v>47.199999999999996</v>
      </c>
      <c r="EH10">
        <f t="shared" ref="EH10" si="59">IFERROR(AVERAGE(EB7:EH7),"")</f>
        <v>23.514285714285709</v>
      </c>
      <c r="EO10">
        <f>IFERROR(AVERAGE(EI7:EO7),"")</f>
        <v>23.185714285714283</v>
      </c>
      <c r="EV10">
        <f>IFERROR(AVERAGE(EP7:EV7),"")</f>
        <v>24.457142857142856</v>
      </c>
      <c r="FC10">
        <f t="shared" ref="FC10" si="60">IFERROR(AVERAGE(EW7:FC7),"")</f>
        <v>27.742857142857144</v>
      </c>
      <c r="FJ10">
        <f t="shared" ref="FJ10" si="61">IFERROR(AVERAGE(FD7:FJ7),"")</f>
        <v>19.085714285714289</v>
      </c>
      <c r="FQ10">
        <f t="shared" ref="FQ10" si="62">IFERROR(AVERAGE(FK7:FQ7),"")</f>
        <v>27.599999999999998</v>
      </c>
    </row>
    <row r="11" spans="1:178" outlineLevel="1">
      <c r="A11" s="519" t="s">
        <v>49</v>
      </c>
      <c r="B11" s="520"/>
      <c r="C11" s="520"/>
      <c r="D11" s="520"/>
      <c r="E11" s="520"/>
      <c r="F11" s="520"/>
      <c r="G11" s="520"/>
      <c r="Y11" s="83" t="s">
        <v>50</v>
      </c>
      <c r="Z11" s="83" t="s">
        <v>50</v>
      </c>
      <c r="AA11" s="83" t="s">
        <v>50</v>
      </c>
      <c r="AK11" s="83" t="s">
        <v>50</v>
      </c>
      <c r="AL11" s="83" t="s">
        <v>50</v>
      </c>
      <c r="AM11" s="83" t="s">
        <v>50</v>
      </c>
      <c r="AN11" s="1"/>
    </row>
    <row r="12" spans="1:178" s="88" customFormat="1" ht="15.75" outlineLevel="1" thickBot="1">
      <c r="A12" s="84" t="b">
        <f>IF((C12+2.5)&gt;=B12,TRUE,FALSE)</f>
        <v>1</v>
      </c>
      <c r="B12" s="85">
        <v>13</v>
      </c>
      <c r="C12" s="85">
        <f>SUM(Y12:XFD12)</f>
        <v>15</v>
      </c>
      <c r="D12" s="85"/>
      <c r="E12" s="86" t="s">
        <v>51</v>
      </c>
      <c r="F12" s="86"/>
      <c r="G12" s="87"/>
      <c r="Y12" s="88">
        <v>2.5</v>
      </c>
      <c r="Z12" s="88">
        <v>2.5</v>
      </c>
      <c r="AA12" s="88">
        <v>2.5</v>
      </c>
      <c r="AK12" s="88">
        <v>2.5</v>
      </c>
      <c r="AL12" s="88">
        <v>2.5</v>
      </c>
      <c r="AM12" s="88">
        <v>2.5</v>
      </c>
      <c r="FB12" s="88" t="s">
        <v>52</v>
      </c>
      <c r="FC12" s="88" t="s">
        <v>52</v>
      </c>
      <c r="FD12" s="88" t="s">
        <v>52</v>
      </c>
      <c r="FE12" s="88" t="s">
        <v>52</v>
      </c>
      <c r="FF12" s="88" t="s">
        <v>52</v>
      </c>
      <c r="FG12" s="88" t="s">
        <v>52</v>
      </c>
      <c r="FH12" s="88" t="s">
        <v>52</v>
      </c>
      <c r="FI12" s="88" t="s">
        <v>52</v>
      </c>
      <c r="FJ12" s="88" t="s">
        <v>52</v>
      </c>
      <c r="FK12" s="88" t="s">
        <v>52</v>
      </c>
      <c r="FL12" s="88" t="s">
        <v>52</v>
      </c>
      <c r="FM12" s="88" t="s">
        <v>52</v>
      </c>
      <c r="FN12" s="88" t="s">
        <v>52</v>
      </c>
      <c r="FO12" s="88" t="s">
        <v>52</v>
      </c>
      <c r="FP12" s="88" t="s">
        <v>52</v>
      </c>
      <c r="FQ12" s="88" t="s">
        <v>52</v>
      </c>
      <c r="FR12" s="88" t="s">
        <v>52</v>
      </c>
      <c r="FS12" s="88" t="s">
        <v>52</v>
      </c>
      <c r="FT12" s="88" t="s">
        <v>52</v>
      </c>
      <c r="FU12" s="88" t="s">
        <v>52</v>
      </c>
      <c r="FV12" s="88" t="s">
        <v>52</v>
      </c>
    </row>
    <row r="13" spans="1:178" s="77" customFormat="1">
      <c r="A13" s="73"/>
      <c r="B13" s="74"/>
      <c r="C13" s="74"/>
      <c r="D13" s="74"/>
      <c r="E13" s="75" t="s">
        <v>53</v>
      </c>
      <c r="F13" s="74"/>
      <c r="G13" s="76" t="s">
        <v>36</v>
      </c>
      <c r="BQ13" s="78" t="s">
        <v>37</v>
      </c>
      <c r="BR13" s="78" t="s">
        <v>37</v>
      </c>
      <c r="BS13" s="78" t="s">
        <v>37</v>
      </c>
      <c r="BT13" s="78" t="s">
        <v>37</v>
      </c>
      <c r="BU13" s="78" t="s">
        <v>37</v>
      </c>
      <c r="BV13" s="78" t="s">
        <v>37</v>
      </c>
      <c r="BW13" s="78" t="s">
        <v>37</v>
      </c>
      <c r="BX13" s="78" t="s">
        <v>37</v>
      </c>
      <c r="BY13" s="78" t="s">
        <v>37</v>
      </c>
      <c r="BZ13" s="78" t="s">
        <v>37</v>
      </c>
      <c r="CA13" s="78" t="s">
        <v>37</v>
      </c>
      <c r="CB13" s="78" t="s">
        <v>37</v>
      </c>
      <c r="CC13" s="6" t="s">
        <v>54</v>
      </c>
      <c r="CD13" s="6" t="s">
        <v>54</v>
      </c>
      <c r="CE13" s="6" t="s">
        <v>54</v>
      </c>
      <c r="CF13" s="78" t="s">
        <v>37</v>
      </c>
      <c r="CG13" s="78" t="s">
        <v>37</v>
      </c>
      <c r="CH13" s="6" t="s">
        <v>54</v>
      </c>
      <c r="CI13" s="6" t="s">
        <v>54</v>
      </c>
      <c r="CJ13" s="6" t="s">
        <v>54</v>
      </c>
      <c r="CK13" s="6" t="s">
        <v>54</v>
      </c>
      <c r="CL13" s="6" t="s">
        <v>54</v>
      </c>
      <c r="CM13" s="6" t="s">
        <v>54</v>
      </c>
      <c r="CN13" s="6" t="s">
        <v>54</v>
      </c>
      <c r="CO13" s="78" t="s">
        <v>55</v>
      </c>
      <c r="CP13" s="78" t="s">
        <v>55</v>
      </c>
      <c r="CQ13" s="78" t="s">
        <v>55</v>
      </c>
      <c r="CR13" s="78" t="s">
        <v>55</v>
      </c>
      <c r="CS13" s="78" t="s">
        <v>55</v>
      </c>
      <c r="CT13" s="78" t="s">
        <v>55</v>
      </c>
      <c r="CU13" s="78" t="s">
        <v>55</v>
      </c>
      <c r="CV13" s="79" t="s">
        <v>56</v>
      </c>
      <c r="CW13" s="79" t="s">
        <v>56</v>
      </c>
      <c r="CX13" s="79" t="s">
        <v>56</v>
      </c>
      <c r="CY13" s="79" t="s">
        <v>9</v>
      </c>
      <c r="CZ13" s="79" t="s">
        <v>56</v>
      </c>
      <c r="DA13" s="79" t="s">
        <v>56</v>
      </c>
      <c r="DB13" s="79" t="s">
        <v>56</v>
      </c>
      <c r="DC13" s="79" t="s">
        <v>56</v>
      </c>
      <c r="DD13" s="89" t="s">
        <v>39</v>
      </c>
      <c r="DE13" s="89" t="s">
        <v>39</v>
      </c>
      <c r="DF13" s="80" t="s">
        <v>40</v>
      </c>
      <c r="DG13" s="80" t="s">
        <v>40</v>
      </c>
      <c r="DH13" s="80" t="s">
        <v>40</v>
      </c>
      <c r="DI13" s="89" t="s">
        <v>39</v>
      </c>
      <c r="DJ13" s="89" t="s">
        <v>39</v>
      </c>
      <c r="DK13" s="89" t="s">
        <v>39</v>
      </c>
      <c r="DL13" s="89" t="s">
        <v>39</v>
      </c>
      <c r="DM13" s="89" t="s">
        <v>39</v>
      </c>
      <c r="DN13" s="89" t="s">
        <v>39</v>
      </c>
      <c r="DO13" s="89" t="s">
        <v>39</v>
      </c>
      <c r="DP13" s="89" t="s">
        <v>39</v>
      </c>
      <c r="DQ13" s="89" t="s">
        <v>39</v>
      </c>
      <c r="DR13" s="89" t="s">
        <v>39</v>
      </c>
      <c r="DS13" s="89" t="s">
        <v>39</v>
      </c>
      <c r="DT13" s="89" t="s">
        <v>39</v>
      </c>
      <c r="DU13" s="89" t="s">
        <v>39</v>
      </c>
      <c r="DV13" s="89" t="s">
        <v>39</v>
      </c>
      <c r="DW13" s="89" t="s">
        <v>39</v>
      </c>
      <c r="DX13" s="89" t="s">
        <v>39</v>
      </c>
      <c r="DY13" s="89" t="s">
        <v>39</v>
      </c>
      <c r="DZ13" s="89" t="s">
        <v>39</v>
      </c>
      <c r="EA13" s="89" t="s">
        <v>39</v>
      </c>
      <c r="EB13" s="79" t="s">
        <v>56</v>
      </c>
      <c r="EC13" s="79" t="s">
        <v>56</v>
      </c>
      <c r="ED13" s="79" t="s">
        <v>56</v>
      </c>
      <c r="EE13" s="79" t="s">
        <v>56</v>
      </c>
      <c r="EF13" s="79" t="s">
        <v>56</v>
      </c>
      <c r="EG13" s="79" t="s">
        <v>56</v>
      </c>
      <c r="EH13" s="79" t="s">
        <v>56</v>
      </c>
      <c r="EI13" s="79" t="s">
        <v>56</v>
      </c>
      <c r="EJ13" s="79" t="s">
        <v>56</v>
      </c>
      <c r="EK13" s="79" t="s">
        <v>56</v>
      </c>
      <c r="EL13" s="79" t="s">
        <v>56</v>
      </c>
      <c r="EM13" s="80" t="s">
        <v>40</v>
      </c>
      <c r="EN13" s="80" t="s">
        <v>40</v>
      </c>
      <c r="EO13" s="80" t="s">
        <v>40</v>
      </c>
      <c r="EP13" s="80" t="s">
        <v>40</v>
      </c>
      <c r="EQ13" s="80" t="s">
        <v>40</v>
      </c>
      <c r="ER13" s="80" t="s">
        <v>40</v>
      </c>
      <c r="ES13" s="80" t="s">
        <v>40</v>
      </c>
      <c r="ET13" s="80" t="s">
        <v>40</v>
      </c>
      <c r="EU13" s="80" t="s">
        <v>40</v>
      </c>
      <c r="EV13" s="80" t="s">
        <v>40</v>
      </c>
      <c r="EW13" s="80" t="s">
        <v>40</v>
      </c>
    </row>
    <row r="14" spans="1:178">
      <c r="A14" s="7" t="b">
        <f>IF((C14+40)&gt;=B14,TRUE,FALSE)</f>
        <v>0</v>
      </c>
      <c r="B14" s="81">
        <v>3421</v>
      </c>
      <c r="C14" s="81">
        <f>SUM(Y14:XFD14)</f>
        <v>3135</v>
      </c>
      <c r="D14" s="81"/>
      <c r="E14" t="s">
        <v>42</v>
      </c>
      <c r="F14" t="s">
        <v>57</v>
      </c>
      <c r="G14" s="82" t="s">
        <v>44</v>
      </c>
      <c r="BQ14">
        <v>25</v>
      </c>
      <c r="BR14">
        <v>25</v>
      </c>
      <c r="BS14">
        <v>25</v>
      </c>
      <c r="BT14">
        <v>25</v>
      </c>
      <c r="BU14">
        <v>25</v>
      </c>
      <c r="BV14">
        <v>25</v>
      </c>
      <c r="BW14">
        <v>25</v>
      </c>
      <c r="BX14">
        <v>25</v>
      </c>
      <c r="BY14">
        <v>25</v>
      </c>
      <c r="BZ14">
        <v>25</v>
      </c>
      <c r="CA14">
        <v>25</v>
      </c>
      <c r="CB14">
        <v>25</v>
      </c>
      <c r="CC14">
        <v>30</v>
      </c>
      <c r="CD14">
        <v>30</v>
      </c>
      <c r="CE14">
        <v>30</v>
      </c>
      <c r="CF14">
        <v>25</v>
      </c>
      <c r="CG14">
        <v>25</v>
      </c>
      <c r="CH14">
        <v>30</v>
      </c>
      <c r="CI14">
        <v>30</v>
      </c>
      <c r="CJ14">
        <v>30</v>
      </c>
      <c r="CK14">
        <v>30</v>
      </c>
      <c r="CL14">
        <v>30</v>
      </c>
      <c r="CM14">
        <v>30</v>
      </c>
      <c r="CN14">
        <v>30</v>
      </c>
      <c r="CO14">
        <v>25</v>
      </c>
      <c r="CP14">
        <v>25</v>
      </c>
      <c r="CQ14">
        <v>25</v>
      </c>
      <c r="CR14">
        <v>25</v>
      </c>
      <c r="CS14">
        <v>25</v>
      </c>
      <c r="CT14">
        <v>25</v>
      </c>
      <c r="CU14">
        <v>25</v>
      </c>
      <c r="CV14">
        <v>30</v>
      </c>
      <c r="CW14">
        <v>30</v>
      </c>
      <c r="CX14">
        <v>30</v>
      </c>
      <c r="CY14">
        <v>30</v>
      </c>
      <c r="CZ14">
        <v>30</v>
      </c>
      <c r="DA14">
        <v>30</v>
      </c>
      <c r="DB14">
        <v>30</v>
      </c>
      <c r="DC14">
        <v>30</v>
      </c>
      <c r="DD14">
        <v>30</v>
      </c>
      <c r="DE14">
        <v>30</v>
      </c>
      <c r="DF14">
        <v>30</v>
      </c>
      <c r="DG14">
        <v>30</v>
      </c>
      <c r="DH14">
        <v>30</v>
      </c>
      <c r="DI14">
        <v>30</v>
      </c>
      <c r="DJ14">
        <v>30</v>
      </c>
      <c r="DK14">
        <v>30</v>
      </c>
      <c r="DL14">
        <v>30</v>
      </c>
      <c r="DM14">
        <v>30</v>
      </c>
      <c r="DN14">
        <v>30</v>
      </c>
      <c r="DO14">
        <v>30</v>
      </c>
      <c r="DP14">
        <v>30</v>
      </c>
      <c r="DQ14">
        <v>30</v>
      </c>
      <c r="DR14">
        <v>30</v>
      </c>
      <c r="DS14">
        <v>30</v>
      </c>
      <c r="DT14">
        <v>30</v>
      </c>
      <c r="DU14">
        <v>30</v>
      </c>
      <c r="DV14">
        <v>30</v>
      </c>
      <c r="DW14">
        <v>30</v>
      </c>
      <c r="DX14">
        <v>30</v>
      </c>
      <c r="DY14">
        <v>30</v>
      </c>
      <c r="DZ14">
        <v>30</v>
      </c>
      <c r="EA14">
        <v>30</v>
      </c>
      <c r="EB14">
        <v>30</v>
      </c>
      <c r="EC14">
        <v>30</v>
      </c>
      <c r="ED14">
        <v>30</v>
      </c>
      <c r="EE14">
        <v>30</v>
      </c>
      <c r="EF14">
        <v>30</v>
      </c>
      <c r="EG14">
        <v>30</v>
      </c>
      <c r="EH14">
        <v>30</v>
      </c>
      <c r="EI14">
        <v>30</v>
      </c>
      <c r="EJ14">
        <v>30</v>
      </c>
      <c r="EK14">
        <v>30</v>
      </c>
      <c r="EL14">
        <v>30</v>
      </c>
      <c r="EM14">
        <v>30</v>
      </c>
      <c r="EN14">
        <v>30</v>
      </c>
      <c r="EO14">
        <v>30</v>
      </c>
      <c r="EP14">
        <v>30</v>
      </c>
      <c r="EQ14">
        <v>30</v>
      </c>
      <c r="ER14">
        <v>30</v>
      </c>
      <c r="ES14">
        <v>30</v>
      </c>
      <c r="ET14">
        <v>30</v>
      </c>
      <c r="EU14">
        <v>30</v>
      </c>
      <c r="EV14">
        <v>30</v>
      </c>
      <c r="EW14">
        <v>30</v>
      </c>
      <c r="EX14">
        <v>30</v>
      </c>
      <c r="EY14">
        <v>30</v>
      </c>
      <c r="EZ14">
        <v>30</v>
      </c>
      <c r="FA14">
        <v>30</v>
      </c>
      <c r="FB14">
        <v>30</v>
      </c>
      <c r="FC14">
        <v>30</v>
      </c>
      <c r="FD14">
        <v>30</v>
      </c>
      <c r="FE14">
        <v>30</v>
      </c>
      <c r="FF14">
        <v>30</v>
      </c>
      <c r="FG14">
        <v>30</v>
      </c>
      <c r="FH14">
        <v>30</v>
      </c>
      <c r="FI14">
        <v>30</v>
      </c>
      <c r="FJ14">
        <v>30</v>
      </c>
      <c r="FK14">
        <v>30</v>
      </c>
      <c r="FL14">
        <v>30</v>
      </c>
      <c r="FM14">
        <v>30</v>
      </c>
      <c r="FN14">
        <v>30</v>
      </c>
      <c r="FO14">
        <v>30</v>
      </c>
      <c r="FP14">
        <v>30</v>
      </c>
      <c r="FQ14">
        <v>30</v>
      </c>
      <c r="FR14">
        <v>30</v>
      </c>
      <c r="FS14">
        <v>30</v>
      </c>
      <c r="FT14">
        <v>30</v>
      </c>
    </row>
    <row r="15" spans="1:178">
      <c r="A15" s="7"/>
      <c r="B15" s="81"/>
      <c r="C15" s="81"/>
      <c r="D15" s="81"/>
      <c r="E15" s="140" t="s">
        <v>58</v>
      </c>
      <c r="G15" s="82" t="s">
        <v>22</v>
      </c>
      <c r="BQ15">
        <f>11+15.6</f>
        <v>26.6</v>
      </c>
      <c r="BR15">
        <f>7.1+30</f>
        <v>37.1</v>
      </c>
      <c r="BS15">
        <f>20.4+15.6</f>
        <v>36</v>
      </c>
      <c r="BT15">
        <f>19+16.5</f>
        <v>35.5</v>
      </c>
      <c r="BU15">
        <f>22.9+21.2</f>
        <v>44.099999999999994</v>
      </c>
      <c r="BV15">
        <f>13.2+27.3</f>
        <v>40.5</v>
      </c>
      <c r="BW15">
        <f>19.6+20.5</f>
        <v>40.1</v>
      </c>
      <c r="BX15">
        <v>60.1</v>
      </c>
      <c r="BY15">
        <f>19+21.8</f>
        <v>40.799999999999997</v>
      </c>
      <c r="BZ15">
        <f>26.2+27.7</f>
        <v>53.9</v>
      </c>
      <c r="CA15">
        <f>6+14.9</f>
        <v>20.9</v>
      </c>
      <c r="CB15">
        <v>60.7</v>
      </c>
      <c r="CC15">
        <f>8.3+17.5</f>
        <v>25.8</v>
      </c>
      <c r="CD15">
        <f>21.5+21.9</f>
        <v>43.4</v>
      </c>
      <c r="CE15">
        <f>11+16.4</f>
        <v>27.4</v>
      </c>
      <c r="CF15">
        <f>7.6+27.4</f>
        <v>35</v>
      </c>
      <c r="CG15">
        <f>29.6+16.4</f>
        <v>46</v>
      </c>
      <c r="CH15">
        <v>7.8</v>
      </c>
      <c r="CI15">
        <v>14.2</v>
      </c>
      <c r="CJ15">
        <v>21.3</v>
      </c>
      <c r="CK15">
        <v>57.4</v>
      </c>
      <c r="CL15">
        <v>29</v>
      </c>
      <c r="CM15">
        <v>24</v>
      </c>
      <c r="CN15">
        <v>20.2</v>
      </c>
      <c r="CO15">
        <v>34.5</v>
      </c>
      <c r="CP15">
        <v>45.7</v>
      </c>
      <c r="CQ15">
        <v>60</v>
      </c>
      <c r="CR15">
        <v>22.1</v>
      </c>
      <c r="CS15">
        <v>38</v>
      </c>
      <c r="CT15">
        <v>34</v>
      </c>
      <c r="CU15">
        <v>10.7</v>
      </c>
      <c r="CV15">
        <v>23</v>
      </c>
      <c r="CW15">
        <v>62.6</v>
      </c>
      <c r="CX15">
        <v>27.7</v>
      </c>
      <c r="CY15">
        <v>72</v>
      </c>
      <c r="CZ15">
        <v>22.7</v>
      </c>
      <c r="DA15">
        <v>57.2</v>
      </c>
      <c r="DB15">
        <v>46</v>
      </c>
      <c r="DC15">
        <v>59.6</v>
      </c>
      <c r="DD15">
        <v>24.5</v>
      </c>
      <c r="DE15">
        <v>71.599999999999994</v>
      </c>
      <c r="DF15">
        <v>37</v>
      </c>
      <c r="DG15">
        <v>60.5</v>
      </c>
      <c r="DH15">
        <v>48.6</v>
      </c>
      <c r="DI15">
        <v>40.6</v>
      </c>
      <c r="DJ15">
        <v>64.5</v>
      </c>
      <c r="DK15">
        <v>63.5</v>
      </c>
      <c r="DL15">
        <v>62.2</v>
      </c>
      <c r="DM15">
        <v>30.9</v>
      </c>
      <c r="DN15">
        <v>71.900000000000006</v>
      </c>
      <c r="DO15">
        <v>62.4</v>
      </c>
      <c r="DP15">
        <v>39.799999999999997</v>
      </c>
      <c r="DQ15">
        <v>66</v>
      </c>
      <c r="DR15">
        <v>22.3</v>
      </c>
      <c r="DS15" t="s">
        <v>59</v>
      </c>
    </row>
    <row r="16" spans="1:178">
      <c r="A16" s="7"/>
      <c r="B16" s="81"/>
      <c r="C16" s="81"/>
      <c r="D16" s="81"/>
      <c r="G16" s="82" t="s">
        <v>46</v>
      </c>
      <c r="BQ16">
        <f t="shared" ref="BQ16" si="63">IF(ISBLANK(BQ15),"",BQ15-BQ14)</f>
        <v>1.6000000000000014</v>
      </c>
      <c r="BR16">
        <f>IF(ISBLANK(BR15),"",BR15-CN14)</f>
        <v>7.1000000000000014</v>
      </c>
      <c r="BS16">
        <f>IF(ISBLANK(BS15),"",BS15-CO14)</f>
        <v>11</v>
      </c>
      <c r="BT16">
        <f>IF(ISBLANK(BT15),"",BT15-CP14)</f>
        <v>10.5</v>
      </c>
      <c r="BU16">
        <f>IF(ISBLANK(BU15),"",BU15-CQ14)</f>
        <v>19.099999999999994</v>
      </c>
      <c r="BV16">
        <f t="shared" ref="BV16:DA16" si="64">IF(ISBLANK(BV15),"",BV15-CS14)</f>
        <v>15.5</v>
      </c>
      <c r="BW16">
        <f t="shared" si="64"/>
        <v>15.100000000000001</v>
      </c>
      <c r="BX16">
        <f t="shared" si="64"/>
        <v>35.1</v>
      </c>
      <c r="BY16">
        <f t="shared" si="64"/>
        <v>10.799999999999997</v>
      </c>
      <c r="BZ16">
        <f t="shared" si="64"/>
        <v>23.9</v>
      </c>
      <c r="CA16">
        <f t="shared" si="64"/>
        <v>-9.1000000000000014</v>
      </c>
      <c r="CB16">
        <f t="shared" si="64"/>
        <v>30.700000000000003</v>
      </c>
      <c r="CC16">
        <f t="shared" si="64"/>
        <v>-4.1999999999999993</v>
      </c>
      <c r="CD16">
        <f t="shared" si="64"/>
        <v>13.399999999999999</v>
      </c>
      <c r="CE16">
        <f t="shared" si="64"/>
        <v>-2.6000000000000014</v>
      </c>
      <c r="CF16">
        <f t="shared" si="64"/>
        <v>5</v>
      </c>
      <c r="CG16">
        <f t="shared" si="64"/>
        <v>16</v>
      </c>
      <c r="CH16">
        <f t="shared" si="64"/>
        <v>-22.2</v>
      </c>
      <c r="CI16">
        <f t="shared" si="64"/>
        <v>-15.8</v>
      </c>
      <c r="CJ16">
        <f t="shared" si="64"/>
        <v>-8.6999999999999993</v>
      </c>
      <c r="CK16">
        <f t="shared" si="64"/>
        <v>27.4</v>
      </c>
      <c r="CL16">
        <f t="shared" si="64"/>
        <v>-1</v>
      </c>
      <c r="CM16">
        <f t="shared" si="64"/>
        <v>-6</v>
      </c>
      <c r="CN16">
        <f t="shared" si="64"/>
        <v>-9.8000000000000007</v>
      </c>
      <c r="CO16">
        <f t="shared" si="64"/>
        <v>4.5</v>
      </c>
      <c r="CP16">
        <f t="shared" si="64"/>
        <v>15.700000000000003</v>
      </c>
      <c r="CQ16">
        <f t="shared" si="64"/>
        <v>30</v>
      </c>
      <c r="CR16">
        <f t="shared" si="64"/>
        <v>-7.8999999999999986</v>
      </c>
      <c r="CS16">
        <f t="shared" si="64"/>
        <v>8</v>
      </c>
      <c r="CT16">
        <f t="shared" si="64"/>
        <v>4</v>
      </c>
      <c r="CU16">
        <f t="shared" si="64"/>
        <v>-19.3</v>
      </c>
      <c r="CV16">
        <f t="shared" si="64"/>
        <v>-7</v>
      </c>
      <c r="CW16">
        <f t="shared" si="64"/>
        <v>32.6</v>
      </c>
      <c r="CX16">
        <f t="shared" si="64"/>
        <v>-2.3000000000000007</v>
      </c>
      <c r="CY16">
        <f t="shared" si="64"/>
        <v>42</v>
      </c>
      <c r="CZ16">
        <f t="shared" si="64"/>
        <v>-7.3000000000000007</v>
      </c>
      <c r="DA16">
        <f t="shared" si="64"/>
        <v>27.200000000000003</v>
      </c>
      <c r="DB16">
        <f t="shared" ref="DB16:EG16" si="65">IF(ISBLANK(DB15),"",DB15-DY14)</f>
        <v>16</v>
      </c>
      <c r="DC16">
        <f t="shared" si="65"/>
        <v>29.6</v>
      </c>
      <c r="DD16">
        <f t="shared" si="65"/>
        <v>-5.5</v>
      </c>
      <c r="DE16">
        <f t="shared" si="65"/>
        <v>41.599999999999994</v>
      </c>
      <c r="DF16">
        <f t="shared" si="65"/>
        <v>7</v>
      </c>
      <c r="DG16">
        <f t="shared" si="65"/>
        <v>30.5</v>
      </c>
      <c r="DH16">
        <f t="shared" si="65"/>
        <v>18.600000000000001</v>
      </c>
      <c r="DI16">
        <f t="shared" si="65"/>
        <v>10.600000000000001</v>
      </c>
      <c r="DJ16">
        <f t="shared" si="65"/>
        <v>34.5</v>
      </c>
      <c r="DK16">
        <f t="shared" si="65"/>
        <v>33.5</v>
      </c>
      <c r="DL16">
        <f t="shared" si="65"/>
        <v>32.200000000000003</v>
      </c>
      <c r="DM16">
        <f t="shared" si="65"/>
        <v>0.89999999999999858</v>
      </c>
      <c r="DN16">
        <f t="shared" si="65"/>
        <v>41.900000000000006</v>
      </c>
      <c r="DO16">
        <f t="shared" si="65"/>
        <v>32.4</v>
      </c>
      <c r="DP16">
        <f t="shared" si="65"/>
        <v>9.7999999999999972</v>
      </c>
      <c r="DQ16">
        <f t="shared" si="65"/>
        <v>36</v>
      </c>
      <c r="DR16">
        <f t="shared" si="65"/>
        <v>-7.6999999999999993</v>
      </c>
      <c r="DS16" t="e">
        <f t="shared" si="65"/>
        <v>#VALUE!</v>
      </c>
      <c r="DT16" t="str">
        <f t="shared" si="65"/>
        <v/>
      </c>
      <c r="DU16" t="str">
        <f t="shared" si="65"/>
        <v/>
      </c>
      <c r="DV16" t="str">
        <f t="shared" si="65"/>
        <v/>
      </c>
      <c r="DW16" t="str">
        <f t="shared" si="65"/>
        <v/>
      </c>
      <c r="DX16" t="str">
        <f t="shared" si="65"/>
        <v/>
      </c>
      <c r="DY16" t="str">
        <f t="shared" si="65"/>
        <v/>
      </c>
      <c r="DZ16" t="str">
        <f t="shared" si="65"/>
        <v/>
      </c>
      <c r="EA16" t="str">
        <f t="shared" si="65"/>
        <v/>
      </c>
      <c r="EB16" t="str">
        <f t="shared" si="65"/>
        <v/>
      </c>
      <c r="EC16" t="str">
        <f t="shared" si="65"/>
        <v/>
      </c>
      <c r="ED16" t="str">
        <f t="shared" si="65"/>
        <v/>
      </c>
      <c r="EE16" t="str">
        <f t="shared" si="65"/>
        <v/>
      </c>
      <c r="EF16" t="str">
        <f t="shared" si="65"/>
        <v/>
      </c>
      <c r="EG16" t="str">
        <f t="shared" si="65"/>
        <v/>
      </c>
      <c r="EH16" t="str">
        <f t="shared" ref="EH16:EW16" si="66">IF(ISBLANK(EH15),"",EH15-FE14)</f>
        <v/>
      </c>
      <c r="EI16" t="str">
        <f t="shared" si="66"/>
        <v/>
      </c>
      <c r="EJ16" t="str">
        <f t="shared" si="66"/>
        <v/>
      </c>
      <c r="EK16" t="str">
        <f t="shared" si="66"/>
        <v/>
      </c>
      <c r="EL16" t="str">
        <f t="shared" si="66"/>
        <v/>
      </c>
      <c r="EM16" t="str">
        <f t="shared" si="66"/>
        <v/>
      </c>
      <c r="EN16" t="str">
        <f t="shared" si="66"/>
        <v/>
      </c>
      <c r="EO16" t="str">
        <f t="shared" si="66"/>
        <v/>
      </c>
      <c r="EP16" t="str">
        <f t="shared" si="66"/>
        <v/>
      </c>
      <c r="EQ16" t="str">
        <f t="shared" si="66"/>
        <v/>
      </c>
      <c r="ER16" t="str">
        <f t="shared" si="66"/>
        <v/>
      </c>
      <c r="ES16" t="str">
        <f t="shared" si="66"/>
        <v/>
      </c>
      <c r="ET16" t="str">
        <f t="shared" si="66"/>
        <v/>
      </c>
      <c r="EU16" t="str">
        <f t="shared" si="66"/>
        <v/>
      </c>
      <c r="EV16" t="str">
        <f t="shared" si="66"/>
        <v/>
      </c>
      <c r="EW16" t="str">
        <f t="shared" si="66"/>
        <v/>
      </c>
    </row>
    <row r="17" spans="1:153">
      <c r="A17" s="7"/>
      <c r="B17" s="81"/>
      <c r="C17" s="81"/>
      <c r="D17" s="81"/>
      <c r="G17" s="82" t="s">
        <v>47</v>
      </c>
      <c r="BQ17">
        <f t="shared" ref="BQ17:DP17" si="67">IFERROR(IF(ISBLANK(BQ16),"",BQ16+BP17),"")</f>
        <v>1.6000000000000014</v>
      </c>
      <c r="BR17">
        <f t="shared" si="67"/>
        <v>8.7000000000000028</v>
      </c>
      <c r="BS17">
        <f t="shared" si="67"/>
        <v>19.700000000000003</v>
      </c>
      <c r="BT17">
        <f t="shared" si="67"/>
        <v>30.200000000000003</v>
      </c>
      <c r="BU17">
        <f t="shared" si="67"/>
        <v>49.3</v>
      </c>
      <c r="BV17">
        <f t="shared" si="67"/>
        <v>64.8</v>
      </c>
      <c r="BW17">
        <f t="shared" si="67"/>
        <v>79.900000000000006</v>
      </c>
      <c r="BX17">
        <f t="shared" si="67"/>
        <v>115</v>
      </c>
      <c r="BY17">
        <f t="shared" si="67"/>
        <v>125.8</v>
      </c>
      <c r="BZ17">
        <f t="shared" si="67"/>
        <v>149.69999999999999</v>
      </c>
      <c r="CA17">
        <f t="shared" si="67"/>
        <v>140.6</v>
      </c>
      <c r="CB17">
        <f t="shared" si="67"/>
        <v>171.3</v>
      </c>
      <c r="CC17">
        <f t="shared" si="67"/>
        <v>167.10000000000002</v>
      </c>
      <c r="CD17">
        <f t="shared" si="67"/>
        <v>180.50000000000003</v>
      </c>
      <c r="CE17">
        <f t="shared" si="67"/>
        <v>177.90000000000003</v>
      </c>
      <c r="CF17">
        <f t="shared" si="67"/>
        <v>182.90000000000003</v>
      </c>
      <c r="CG17">
        <f t="shared" si="67"/>
        <v>198.90000000000003</v>
      </c>
      <c r="CH17">
        <f t="shared" si="67"/>
        <v>176.70000000000005</v>
      </c>
      <c r="CI17">
        <f t="shared" si="67"/>
        <v>160.90000000000003</v>
      </c>
      <c r="CJ17">
        <f t="shared" si="67"/>
        <v>152.20000000000005</v>
      </c>
      <c r="CK17">
        <f t="shared" si="67"/>
        <v>179.60000000000005</v>
      </c>
      <c r="CL17">
        <f t="shared" si="67"/>
        <v>178.60000000000005</v>
      </c>
      <c r="CM17">
        <f t="shared" si="67"/>
        <v>172.60000000000005</v>
      </c>
      <c r="CN17">
        <f t="shared" si="67"/>
        <v>162.80000000000004</v>
      </c>
      <c r="CO17">
        <f t="shared" si="67"/>
        <v>167.30000000000004</v>
      </c>
      <c r="CP17">
        <f t="shared" ref="CP17" si="68">IFERROR(IF(ISBLANK(CP16),"",CP16+CO17),"")</f>
        <v>183.00000000000006</v>
      </c>
      <c r="CQ17">
        <f t="shared" ref="CQ17" si="69">IFERROR(IF(ISBLANK(CQ16),"",CQ16+CP17),"")</f>
        <v>213.00000000000006</v>
      </c>
      <c r="CR17">
        <f t="shared" ref="CR17" si="70">IFERROR(IF(ISBLANK(CR16),"",CR16+CQ17),"")</f>
        <v>205.10000000000005</v>
      </c>
      <c r="CS17">
        <f t="shared" ref="CS17" si="71">IFERROR(IF(ISBLANK(CS16),"",CS16+CR17),"")</f>
        <v>213.10000000000005</v>
      </c>
      <c r="CT17">
        <f t="shared" ref="CT17" si="72">IFERROR(IF(ISBLANK(CT16),"",CT16+CS17),"")</f>
        <v>217.10000000000005</v>
      </c>
      <c r="CU17">
        <f t="shared" ref="CU17" si="73">IFERROR(IF(ISBLANK(CU16),"",CU16+CT17),"")</f>
        <v>197.80000000000004</v>
      </c>
      <c r="CV17">
        <f t="shared" ref="CV17" si="74">IFERROR(IF(ISBLANK(CV16),"",CV16+CU17),"")</f>
        <v>190.80000000000004</v>
      </c>
      <c r="CW17">
        <f t="shared" si="67"/>
        <v>223.40000000000003</v>
      </c>
      <c r="CX17">
        <f t="shared" si="67"/>
        <v>221.10000000000002</v>
      </c>
      <c r="CY17">
        <f t="shared" si="67"/>
        <v>263.10000000000002</v>
      </c>
      <c r="CZ17">
        <f t="shared" si="67"/>
        <v>255.8</v>
      </c>
      <c r="DA17">
        <f t="shared" si="67"/>
        <v>283</v>
      </c>
      <c r="DB17">
        <f t="shared" si="67"/>
        <v>299</v>
      </c>
      <c r="DC17">
        <f t="shared" si="67"/>
        <v>328.6</v>
      </c>
      <c r="DD17">
        <f t="shared" si="67"/>
        <v>323.10000000000002</v>
      </c>
      <c r="DE17">
        <f t="shared" si="67"/>
        <v>364.70000000000005</v>
      </c>
      <c r="DF17">
        <f t="shared" si="67"/>
        <v>371.70000000000005</v>
      </c>
      <c r="DG17">
        <f t="shared" si="67"/>
        <v>402.20000000000005</v>
      </c>
      <c r="DH17">
        <f t="shared" si="67"/>
        <v>420.80000000000007</v>
      </c>
      <c r="DI17">
        <f t="shared" si="67"/>
        <v>431.40000000000009</v>
      </c>
      <c r="DJ17">
        <f t="shared" si="67"/>
        <v>465.90000000000009</v>
      </c>
      <c r="DK17">
        <f t="shared" si="67"/>
        <v>499.40000000000009</v>
      </c>
      <c r="DL17">
        <f t="shared" si="67"/>
        <v>531.60000000000014</v>
      </c>
      <c r="DM17">
        <f t="shared" si="67"/>
        <v>532.50000000000011</v>
      </c>
      <c r="DN17">
        <f t="shared" si="67"/>
        <v>574.40000000000009</v>
      </c>
      <c r="DO17">
        <f t="shared" si="67"/>
        <v>606.80000000000007</v>
      </c>
      <c r="DP17">
        <f t="shared" si="67"/>
        <v>616.6</v>
      </c>
      <c r="DQ17">
        <f t="shared" ref="DQ17:EW17" si="75">IFERROR(IF(ISBLANK(DQ16),"",DQ16+DP17),"")</f>
        <v>652.6</v>
      </c>
      <c r="DR17">
        <f t="shared" si="75"/>
        <v>644.9</v>
      </c>
      <c r="DS17" t="str">
        <f t="shared" si="75"/>
        <v/>
      </c>
      <c r="DT17" t="str">
        <f t="shared" si="75"/>
        <v/>
      </c>
      <c r="DU17" t="str">
        <f t="shared" si="75"/>
        <v/>
      </c>
      <c r="DV17" t="str">
        <f t="shared" si="75"/>
        <v/>
      </c>
      <c r="DW17" t="str">
        <f t="shared" si="75"/>
        <v/>
      </c>
      <c r="DX17" t="str">
        <f t="shared" si="75"/>
        <v/>
      </c>
      <c r="DY17" t="str">
        <f t="shared" si="75"/>
        <v/>
      </c>
      <c r="DZ17" t="str">
        <f t="shared" si="75"/>
        <v/>
      </c>
      <c r="EA17" t="str">
        <f t="shared" si="75"/>
        <v/>
      </c>
      <c r="EB17" t="str">
        <f t="shared" si="75"/>
        <v/>
      </c>
      <c r="EC17" t="str">
        <f t="shared" si="75"/>
        <v/>
      </c>
      <c r="ED17" t="str">
        <f t="shared" si="75"/>
        <v/>
      </c>
      <c r="EE17" t="str">
        <f t="shared" si="75"/>
        <v/>
      </c>
      <c r="EF17" t="str">
        <f t="shared" si="75"/>
        <v/>
      </c>
      <c r="EG17" t="str">
        <f t="shared" si="75"/>
        <v/>
      </c>
      <c r="EH17" t="str">
        <f t="shared" si="75"/>
        <v/>
      </c>
      <c r="EI17" t="str">
        <f t="shared" si="75"/>
        <v/>
      </c>
      <c r="EJ17" t="str">
        <f t="shared" si="75"/>
        <v/>
      </c>
      <c r="EK17" t="str">
        <f t="shared" si="75"/>
        <v/>
      </c>
      <c r="EL17" t="str">
        <f t="shared" si="75"/>
        <v/>
      </c>
      <c r="EM17" t="str">
        <f t="shared" si="75"/>
        <v/>
      </c>
      <c r="EN17" t="str">
        <f t="shared" si="75"/>
        <v/>
      </c>
      <c r="EO17" t="str">
        <f t="shared" si="75"/>
        <v/>
      </c>
      <c r="EP17" t="str">
        <f t="shared" si="75"/>
        <v/>
      </c>
      <c r="EQ17" t="str">
        <f t="shared" si="75"/>
        <v/>
      </c>
      <c r="ER17" t="str">
        <f t="shared" si="75"/>
        <v/>
      </c>
      <c r="ES17" t="str">
        <f t="shared" si="75"/>
        <v/>
      </c>
      <c r="ET17" t="str">
        <f t="shared" si="75"/>
        <v/>
      </c>
      <c r="EU17" t="str">
        <f t="shared" si="75"/>
        <v/>
      </c>
      <c r="EV17" t="str">
        <f t="shared" si="75"/>
        <v/>
      </c>
      <c r="EW17" t="str">
        <f t="shared" si="75"/>
        <v/>
      </c>
    </row>
    <row r="18" spans="1:153">
      <c r="A18" s="7"/>
      <c r="B18" s="81"/>
      <c r="C18" s="81"/>
      <c r="D18" s="81"/>
      <c r="BW18" s="81">
        <f>IFERROR(AVERAGE(BQ15:BW15),"")</f>
        <v>37.128571428571426</v>
      </c>
      <c r="CD18" s="81">
        <f t="shared" ref="CD18" si="76">IFERROR(AVERAGE(BX15:CD15),"")</f>
        <v>43.657142857142858</v>
      </c>
      <c r="CK18" s="81">
        <f t="shared" ref="CK18" si="77">IFERROR(AVERAGE(CE15:CK15),"")</f>
        <v>29.871428571428574</v>
      </c>
    </row>
    <row r="19" spans="1:153">
      <c r="A19" s="519" t="s">
        <v>49</v>
      </c>
      <c r="B19" s="520"/>
      <c r="C19" s="520"/>
      <c r="D19" s="520"/>
      <c r="E19" s="520"/>
      <c r="F19" s="520"/>
      <c r="G19" s="520"/>
      <c r="AA19" s="83" t="s">
        <v>50</v>
      </c>
      <c r="AB19" s="83" t="s">
        <v>50</v>
      </c>
      <c r="AC19" s="83" t="s">
        <v>50</v>
      </c>
      <c r="AN19" s="90" t="s">
        <v>60</v>
      </c>
      <c r="AO19" s="90" t="s">
        <v>60</v>
      </c>
    </row>
    <row r="20" spans="1:153" s="86" customFormat="1" ht="15.75" thickBot="1">
      <c r="A20" s="84" t="b">
        <f>IF((C20+2.5)&gt;=B20,TRUE,FALSE)</f>
        <v>1</v>
      </c>
      <c r="B20" s="85">
        <v>29</v>
      </c>
      <c r="C20" s="85">
        <f>SUM(Y20:XFD20)</f>
        <v>33</v>
      </c>
      <c r="D20" s="85"/>
      <c r="E20" s="86" t="s">
        <v>51</v>
      </c>
      <c r="AA20" s="88">
        <v>2.5</v>
      </c>
      <c r="AB20" s="88">
        <v>2.5</v>
      </c>
      <c r="AC20" s="88">
        <v>2.5</v>
      </c>
      <c r="AN20" s="88">
        <v>8.5</v>
      </c>
      <c r="AO20" s="88">
        <v>8.5</v>
      </c>
      <c r="BP20" s="88">
        <v>8.5</v>
      </c>
    </row>
    <row r="21" spans="1:153" s="77" customFormat="1">
      <c r="A21" s="73"/>
      <c r="B21" s="74"/>
      <c r="C21" s="74"/>
      <c r="D21" s="74"/>
      <c r="E21" s="75" t="s">
        <v>61</v>
      </c>
      <c r="F21" s="74"/>
      <c r="G21" s="76" t="s">
        <v>36</v>
      </c>
      <c r="BC21" s="79" t="s">
        <v>56</v>
      </c>
      <c r="BD21" s="79" t="s">
        <v>56</v>
      </c>
      <c r="BE21" s="79" t="s">
        <v>56</v>
      </c>
      <c r="BF21" s="79" t="s">
        <v>56</v>
      </c>
      <c r="BG21" s="79" t="s">
        <v>56</v>
      </c>
      <c r="BH21" s="79" t="s">
        <v>56</v>
      </c>
      <c r="BI21" s="79" t="s">
        <v>56</v>
      </c>
      <c r="BJ21" s="79" t="s">
        <v>56</v>
      </c>
      <c r="BK21" s="79" t="s">
        <v>56</v>
      </c>
      <c r="BL21" s="79" t="s">
        <v>56</v>
      </c>
      <c r="BM21" s="79" t="s">
        <v>56</v>
      </c>
      <c r="BN21" s="79" t="s">
        <v>56</v>
      </c>
      <c r="BO21" s="79" t="s">
        <v>56</v>
      </c>
      <c r="BP21" s="79" t="s">
        <v>56</v>
      </c>
      <c r="BQ21" s="79" t="s">
        <v>56</v>
      </c>
      <c r="BR21" s="79" t="s">
        <v>56</v>
      </c>
      <c r="BS21" s="80" t="s">
        <v>40</v>
      </c>
      <c r="BT21" s="80" t="s">
        <v>40</v>
      </c>
      <c r="BU21" s="80" t="s">
        <v>40</v>
      </c>
      <c r="BV21" s="80" t="s">
        <v>40</v>
      </c>
      <c r="BW21" s="80" t="s">
        <v>40</v>
      </c>
      <c r="BX21" s="80" t="s">
        <v>40</v>
      </c>
      <c r="BY21" s="80" t="s">
        <v>40</v>
      </c>
      <c r="BZ21" s="80" t="s">
        <v>40</v>
      </c>
      <c r="CA21" s="80" t="s">
        <v>40</v>
      </c>
      <c r="CB21" s="80" t="s">
        <v>40</v>
      </c>
      <c r="CC21" s="80" t="s">
        <v>40</v>
      </c>
      <c r="CD21" s="80" t="s">
        <v>40</v>
      </c>
      <c r="CE21" s="80" t="s">
        <v>40</v>
      </c>
      <c r="CF21" s="80" t="s">
        <v>40</v>
      </c>
      <c r="CG21" s="80" t="s">
        <v>40</v>
      </c>
      <c r="CH21" s="80" t="s">
        <v>40</v>
      </c>
      <c r="CI21" s="80" t="s">
        <v>40</v>
      </c>
      <c r="CJ21" s="91" t="s">
        <v>39</v>
      </c>
      <c r="CK21" s="91" t="s">
        <v>39</v>
      </c>
      <c r="CL21" s="91" t="s">
        <v>39</v>
      </c>
      <c r="CM21" s="91" t="s">
        <v>39</v>
      </c>
      <c r="CN21" s="91" t="s">
        <v>39</v>
      </c>
      <c r="CO21" s="91" t="s">
        <v>39</v>
      </c>
      <c r="CP21" s="91" t="s">
        <v>39</v>
      </c>
      <c r="CQ21" s="91" t="s">
        <v>39</v>
      </c>
      <c r="CR21" s="91" t="s">
        <v>39</v>
      </c>
      <c r="CS21" s="91" t="s">
        <v>39</v>
      </c>
      <c r="CT21" s="91" t="s">
        <v>39</v>
      </c>
      <c r="CU21" s="91" t="s">
        <v>39</v>
      </c>
      <c r="CV21" s="91" t="s">
        <v>39</v>
      </c>
      <c r="CW21" s="91" t="s">
        <v>39</v>
      </c>
      <c r="CX21" s="91" t="s">
        <v>39</v>
      </c>
      <c r="CY21" s="91" t="s">
        <v>39</v>
      </c>
      <c r="CZ21" s="91" t="s">
        <v>39</v>
      </c>
      <c r="DA21" s="91" t="s">
        <v>39</v>
      </c>
      <c r="DB21" s="91" t="s">
        <v>39</v>
      </c>
      <c r="DC21" s="91" t="s">
        <v>39</v>
      </c>
      <c r="DD21" s="91" t="s">
        <v>39</v>
      </c>
      <c r="DE21" s="91" t="s">
        <v>39</v>
      </c>
      <c r="DF21" s="91" t="s">
        <v>39</v>
      </c>
      <c r="DG21" s="91" t="s">
        <v>39</v>
      </c>
      <c r="DH21" s="91" t="s">
        <v>39</v>
      </c>
      <c r="DI21" s="91" t="s">
        <v>39</v>
      </c>
      <c r="DJ21" s="91" t="s">
        <v>39</v>
      </c>
      <c r="DK21" s="91" t="s">
        <v>39</v>
      </c>
      <c r="DL21" s="91" t="s">
        <v>39</v>
      </c>
      <c r="DM21" s="91" t="s">
        <v>39</v>
      </c>
      <c r="DN21" s="91" t="s">
        <v>39</v>
      </c>
      <c r="DO21" s="91" t="s">
        <v>39</v>
      </c>
      <c r="DP21" s="91" t="s">
        <v>39</v>
      </c>
      <c r="DQ21" s="91" t="s">
        <v>39</v>
      </c>
      <c r="DR21" s="91" t="s">
        <v>39</v>
      </c>
      <c r="DS21" s="91" t="s">
        <v>39</v>
      </c>
      <c r="DT21" s="91" t="s">
        <v>39</v>
      </c>
      <c r="DU21" s="91" t="s">
        <v>39</v>
      </c>
      <c r="DV21" s="91" t="s">
        <v>39</v>
      </c>
      <c r="DW21" s="91" t="s">
        <v>39</v>
      </c>
      <c r="DX21" s="91" t="s">
        <v>39</v>
      </c>
      <c r="DY21" s="91" t="s">
        <v>39</v>
      </c>
      <c r="DZ21" s="91" t="s">
        <v>39</v>
      </c>
      <c r="EA21" s="91" t="s">
        <v>39</v>
      </c>
      <c r="EB21" s="91" t="s">
        <v>39</v>
      </c>
      <c r="EC21" s="91" t="s">
        <v>39</v>
      </c>
      <c r="ED21" s="91" t="s">
        <v>39</v>
      </c>
      <c r="EE21" s="91" t="s">
        <v>39</v>
      </c>
      <c r="EF21" s="91" t="s">
        <v>39</v>
      </c>
      <c r="EG21" s="91" t="s">
        <v>39</v>
      </c>
      <c r="EH21" s="91" t="s">
        <v>39</v>
      </c>
      <c r="EI21" s="91" t="s">
        <v>39</v>
      </c>
      <c r="EJ21" s="91" t="s">
        <v>39</v>
      </c>
      <c r="EK21" s="91" t="s">
        <v>39</v>
      </c>
      <c r="EL21" s="91" t="s">
        <v>39</v>
      </c>
      <c r="EM21" s="91" t="s">
        <v>39</v>
      </c>
      <c r="EN21" s="91" t="s">
        <v>39</v>
      </c>
      <c r="EO21" s="92" t="s">
        <v>62</v>
      </c>
      <c r="EP21" s="92" t="s">
        <v>62</v>
      </c>
      <c r="EQ21" s="92" t="s">
        <v>62</v>
      </c>
      <c r="ER21" s="92" t="s">
        <v>62</v>
      </c>
      <c r="ES21" s="92" t="s">
        <v>62</v>
      </c>
    </row>
    <row r="22" spans="1:153">
      <c r="A22" s="7" t="e">
        <f>IF((C22+200)&gt;=B22,TRUE,FALSE)</f>
        <v>#REF!</v>
      </c>
      <c r="B22" s="81" t="e">
        <f>(29549.1-#REF!)/2</f>
        <v>#REF!</v>
      </c>
      <c r="C22" s="81">
        <f>SUM(Y22:XFD22)</f>
        <v>14250</v>
      </c>
      <c r="D22" s="81"/>
      <c r="E22" t="s">
        <v>42</v>
      </c>
      <c r="F22" t="s">
        <v>63</v>
      </c>
      <c r="G22" s="82" t="s">
        <v>44</v>
      </c>
      <c r="BC22">
        <v>150</v>
      </c>
      <c r="BD22">
        <v>150</v>
      </c>
      <c r="BE22">
        <v>150</v>
      </c>
      <c r="BF22">
        <v>150</v>
      </c>
      <c r="BG22">
        <v>150</v>
      </c>
      <c r="BH22">
        <v>150</v>
      </c>
      <c r="BI22">
        <v>150</v>
      </c>
      <c r="BJ22">
        <v>150</v>
      </c>
      <c r="BK22">
        <v>150</v>
      </c>
      <c r="BL22">
        <v>150</v>
      </c>
      <c r="BM22">
        <v>150</v>
      </c>
      <c r="BN22">
        <v>150</v>
      </c>
      <c r="BO22">
        <v>150</v>
      </c>
      <c r="BP22">
        <v>150</v>
      </c>
      <c r="BQ22">
        <v>150</v>
      </c>
      <c r="BR22">
        <v>150</v>
      </c>
      <c r="BS22">
        <v>150</v>
      </c>
      <c r="BT22">
        <v>150</v>
      </c>
      <c r="BU22">
        <v>150</v>
      </c>
      <c r="BV22">
        <v>150</v>
      </c>
      <c r="BW22">
        <v>150</v>
      </c>
      <c r="BX22">
        <v>150</v>
      </c>
      <c r="BY22">
        <v>150</v>
      </c>
      <c r="BZ22">
        <v>150</v>
      </c>
      <c r="CA22">
        <v>150</v>
      </c>
      <c r="CB22">
        <v>150</v>
      </c>
      <c r="CC22">
        <v>150</v>
      </c>
      <c r="CD22">
        <v>150</v>
      </c>
      <c r="CE22">
        <v>150</v>
      </c>
      <c r="CF22">
        <v>150</v>
      </c>
      <c r="CG22">
        <v>150</v>
      </c>
      <c r="CH22">
        <v>150</v>
      </c>
      <c r="CI22">
        <v>150</v>
      </c>
      <c r="CJ22">
        <v>150</v>
      </c>
      <c r="CK22">
        <v>150</v>
      </c>
      <c r="CL22">
        <v>150</v>
      </c>
      <c r="CM22">
        <v>150</v>
      </c>
      <c r="CN22">
        <v>150</v>
      </c>
      <c r="CO22">
        <v>150</v>
      </c>
      <c r="CP22">
        <v>150</v>
      </c>
      <c r="CQ22">
        <v>150</v>
      </c>
      <c r="CR22">
        <v>150</v>
      </c>
      <c r="CS22">
        <v>150</v>
      </c>
      <c r="CT22">
        <v>150</v>
      </c>
      <c r="CU22">
        <v>150</v>
      </c>
      <c r="CV22">
        <v>150</v>
      </c>
      <c r="CW22">
        <v>150</v>
      </c>
      <c r="CX22">
        <v>150</v>
      </c>
      <c r="CY22">
        <v>150</v>
      </c>
      <c r="CZ22">
        <v>150</v>
      </c>
      <c r="DA22">
        <v>150</v>
      </c>
      <c r="DB22">
        <v>150</v>
      </c>
      <c r="DC22">
        <v>150</v>
      </c>
      <c r="DD22">
        <v>150</v>
      </c>
      <c r="DE22">
        <v>150</v>
      </c>
      <c r="DF22">
        <v>150</v>
      </c>
      <c r="DG22">
        <v>150</v>
      </c>
      <c r="DH22">
        <v>150</v>
      </c>
      <c r="DI22">
        <v>150</v>
      </c>
      <c r="DJ22">
        <v>150</v>
      </c>
      <c r="DK22">
        <v>150</v>
      </c>
      <c r="DL22">
        <v>150</v>
      </c>
      <c r="DM22">
        <v>150</v>
      </c>
      <c r="DN22">
        <v>150</v>
      </c>
      <c r="DO22">
        <v>150</v>
      </c>
      <c r="DP22">
        <v>150</v>
      </c>
      <c r="DQ22">
        <v>150</v>
      </c>
      <c r="DR22">
        <v>150</v>
      </c>
      <c r="DS22">
        <v>150</v>
      </c>
      <c r="DT22">
        <v>150</v>
      </c>
      <c r="DU22">
        <v>150</v>
      </c>
      <c r="DV22">
        <v>150</v>
      </c>
      <c r="DW22">
        <v>150</v>
      </c>
      <c r="DX22">
        <v>150</v>
      </c>
      <c r="DY22">
        <v>150</v>
      </c>
      <c r="DZ22">
        <v>150</v>
      </c>
      <c r="EA22">
        <v>150</v>
      </c>
      <c r="EB22">
        <v>150</v>
      </c>
      <c r="EC22">
        <v>150</v>
      </c>
      <c r="ED22">
        <v>150</v>
      </c>
      <c r="EE22">
        <v>150</v>
      </c>
      <c r="EF22">
        <v>150</v>
      </c>
      <c r="EG22">
        <v>150</v>
      </c>
      <c r="EH22">
        <v>150</v>
      </c>
      <c r="EI22">
        <v>150</v>
      </c>
      <c r="EJ22">
        <v>150</v>
      </c>
      <c r="EK22">
        <v>150</v>
      </c>
      <c r="EL22">
        <v>150</v>
      </c>
      <c r="EM22">
        <v>150</v>
      </c>
      <c r="EN22">
        <v>150</v>
      </c>
      <c r="EO22">
        <v>150</v>
      </c>
      <c r="EP22">
        <v>150</v>
      </c>
      <c r="EQ22">
        <v>150</v>
      </c>
      <c r="ER22">
        <v>150</v>
      </c>
      <c r="ES22">
        <v>150</v>
      </c>
    </row>
    <row r="23" spans="1:153">
      <c r="A23" s="7"/>
      <c r="B23" s="81"/>
      <c r="C23" s="81"/>
      <c r="D23" s="81"/>
      <c r="G23" s="82" t="s">
        <v>22</v>
      </c>
      <c r="BC23">
        <v>46</v>
      </c>
      <c r="BD23">
        <v>100</v>
      </c>
      <c r="BE23">
        <v>160</v>
      </c>
      <c r="BF23">
        <v>206</v>
      </c>
      <c r="BG23">
        <v>188</v>
      </c>
      <c r="BH23">
        <v>212</v>
      </c>
      <c r="BI23">
        <v>181</v>
      </c>
      <c r="BJ23">
        <v>148</v>
      </c>
      <c r="BK23">
        <v>187</v>
      </c>
      <c r="BL23">
        <v>200</v>
      </c>
      <c r="BM23">
        <v>72</v>
      </c>
      <c r="BN23" s="118">
        <v>118</v>
      </c>
      <c r="BO23">
        <v>242</v>
      </c>
      <c r="BP23">
        <v>190</v>
      </c>
      <c r="BQ23">
        <v>0</v>
      </c>
      <c r="BR23">
        <v>0</v>
      </c>
      <c r="BS23">
        <v>0</v>
      </c>
      <c r="BT23">
        <v>152</v>
      </c>
      <c r="BU23">
        <v>146</v>
      </c>
      <c r="BV23">
        <v>154</v>
      </c>
      <c r="BW23">
        <v>140</v>
      </c>
      <c r="BX23">
        <v>124</v>
      </c>
      <c r="BY23">
        <v>46</v>
      </c>
      <c r="BZ23">
        <v>150</v>
      </c>
      <c r="CA23">
        <v>200</v>
      </c>
      <c r="CB23">
        <v>216</v>
      </c>
      <c r="CC23">
        <v>284</v>
      </c>
      <c r="CD23">
        <v>212</v>
      </c>
      <c r="CE23">
        <v>202</v>
      </c>
      <c r="CF23">
        <v>176</v>
      </c>
      <c r="CG23">
        <v>0</v>
      </c>
      <c r="CH23">
        <v>0</v>
      </c>
      <c r="CI23">
        <v>194</v>
      </c>
      <c r="CJ23">
        <v>242</v>
      </c>
      <c r="CK23">
        <v>220</v>
      </c>
      <c r="CL23">
        <v>136</v>
      </c>
      <c r="CM23">
        <v>46</v>
      </c>
      <c r="CN23">
        <v>190</v>
      </c>
      <c r="CO23">
        <v>214</v>
      </c>
      <c r="CP23">
        <v>184</v>
      </c>
      <c r="CQ23">
        <v>96</v>
      </c>
      <c r="CR23">
        <v>194</v>
      </c>
      <c r="CS23">
        <v>180</v>
      </c>
      <c r="CT23">
        <v>202</v>
      </c>
      <c r="CU23">
        <v>52</v>
      </c>
      <c r="CV23">
        <v>226</v>
      </c>
      <c r="CW23">
        <v>242</v>
      </c>
      <c r="CX23">
        <v>300</v>
      </c>
      <c r="CY23">
        <v>224</v>
      </c>
      <c r="CZ23">
        <v>302</v>
      </c>
      <c r="DA23">
        <v>260</v>
      </c>
      <c r="DB23">
        <v>252</v>
      </c>
      <c r="DC23">
        <v>258</v>
      </c>
      <c r="DD23">
        <v>252</v>
      </c>
      <c r="DE23">
        <v>260</v>
      </c>
      <c r="DF23">
        <v>254</v>
      </c>
      <c r="DG23">
        <v>302</v>
      </c>
      <c r="DH23">
        <v>308</v>
      </c>
      <c r="DI23">
        <v>256</v>
      </c>
      <c r="DJ23">
        <v>280</v>
      </c>
      <c r="DK23">
        <v>210</v>
      </c>
      <c r="DL23">
        <v>258</v>
      </c>
      <c r="DM23">
        <v>220</v>
      </c>
      <c r="DN23">
        <v>300</v>
      </c>
      <c r="DO23">
        <v>302</v>
      </c>
      <c r="DP23">
        <v>238</v>
      </c>
      <c r="DQ23">
        <v>250</v>
      </c>
      <c r="DR23">
        <v>236</v>
      </c>
      <c r="DS23">
        <v>202</v>
      </c>
      <c r="DT23">
        <v>218</v>
      </c>
      <c r="DU23">
        <v>214</v>
      </c>
      <c r="DV23">
        <v>206</v>
      </c>
      <c r="DW23">
        <v>102</v>
      </c>
      <c r="DX23">
        <v>176</v>
      </c>
      <c r="DY23">
        <v>224</v>
      </c>
      <c r="DZ23">
        <v>160</v>
      </c>
      <c r="EA23" t="s">
        <v>59</v>
      </c>
    </row>
    <row r="24" spans="1:153">
      <c r="A24" s="7"/>
      <c r="B24" s="81"/>
      <c r="C24" s="81"/>
      <c r="D24" s="81"/>
      <c r="G24" s="82" t="s">
        <v>46</v>
      </c>
      <c r="BC24">
        <f>IF(ISBLANK(BC23),"",BC23-BC22)</f>
        <v>-104</v>
      </c>
      <c r="BD24">
        <f t="shared" ref="BD24:DO24" si="78">IF(ISBLANK(BD23),"",BD23-BD22)</f>
        <v>-50</v>
      </c>
      <c r="BE24">
        <f t="shared" si="78"/>
        <v>10</v>
      </c>
      <c r="BF24">
        <f t="shared" si="78"/>
        <v>56</v>
      </c>
      <c r="BG24">
        <f t="shared" si="78"/>
        <v>38</v>
      </c>
      <c r="BH24">
        <f t="shared" si="78"/>
        <v>62</v>
      </c>
      <c r="BI24">
        <f t="shared" si="78"/>
        <v>31</v>
      </c>
      <c r="BJ24">
        <f t="shared" si="78"/>
        <v>-2</v>
      </c>
      <c r="BK24">
        <f t="shared" si="78"/>
        <v>37</v>
      </c>
      <c r="BL24">
        <f t="shared" si="78"/>
        <v>50</v>
      </c>
      <c r="BM24">
        <f t="shared" si="78"/>
        <v>-78</v>
      </c>
      <c r="BN24">
        <f t="shared" si="78"/>
        <v>-32</v>
      </c>
      <c r="BO24">
        <f t="shared" si="78"/>
        <v>92</v>
      </c>
      <c r="BP24">
        <f t="shared" si="78"/>
        <v>40</v>
      </c>
      <c r="BQ24">
        <f t="shared" si="78"/>
        <v>-150</v>
      </c>
      <c r="BR24">
        <f t="shared" si="78"/>
        <v>-150</v>
      </c>
      <c r="BS24">
        <f t="shared" si="78"/>
        <v>-150</v>
      </c>
      <c r="BT24">
        <f t="shared" si="78"/>
        <v>2</v>
      </c>
      <c r="BU24">
        <f t="shared" si="78"/>
        <v>-4</v>
      </c>
      <c r="BV24">
        <f t="shared" si="78"/>
        <v>4</v>
      </c>
      <c r="BW24">
        <f t="shared" si="78"/>
        <v>-10</v>
      </c>
      <c r="BX24">
        <f t="shared" si="78"/>
        <v>-26</v>
      </c>
      <c r="BY24">
        <f t="shared" si="78"/>
        <v>-104</v>
      </c>
      <c r="BZ24">
        <f t="shared" si="78"/>
        <v>0</v>
      </c>
      <c r="CA24">
        <f t="shared" si="78"/>
        <v>50</v>
      </c>
      <c r="CB24">
        <f t="shared" si="78"/>
        <v>66</v>
      </c>
      <c r="CC24">
        <f t="shared" si="78"/>
        <v>134</v>
      </c>
      <c r="CD24">
        <f t="shared" si="78"/>
        <v>62</v>
      </c>
      <c r="CE24">
        <f t="shared" si="78"/>
        <v>52</v>
      </c>
      <c r="CF24">
        <f t="shared" si="78"/>
        <v>26</v>
      </c>
      <c r="CG24">
        <f t="shared" si="78"/>
        <v>-150</v>
      </c>
      <c r="CH24">
        <f t="shared" si="78"/>
        <v>-150</v>
      </c>
      <c r="CI24">
        <f t="shared" si="78"/>
        <v>44</v>
      </c>
      <c r="CJ24">
        <f t="shared" si="78"/>
        <v>92</v>
      </c>
      <c r="CK24">
        <f t="shared" si="78"/>
        <v>70</v>
      </c>
      <c r="CL24">
        <f t="shared" si="78"/>
        <v>-14</v>
      </c>
      <c r="CM24">
        <f t="shared" si="78"/>
        <v>-104</v>
      </c>
      <c r="CN24">
        <f t="shared" si="78"/>
        <v>40</v>
      </c>
      <c r="CO24">
        <f t="shared" si="78"/>
        <v>64</v>
      </c>
      <c r="CP24">
        <f t="shared" si="78"/>
        <v>34</v>
      </c>
      <c r="CQ24">
        <f t="shared" si="78"/>
        <v>-54</v>
      </c>
      <c r="CR24">
        <f>IF(ISBLANK(CR23),"",CR23-CR22)</f>
        <v>44</v>
      </c>
      <c r="CS24">
        <f t="shared" si="78"/>
        <v>30</v>
      </c>
      <c r="CT24">
        <f t="shared" si="78"/>
        <v>52</v>
      </c>
      <c r="CU24">
        <f t="shared" si="78"/>
        <v>-98</v>
      </c>
      <c r="CV24">
        <f t="shared" si="78"/>
        <v>76</v>
      </c>
      <c r="CW24">
        <f t="shared" si="78"/>
        <v>92</v>
      </c>
      <c r="CX24">
        <f t="shared" si="78"/>
        <v>150</v>
      </c>
      <c r="CY24">
        <f t="shared" si="78"/>
        <v>74</v>
      </c>
      <c r="CZ24">
        <f t="shared" si="78"/>
        <v>152</v>
      </c>
      <c r="DA24">
        <f t="shared" si="78"/>
        <v>110</v>
      </c>
      <c r="DB24">
        <f t="shared" si="78"/>
        <v>102</v>
      </c>
      <c r="DC24">
        <f t="shared" si="78"/>
        <v>108</v>
      </c>
      <c r="DD24">
        <f t="shared" si="78"/>
        <v>102</v>
      </c>
      <c r="DE24">
        <f t="shared" si="78"/>
        <v>110</v>
      </c>
      <c r="DF24">
        <f t="shared" si="78"/>
        <v>104</v>
      </c>
      <c r="DG24">
        <f t="shared" si="78"/>
        <v>152</v>
      </c>
      <c r="DH24">
        <f t="shared" si="78"/>
        <v>158</v>
      </c>
      <c r="DI24">
        <f t="shared" si="78"/>
        <v>106</v>
      </c>
      <c r="DJ24">
        <f t="shared" si="78"/>
        <v>130</v>
      </c>
      <c r="DK24">
        <f t="shared" si="78"/>
        <v>60</v>
      </c>
      <c r="DL24">
        <f t="shared" si="78"/>
        <v>108</v>
      </c>
      <c r="DM24">
        <f t="shared" si="78"/>
        <v>70</v>
      </c>
      <c r="DN24">
        <f t="shared" si="78"/>
        <v>150</v>
      </c>
      <c r="DO24">
        <f t="shared" si="78"/>
        <v>152</v>
      </c>
      <c r="DP24">
        <f t="shared" ref="DP24:ES24" si="79">IF(ISBLANK(DP23),"",DP23-DP22)</f>
        <v>88</v>
      </c>
      <c r="DQ24">
        <f t="shared" si="79"/>
        <v>100</v>
      </c>
      <c r="DR24">
        <f t="shared" si="79"/>
        <v>86</v>
      </c>
      <c r="DS24">
        <f t="shared" si="79"/>
        <v>52</v>
      </c>
      <c r="DT24">
        <f t="shared" si="79"/>
        <v>68</v>
      </c>
      <c r="DU24">
        <f t="shared" si="79"/>
        <v>64</v>
      </c>
      <c r="DV24">
        <f t="shared" si="79"/>
        <v>56</v>
      </c>
      <c r="DW24">
        <f t="shared" si="79"/>
        <v>-48</v>
      </c>
      <c r="DX24">
        <f t="shared" si="79"/>
        <v>26</v>
      </c>
      <c r="DY24">
        <f t="shared" si="79"/>
        <v>74</v>
      </c>
      <c r="DZ24">
        <f t="shared" si="79"/>
        <v>10</v>
      </c>
      <c r="EA24" t="e">
        <f t="shared" si="79"/>
        <v>#VALUE!</v>
      </c>
      <c r="EB24" t="str">
        <f t="shared" si="79"/>
        <v/>
      </c>
      <c r="EC24" t="str">
        <f t="shared" si="79"/>
        <v/>
      </c>
      <c r="ED24" t="str">
        <f t="shared" si="79"/>
        <v/>
      </c>
      <c r="EE24" t="str">
        <f t="shared" si="79"/>
        <v/>
      </c>
      <c r="EF24" t="str">
        <f t="shared" si="79"/>
        <v/>
      </c>
      <c r="EG24" t="str">
        <f t="shared" si="79"/>
        <v/>
      </c>
      <c r="EH24" t="str">
        <f t="shared" si="79"/>
        <v/>
      </c>
      <c r="EI24" t="str">
        <f t="shared" si="79"/>
        <v/>
      </c>
      <c r="EJ24" t="str">
        <f t="shared" si="79"/>
        <v/>
      </c>
      <c r="EK24" t="str">
        <f t="shared" si="79"/>
        <v/>
      </c>
      <c r="EL24" t="str">
        <f t="shared" si="79"/>
        <v/>
      </c>
      <c r="EM24" t="str">
        <f t="shared" si="79"/>
        <v/>
      </c>
      <c r="EN24" t="str">
        <f t="shared" si="79"/>
        <v/>
      </c>
      <c r="EO24" t="str">
        <f t="shared" si="79"/>
        <v/>
      </c>
      <c r="EP24" t="str">
        <f t="shared" si="79"/>
        <v/>
      </c>
      <c r="EQ24" t="str">
        <f t="shared" si="79"/>
        <v/>
      </c>
      <c r="ER24" t="str">
        <f t="shared" si="79"/>
        <v/>
      </c>
      <c r="ES24" t="str">
        <f t="shared" si="79"/>
        <v/>
      </c>
    </row>
    <row r="25" spans="1:153">
      <c r="A25" s="7"/>
      <c r="B25" s="81"/>
      <c r="C25" s="81"/>
      <c r="D25" s="81"/>
      <c r="G25" s="82" t="s">
        <v>47</v>
      </c>
      <c r="BC25">
        <f>IFERROR(IF(ISBLANK(BC24),"",BC24+BB25),"")</f>
        <v>-104</v>
      </c>
      <c r="BD25">
        <f t="shared" ref="BD25:DO25" si="80">IFERROR(IF(ISBLANK(BD24),"",BD24+BC25),"")</f>
        <v>-154</v>
      </c>
      <c r="BE25">
        <f t="shared" si="80"/>
        <v>-144</v>
      </c>
      <c r="BF25">
        <f t="shared" si="80"/>
        <v>-88</v>
      </c>
      <c r="BG25">
        <f t="shared" si="80"/>
        <v>-50</v>
      </c>
      <c r="BH25">
        <f t="shared" si="80"/>
        <v>12</v>
      </c>
      <c r="BI25">
        <f t="shared" si="80"/>
        <v>43</v>
      </c>
      <c r="BJ25">
        <f t="shared" si="80"/>
        <v>41</v>
      </c>
      <c r="BK25">
        <f t="shared" si="80"/>
        <v>78</v>
      </c>
      <c r="BL25">
        <f t="shared" si="80"/>
        <v>128</v>
      </c>
      <c r="BM25">
        <f t="shared" si="80"/>
        <v>50</v>
      </c>
      <c r="BN25">
        <f t="shared" si="80"/>
        <v>18</v>
      </c>
      <c r="BO25">
        <f t="shared" si="80"/>
        <v>110</v>
      </c>
      <c r="BP25">
        <f t="shared" si="80"/>
        <v>150</v>
      </c>
      <c r="BQ25">
        <f t="shared" si="80"/>
        <v>0</v>
      </c>
      <c r="BR25">
        <f t="shared" si="80"/>
        <v>-150</v>
      </c>
      <c r="BS25">
        <f t="shared" si="80"/>
        <v>-300</v>
      </c>
      <c r="BT25">
        <f t="shared" si="80"/>
        <v>-298</v>
      </c>
      <c r="BU25">
        <f t="shared" si="80"/>
        <v>-302</v>
      </c>
      <c r="BV25">
        <f t="shared" si="80"/>
        <v>-298</v>
      </c>
      <c r="BW25">
        <f t="shared" si="80"/>
        <v>-308</v>
      </c>
      <c r="BX25">
        <f t="shared" si="80"/>
        <v>-334</v>
      </c>
      <c r="BY25">
        <f t="shared" si="80"/>
        <v>-438</v>
      </c>
      <c r="BZ25">
        <f t="shared" si="80"/>
        <v>-438</v>
      </c>
      <c r="CA25">
        <f t="shared" si="80"/>
        <v>-388</v>
      </c>
      <c r="CB25">
        <f t="shared" si="80"/>
        <v>-322</v>
      </c>
      <c r="CC25">
        <f t="shared" si="80"/>
        <v>-188</v>
      </c>
      <c r="CD25">
        <f t="shared" si="80"/>
        <v>-126</v>
      </c>
      <c r="CE25">
        <f t="shared" si="80"/>
        <v>-74</v>
      </c>
      <c r="CF25">
        <f t="shared" si="80"/>
        <v>-48</v>
      </c>
      <c r="CG25">
        <f t="shared" si="80"/>
        <v>-198</v>
      </c>
      <c r="CH25">
        <f t="shared" si="80"/>
        <v>-348</v>
      </c>
      <c r="CI25">
        <f t="shared" si="80"/>
        <v>-304</v>
      </c>
      <c r="CJ25">
        <f t="shared" si="80"/>
        <v>-212</v>
      </c>
      <c r="CK25">
        <f t="shared" si="80"/>
        <v>-142</v>
      </c>
      <c r="CL25">
        <f t="shared" si="80"/>
        <v>-156</v>
      </c>
      <c r="CM25">
        <f t="shared" si="80"/>
        <v>-260</v>
      </c>
      <c r="CN25">
        <f t="shared" si="80"/>
        <v>-220</v>
      </c>
      <c r="CO25">
        <f t="shared" si="80"/>
        <v>-156</v>
      </c>
      <c r="CP25">
        <f t="shared" si="80"/>
        <v>-122</v>
      </c>
      <c r="CQ25">
        <f t="shared" si="80"/>
        <v>-176</v>
      </c>
      <c r="CR25">
        <f>IFERROR(IF(ISBLANK(CR24),"",CR24+CQ25),"")</f>
        <v>-132</v>
      </c>
      <c r="CS25">
        <f t="shared" si="80"/>
        <v>-102</v>
      </c>
      <c r="CT25">
        <f t="shared" si="80"/>
        <v>-50</v>
      </c>
      <c r="CU25">
        <f t="shared" si="80"/>
        <v>-148</v>
      </c>
      <c r="CV25">
        <f t="shared" si="80"/>
        <v>-72</v>
      </c>
      <c r="CW25">
        <f t="shared" si="80"/>
        <v>20</v>
      </c>
      <c r="CX25">
        <f t="shared" si="80"/>
        <v>170</v>
      </c>
      <c r="CY25">
        <f t="shared" si="80"/>
        <v>244</v>
      </c>
      <c r="CZ25">
        <f t="shared" si="80"/>
        <v>396</v>
      </c>
      <c r="DA25">
        <f t="shared" si="80"/>
        <v>506</v>
      </c>
      <c r="DB25">
        <f t="shared" si="80"/>
        <v>608</v>
      </c>
      <c r="DC25">
        <f t="shared" si="80"/>
        <v>716</v>
      </c>
      <c r="DD25">
        <f t="shared" si="80"/>
        <v>818</v>
      </c>
      <c r="DE25">
        <f t="shared" si="80"/>
        <v>928</v>
      </c>
      <c r="DF25">
        <f t="shared" si="80"/>
        <v>1032</v>
      </c>
      <c r="DG25">
        <f t="shared" si="80"/>
        <v>1184</v>
      </c>
      <c r="DH25">
        <f t="shared" si="80"/>
        <v>1342</v>
      </c>
      <c r="DI25">
        <f t="shared" si="80"/>
        <v>1448</v>
      </c>
      <c r="DJ25">
        <f t="shared" si="80"/>
        <v>1578</v>
      </c>
      <c r="DK25">
        <f t="shared" si="80"/>
        <v>1638</v>
      </c>
      <c r="DL25">
        <f t="shared" si="80"/>
        <v>1746</v>
      </c>
      <c r="DM25">
        <f t="shared" si="80"/>
        <v>1816</v>
      </c>
      <c r="DN25">
        <f t="shared" si="80"/>
        <v>1966</v>
      </c>
      <c r="DO25">
        <f t="shared" si="80"/>
        <v>2118</v>
      </c>
      <c r="DP25">
        <f t="shared" ref="DP25:ES25" si="81">IFERROR(IF(ISBLANK(DP24),"",DP24+DO25),"")</f>
        <v>2206</v>
      </c>
      <c r="DQ25">
        <f t="shared" si="81"/>
        <v>2306</v>
      </c>
      <c r="DR25">
        <f t="shared" si="81"/>
        <v>2392</v>
      </c>
      <c r="DS25">
        <f t="shared" si="81"/>
        <v>2444</v>
      </c>
      <c r="DT25">
        <f t="shared" si="81"/>
        <v>2512</v>
      </c>
      <c r="DU25">
        <f t="shared" si="81"/>
        <v>2576</v>
      </c>
      <c r="DV25">
        <f t="shared" si="81"/>
        <v>2632</v>
      </c>
      <c r="DW25">
        <f t="shared" si="81"/>
        <v>2584</v>
      </c>
      <c r="DX25">
        <f t="shared" si="81"/>
        <v>2610</v>
      </c>
      <c r="DY25">
        <f t="shared" si="81"/>
        <v>2684</v>
      </c>
      <c r="DZ25">
        <f t="shared" si="81"/>
        <v>2694</v>
      </c>
      <c r="EA25" t="str">
        <f t="shared" si="81"/>
        <v/>
      </c>
      <c r="EB25" t="str">
        <f t="shared" si="81"/>
        <v/>
      </c>
      <c r="EC25" t="str">
        <f t="shared" si="81"/>
        <v/>
      </c>
      <c r="ED25" t="str">
        <f t="shared" si="81"/>
        <v/>
      </c>
      <c r="EE25" t="str">
        <f t="shared" si="81"/>
        <v/>
      </c>
      <c r="EF25" t="str">
        <f t="shared" si="81"/>
        <v/>
      </c>
      <c r="EG25" t="str">
        <f t="shared" si="81"/>
        <v/>
      </c>
      <c r="EH25" t="str">
        <f t="shared" si="81"/>
        <v/>
      </c>
      <c r="EI25" t="str">
        <f t="shared" si="81"/>
        <v/>
      </c>
      <c r="EJ25" t="str">
        <f t="shared" si="81"/>
        <v/>
      </c>
      <c r="EK25" t="str">
        <f t="shared" si="81"/>
        <v/>
      </c>
      <c r="EL25" t="str">
        <f t="shared" si="81"/>
        <v/>
      </c>
      <c r="EM25" t="str">
        <f t="shared" si="81"/>
        <v/>
      </c>
      <c r="EN25" t="str">
        <f t="shared" si="81"/>
        <v/>
      </c>
      <c r="EO25" t="str">
        <f t="shared" si="81"/>
        <v/>
      </c>
      <c r="EP25" t="str">
        <f t="shared" si="81"/>
        <v/>
      </c>
      <c r="EQ25" t="str">
        <f t="shared" si="81"/>
        <v/>
      </c>
      <c r="ER25" t="str">
        <f t="shared" si="81"/>
        <v/>
      </c>
      <c r="ES25" t="str">
        <f t="shared" si="81"/>
        <v/>
      </c>
    </row>
    <row r="26" spans="1:153">
      <c r="A26" s="7"/>
      <c r="B26" s="81"/>
      <c r="C26" s="81"/>
      <c r="D26" s="81"/>
      <c r="G26" s="61" t="s">
        <v>48</v>
      </c>
      <c r="BB26" s="81"/>
      <c r="BH26">
        <f t="shared" ref="BH26" si="82">IFERROR(AVERAGE(BB23:BH23),"")</f>
        <v>152</v>
      </c>
      <c r="BI26" s="81"/>
      <c r="BO26">
        <f t="shared" ref="BO26" si="83">IFERROR(AVERAGE(BI23:BO23),"")</f>
        <v>164</v>
      </c>
      <c r="BP26" s="81"/>
      <c r="BV26">
        <f t="shared" ref="BV26" si="84">IFERROR(AVERAGE(BP23:BV23),"")</f>
        <v>91.714285714285708</v>
      </c>
      <c r="BW26" s="81"/>
      <c r="CC26">
        <f t="shared" ref="CC26" si="85">IFERROR(AVERAGE(BW23:CC23),"")</f>
        <v>165.71428571428572</v>
      </c>
      <c r="CD26" s="81"/>
      <c r="CJ26">
        <f t="shared" ref="CJ26" si="86">IFERROR(AVERAGE(CD23:CJ23),"")</f>
        <v>146.57142857142858</v>
      </c>
      <c r="CK26" s="81"/>
      <c r="CQ26">
        <f>IFERROR(AVERAGE(CK23:CQ23),"")</f>
        <v>155.14285714285714</v>
      </c>
      <c r="CR26">
        <f>IFERROR(AVERAGE(CL23:CR23),"")</f>
        <v>151.42857142857142</v>
      </c>
      <c r="CY26">
        <f t="shared" ref="CY26" si="87">IFERROR(AVERAGE(CS23:CY23),"")</f>
        <v>203.71428571428572</v>
      </c>
      <c r="DF26">
        <f t="shared" ref="DF26" si="88">IFERROR(AVERAGE(CZ23:DF23),"")</f>
        <v>262.57142857142856</v>
      </c>
      <c r="DM26">
        <f t="shared" ref="DM26" si="89">IFERROR(AVERAGE(DG23:DM23),"")</f>
        <v>262</v>
      </c>
      <c r="DT26">
        <f t="shared" ref="DT26" si="90">IFERROR(AVERAGE(DN23:DT23),"")</f>
        <v>249.42857142857142</v>
      </c>
      <c r="EA26">
        <f t="shared" ref="EA26" si="91">IFERROR(AVERAGE(DU23:EA23),"")</f>
        <v>180.33333333333334</v>
      </c>
      <c r="EH26" t="str">
        <f t="shared" ref="EH26" si="92">IFERROR(AVERAGE(EB23:EH23),"")</f>
        <v/>
      </c>
      <c r="EO26" t="str">
        <f>IFERROR(AVERAGE(EI23:EO23),"")</f>
        <v/>
      </c>
      <c r="EV26" t="str">
        <f>IFERROR(AVERAGE(EP23:EV23),"")</f>
        <v/>
      </c>
    </row>
    <row r="27" spans="1:153">
      <c r="A27" s="519" t="s">
        <v>49</v>
      </c>
      <c r="B27" s="520"/>
      <c r="C27" s="520"/>
      <c r="D27" s="520"/>
      <c r="E27" s="520"/>
      <c r="F27" s="520"/>
      <c r="G27" s="520"/>
      <c r="AC27" s="83" t="s">
        <v>50</v>
      </c>
      <c r="AD27" s="83" t="s">
        <v>50</v>
      </c>
      <c r="AE27" s="83" t="s">
        <v>50</v>
      </c>
      <c r="AG27" s="83" t="s">
        <v>50</v>
      </c>
      <c r="AH27" s="83" t="s">
        <v>50</v>
      </c>
      <c r="AI27" s="83" t="s">
        <v>50</v>
      </c>
      <c r="AJ27" s="83" t="s">
        <v>50</v>
      </c>
      <c r="AK27" s="83" t="s">
        <v>50</v>
      </c>
      <c r="AP27" s="90" t="s">
        <v>60</v>
      </c>
      <c r="AQ27" s="90" t="s">
        <v>60</v>
      </c>
      <c r="AR27" s="90" t="s">
        <v>60</v>
      </c>
      <c r="AS27" s="90" t="s">
        <v>60</v>
      </c>
      <c r="AT27" s="90" t="s">
        <v>60</v>
      </c>
      <c r="AU27" s="90" t="s">
        <v>60</v>
      </c>
      <c r="AV27" s="90" t="s">
        <v>60</v>
      </c>
      <c r="BF27" s="90" t="s">
        <v>60</v>
      </c>
      <c r="BG27" s="90" t="s">
        <v>60</v>
      </c>
      <c r="BH27" s="90" t="s">
        <v>60</v>
      </c>
      <c r="BI27" s="90" t="s">
        <v>60</v>
      </c>
      <c r="BJ27" s="90" t="s">
        <v>60</v>
      </c>
    </row>
    <row r="28" spans="1:153" s="86" customFormat="1" ht="15.75" thickBot="1">
      <c r="A28" s="84" t="b">
        <f>IF((C28+2.5)&gt;=B28,TRUE,FALSE)</f>
        <v>1</v>
      </c>
      <c r="B28" s="85">
        <v>116.5</v>
      </c>
      <c r="C28" s="85">
        <f>SUM(Y28:XFD28)</f>
        <v>123</v>
      </c>
      <c r="D28" s="85"/>
      <c r="E28" s="86" t="s">
        <v>51</v>
      </c>
      <c r="AC28" s="88">
        <v>2.5</v>
      </c>
      <c r="AD28" s="88">
        <v>2.5</v>
      </c>
      <c r="AE28" s="88">
        <v>2.5</v>
      </c>
      <c r="AG28" s="88">
        <v>2.5</v>
      </c>
      <c r="AH28" s="88">
        <v>2.5</v>
      </c>
      <c r="AI28" s="88">
        <v>2.5</v>
      </c>
      <c r="AJ28" s="88">
        <v>2.5</v>
      </c>
      <c r="AK28" s="88">
        <v>2.5</v>
      </c>
      <c r="AP28" s="88">
        <v>8.5</v>
      </c>
      <c r="AQ28" s="88">
        <v>8.5</v>
      </c>
      <c r="AR28" s="88">
        <v>8.5</v>
      </c>
      <c r="AS28" s="88">
        <v>8.5</v>
      </c>
      <c r="AT28" s="88">
        <v>8.5</v>
      </c>
      <c r="AU28" s="88">
        <v>8.5</v>
      </c>
      <c r="AV28" s="88">
        <v>8.5</v>
      </c>
      <c r="BF28" s="88">
        <v>8.5</v>
      </c>
      <c r="BG28" s="88">
        <v>8.5</v>
      </c>
      <c r="BH28" s="88">
        <v>8.5</v>
      </c>
      <c r="BI28" s="88">
        <v>8.5</v>
      </c>
      <c r="BJ28" s="88">
        <v>9.5</v>
      </c>
    </row>
    <row r="29" spans="1:153" s="77" customFormat="1">
      <c r="A29" s="73"/>
      <c r="B29" s="74"/>
      <c r="C29" s="74"/>
      <c r="D29" s="74"/>
      <c r="E29" s="75" t="s">
        <v>64</v>
      </c>
      <c r="F29" s="74"/>
      <c r="G29" s="76" t="s">
        <v>36</v>
      </c>
      <c r="BI29" s="79" t="s">
        <v>56</v>
      </c>
      <c r="BJ29" s="79" t="s">
        <v>56</v>
      </c>
      <c r="BK29" s="79" t="s">
        <v>56</v>
      </c>
      <c r="BL29" s="79" t="s">
        <v>56</v>
      </c>
      <c r="BM29" s="79" t="s">
        <v>56</v>
      </c>
      <c r="BN29" s="79" t="s">
        <v>56</v>
      </c>
      <c r="BO29" s="79" t="s">
        <v>56</v>
      </c>
      <c r="BP29" s="79" t="s">
        <v>56</v>
      </c>
      <c r="BQ29" s="79" t="s">
        <v>56</v>
      </c>
      <c r="BR29" s="80" t="s">
        <v>40</v>
      </c>
      <c r="BS29" s="80" t="s">
        <v>40</v>
      </c>
      <c r="BT29" s="80" t="s">
        <v>40</v>
      </c>
      <c r="BU29" s="80" t="s">
        <v>40</v>
      </c>
      <c r="BV29" s="80" t="s">
        <v>40</v>
      </c>
      <c r="BW29" s="80" t="s">
        <v>40</v>
      </c>
      <c r="BX29" s="80" t="s">
        <v>40</v>
      </c>
      <c r="BY29" s="80" t="s">
        <v>40</v>
      </c>
      <c r="BZ29" s="80" t="s">
        <v>40</v>
      </c>
      <c r="CA29" s="80" t="s">
        <v>40</v>
      </c>
      <c r="CB29" s="80" t="s">
        <v>40</v>
      </c>
      <c r="CC29" s="80" t="s">
        <v>40</v>
      </c>
      <c r="CD29" s="80" t="s">
        <v>40</v>
      </c>
      <c r="CE29" s="80" t="s">
        <v>40</v>
      </c>
      <c r="CF29" s="91" t="s">
        <v>40</v>
      </c>
      <c r="CG29" s="91" t="s">
        <v>40</v>
      </c>
      <c r="CH29" s="91" t="s">
        <v>39</v>
      </c>
      <c r="CI29" s="91" t="s">
        <v>39</v>
      </c>
      <c r="CJ29" s="91" t="s">
        <v>39</v>
      </c>
      <c r="CK29" s="91" t="s">
        <v>39</v>
      </c>
      <c r="CL29" s="91" t="s">
        <v>39</v>
      </c>
      <c r="CM29" s="91" t="s">
        <v>39</v>
      </c>
      <c r="CN29" s="91" t="s">
        <v>39</v>
      </c>
      <c r="CO29" s="91" t="s">
        <v>39</v>
      </c>
      <c r="CP29" s="91" t="s">
        <v>39</v>
      </c>
      <c r="CQ29" s="91" t="s">
        <v>39</v>
      </c>
      <c r="CR29" s="91" t="s">
        <v>39</v>
      </c>
      <c r="CS29" s="91" t="s">
        <v>39</v>
      </c>
      <c r="CT29" s="91" t="s">
        <v>39</v>
      </c>
      <c r="CU29" s="91" t="s">
        <v>39</v>
      </c>
      <c r="CV29" s="91" t="s">
        <v>39</v>
      </c>
      <c r="CW29" s="91" t="s">
        <v>39</v>
      </c>
      <c r="CX29" s="91" t="s">
        <v>39</v>
      </c>
      <c r="CY29" s="91" t="s">
        <v>39</v>
      </c>
      <c r="CZ29" s="91" t="s">
        <v>39</v>
      </c>
      <c r="DA29" s="91" t="s">
        <v>39</v>
      </c>
      <c r="DB29" s="91" t="s">
        <v>39</v>
      </c>
      <c r="DC29" s="91" t="s">
        <v>39</v>
      </c>
      <c r="DD29" s="91" t="s">
        <v>39</v>
      </c>
      <c r="DE29" s="91" t="s">
        <v>39</v>
      </c>
      <c r="DF29" s="91" t="s">
        <v>39</v>
      </c>
      <c r="DG29" s="91" t="s">
        <v>39</v>
      </c>
      <c r="DH29" s="91" t="s">
        <v>39</v>
      </c>
      <c r="DI29" s="91" t="s">
        <v>39</v>
      </c>
      <c r="DJ29" s="91" t="s">
        <v>39</v>
      </c>
      <c r="DK29" s="91" t="s">
        <v>39</v>
      </c>
      <c r="DL29" s="91" t="s">
        <v>39</v>
      </c>
      <c r="DM29" s="91" t="s">
        <v>39</v>
      </c>
      <c r="DN29" s="91" t="s">
        <v>39</v>
      </c>
      <c r="DO29" s="91" t="s">
        <v>39</v>
      </c>
      <c r="DP29" s="91" t="s">
        <v>39</v>
      </c>
      <c r="DQ29" s="91" t="s">
        <v>39</v>
      </c>
      <c r="DR29" s="91" t="s">
        <v>39</v>
      </c>
      <c r="DS29" s="91" t="s">
        <v>39</v>
      </c>
      <c r="DT29" s="91" t="s">
        <v>39</v>
      </c>
      <c r="DU29" s="91" t="s">
        <v>39</v>
      </c>
      <c r="DV29" s="91" t="s">
        <v>39</v>
      </c>
      <c r="DW29" s="91" t="s">
        <v>39</v>
      </c>
      <c r="DX29" s="91" t="s">
        <v>39</v>
      </c>
      <c r="DY29" s="91" t="s">
        <v>39</v>
      </c>
      <c r="DZ29" s="91" t="s">
        <v>39</v>
      </c>
      <c r="EA29" s="91" t="s">
        <v>39</v>
      </c>
      <c r="EB29" s="91" t="s">
        <v>39</v>
      </c>
      <c r="EC29" s="91" t="s">
        <v>39</v>
      </c>
      <c r="ED29" s="91" t="s">
        <v>39</v>
      </c>
      <c r="EE29" s="91" t="s">
        <v>39</v>
      </c>
      <c r="EF29" s="91" t="s">
        <v>39</v>
      </c>
      <c r="EG29" s="91" t="s">
        <v>39</v>
      </c>
      <c r="EH29" s="91" t="s">
        <v>39</v>
      </c>
      <c r="EI29" s="91" t="s">
        <v>39</v>
      </c>
      <c r="EJ29" s="91" t="s">
        <v>39</v>
      </c>
      <c r="EK29" s="91" t="s">
        <v>39</v>
      </c>
      <c r="EL29" s="91" t="s">
        <v>39</v>
      </c>
      <c r="EM29" s="91" t="s">
        <v>39</v>
      </c>
      <c r="EN29" s="91" t="s">
        <v>39</v>
      </c>
      <c r="EO29" s="91" t="s">
        <v>39</v>
      </c>
      <c r="EP29" s="91" t="s">
        <v>39</v>
      </c>
      <c r="EQ29" s="91" t="s">
        <v>39</v>
      </c>
      <c r="ER29" s="93" t="s">
        <v>65</v>
      </c>
      <c r="ES29" s="93" t="s">
        <v>65</v>
      </c>
      <c r="ET29" s="93" t="s">
        <v>65</v>
      </c>
      <c r="EU29" s="93" t="s">
        <v>65</v>
      </c>
    </row>
    <row r="30" spans="1:153">
      <c r="A30" s="7" t="e">
        <f>IF((C30+200)&gt;=B30,TRUE,FALSE)</f>
        <v>#REF!</v>
      </c>
      <c r="B30" s="81" t="e">
        <f>(29549.1-#REF!)/2</f>
        <v>#REF!</v>
      </c>
      <c r="C30" s="81">
        <f>SUM(Y30:XFD30)</f>
        <v>13850</v>
      </c>
      <c r="D30" s="81"/>
      <c r="E30" t="s">
        <v>42</v>
      </c>
      <c r="F30" t="s">
        <v>66</v>
      </c>
      <c r="G30" s="82" t="s">
        <v>44</v>
      </c>
      <c r="BI30">
        <v>150</v>
      </c>
      <c r="BJ30">
        <v>150</v>
      </c>
      <c r="BK30">
        <v>150</v>
      </c>
      <c r="BL30">
        <v>150</v>
      </c>
      <c r="BM30">
        <v>150</v>
      </c>
      <c r="BN30">
        <v>150</v>
      </c>
      <c r="BO30">
        <v>150</v>
      </c>
      <c r="BP30">
        <v>150</v>
      </c>
      <c r="BQ30">
        <v>150</v>
      </c>
      <c r="BR30">
        <v>150</v>
      </c>
      <c r="BS30">
        <v>150</v>
      </c>
      <c r="BT30">
        <v>150</v>
      </c>
      <c r="BU30">
        <v>150</v>
      </c>
      <c r="BV30">
        <v>150</v>
      </c>
      <c r="BW30">
        <v>150</v>
      </c>
      <c r="BX30">
        <v>150</v>
      </c>
      <c r="BY30">
        <v>150</v>
      </c>
      <c r="BZ30">
        <v>150</v>
      </c>
      <c r="CA30">
        <v>150</v>
      </c>
      <c r="CB30">
        <v>150</v>
      </c>
      <c r="CC30">
        <v>150</v>
      </c>
      <c r="CD30">
        <v>150</v>
      </c>
      <c r="CE30">
        <v>150</v>
      </c>
      <c r="CF30">
        <v>150</v>
      </c>
      <c r="CG30">
        <v>150</v>
      </c>
      <c r="CH30">
        <v>150</v>
      </c>
      <c r="CI30">
        <v>150</v>
      </c>
      <c r="CJ30">
        <v>150</v>
      </c>
      <c r="CK30">
        <v>150</v>
      </c>
      <c r="CL30">
        <v>150</v>
      </c>
      <c r="CM30">
        <v>150</v>
      </c>
      <c r="CN30">
        <v>150</v>
      </c>
      <c r="CO30">
        <v>150</v>
      </c>
      <c r="CP30">
        <v>150</v>
      </c>
      <c r="CQ30">
        <v>150</v>
      </c>
      <c r="CR30">
        <v>150</v>
      </c>
      <c r="CS30">
        <v>150</v>
      </c>
      <c r="CT30">
        <v>150</v>
      </c>
      <c r="CU30">
        <v>150</v>
      </c>
      <c r="CV30">
        <v>150</v>
      </c>
      <c r="CW30">
        <v>150</v>
      </c>
      <c r="CX30">
        <v>150</v>
      </c>
      <c r="CY30">
        <v>150</v>
      </c>
      <c r="CZ30">
        <v>150</v>
      </c>
      <c r="DA30">
        <v>150</v>
      </c>
      <c r="DB30">
        <v>150</v>
      </c>
      <c r="DC30">
        <v>150</v>
      </c>
      <c r="DD30">
        <v>150</v>
      </c>
      <c r="DE30">
        <v>150</v>
      </c>
      <c r="DF30">
        <v>150</v>
      </c>
      <c r="DG30">
        <v>150</v>
      </c>
      <c r="DH30">
        <v>150</v>
      </c>
      <c r="DI30">
        <v>150</v>
      </c>
      <c r="DJ30">
        <v>150</v>
      </c>
      <c r="DK30">
        <v>150</v>
      </c>
      <c r="DL30">
        <v>150</v>
      </c>
      <c r="DM30">
        <v>150</v>
      </c>
      <c r="DN30">
        <v>150</v>
      </c>
      <c r="DO30">
        <v>150</v>
      </c>
      <c r="DP30">
        <v>150</v>
      </c>
      <c r="DQ30">
        <v>150</v>
      </c>
      <c r="DR30">
        <v>150</v>
      </c>
      <c r="DS30">
        <v>150</v>
      </c>
      <c r="DT30">
        <v>150</v>
      </c>
      <c r="DU30">
        <v>150</v>
      </c>
      <c r="DV30">
        <v>150</v>
      </c>
      <c r="DW30">
        <v>150</v>
      </c>
      <c r="DX30">
        <v>150</v>
      </c>
      <c r="DY30">
        <v>150</v>
      </c>
      <c r="DZ30">
        <v>150</v>
      </c>
      <c r="EA30">
        <v>150</v>
      </c>
      <c r="EB30">
        <v>150</v>
      </c>
      <c r="EC30">
        <v>150</v>
      </c>
      <c r="ED30">
        <v>150</v>
      </c>
      <c r="EE30">
        <v>150</v>
      </c>
      <c r="EF30">
        <v>150</v>
      </c>
      <c r="EG30">
        <v>150</v>
      </c>
      <c r="EH30">
        <v>150</v>
      </c>
      <c r="EI30">
        <v>150</v>
      </c>
      <c r="EJ30">
        <v>150</v>
      </c>
      <c r="EK30">
        <v>150</v>
      </c>
      <c r="EL30">
        <v>150</v>
      </c>
      <c r="EM30">
        <v>150</v>
      </c>
      <c r="EN30">
        <v>150</v>
      </c>
      <c r="EO30">
        <v>150</v>
      </c>
      <c r="EP30">
        <v>150</v>
      </c>
      <c r="EQ30">
        <v>150</v>
      </c>
      <c r="ER30">
        <v>200</v>
      </c>
      <c r="ES30">
        <v>200</v>
      </c>
      <c r="ET30">
        <v>200</v>
      </c>
      <c r="EU30">
        <v>200</v>
      </c>
    </row>
    <row r="31" spans="1:153">
      <c r="A31" s="7"/>
      <c r="B31" s="81"/>
      <c r="C31" s="81"/>
      <c r="D31" s="81"/>
      <c r="G31" s="82" t="s">
        <v>22</v>
      </c>
    </row>
    <row r="32" spans="1:153">
      <c r="A32" s="7"/>
      <c r="B32" s="81"/>
      <c r="C32" s="81"/>
      <c r="D32" s="81"/>
      <c r="G32" s="82" t="s">
        <v>46</v>
      </c>
      <c r="BI32" t="str">
        <f>IF(ISBLANK(BI31),"",BI31-BI30)</f>
        <v/>
      </c>
      <c r="BJ32" t="str">
        <f t="shared" ref="BJ32:DU32" si="93">IF(ISBLANK(BJ31),"",BJ31-BJ30)</f>
        <v/>
      </c>
      <c r="BK32" t="str">
        <f t="shared" si="93"/>
        <v/>
      </c>
      <c r="BL32" t="str">
        <f t="shared" si="93"/>
        <v/>
      </c>
      <c r="BM32" t="str">
        <f t="shared" si="93"/>
        <v/>
      </c>
      <c r="BN32" t="str">
        <f t="shared" si="93"/>
        <v/>
      </c>
      <c r="BO32" t="str">
        <f t="shared" si="93"/>
        <v/>
      </c>
      <c r="BP32" t="str">
        <f t="shared" si="93"/>
        <v/>
      </c>
      <c r="BQ32" t="str">
        <f t="shared" si="93"/>
        <v/>
      </c>
      <c r="BR32" t="str">
        <f t="shared" si="93"/>
        <v/>
      </c>
      <c r="BS32" t="str">
        <f t="shared" si="93"/>
        <v/>
      </c>
      <c r="BT32" t="str">
        <f t="shared" si="93"/>
        <v/>
      </c>
      <c r="BU32" t="str">
        <f t="shared" si="93"/>
        <v/>
      </c>
      <c r="BV32" t="str">
        <f t="shared" si="93"/>
        <v/>
      </c>
      <c r="BW32" t="str">
        <f t="shared" si="93"/>
        <v/>
      </c>
      <c r="BX32" t="str">
        <f t="shared" si="93"/>
        <v/>
      </c>
      <c r="BY32" t="str">
        <f t="shared" si="93"/>
        <v/>
      </c>
      <c r="BZ32" t="str">
        <f t="shared" si="93"/>
        <v/>
      </c>
      <c r="CA32" t="str">
        <f t="shared" si="93"/>
        <v/>
      </c>
      <c r="CB32" t="str">
        <f t="shared" si="93"/>
        <v/>
      </c>
      <c r="CC32" t="str">
        <f t="shared" si="93"/>
        <v/>
      </c>
      <c r="CD32" t="str">
        <f t="shared" si="93"/>
        <v/>
      </c>
      <c r="CE32" t="str">
        <f t="shared" si="93"/>
        <v/>
      </c>
      <c r="CF32" t="str">
        <f t="shared" si="93"/>
        <v/>
      </c>
      <c r="CG32" t="str">
        <f t="shared" si="93"/>
        <v/>
      </c>
      <c r="CH32" t="str">
        <f t="shared" si="93"/>
        <v/>
      </c>
      <c r="CI32" t="str">
        <f t="shared" si="93"/>
        <v/>
      </c>
      <c r="CJ32" t="str">
        <f t="shared" si="93"/>
        <v/>
      </c>
      <c r="CK32" t="str">
        <f t="shared" si="93"/>
        <v/>
      </c>
      <c r="CL32" t="str">
        <f t="shared" si="93"/>
        <v/>
      </c>
      <c r="CM32" t="str">
        <f t="shared" si="93"/>
        <v/>
      </c>
      <c r="CN32" t="str">
        <f t="shared" si="93"/>
        <v/>
      </c>
      <c r="CO32" t="str">
        <f t="shared" si="93"/>
        <v/>
      </c>
      <c r="CP32" t="str">
        <f t="shared" si="93"/>
        <v/>
      </c>
      <c r="CQ32" t="str">
        <f t="shared" si="93"/>
        <v/>
      </c>
      <c r="CR32" t="str">
        <f t="shared" si="93"/>
        <v/>
      </c>
      <c r="CS32" t="str">
        <f t="shared" si="93"/>
        <v/>
      </c>
      <c r="CT32" t="str">
        <f t="shared" si="93"/>
        <v/>
      </c>
      <c r="CU32" t="str">
        <f t="shared" si="93"/>
        <v/>
      </c>
      <c r="CV32" t="str">
        <f t="shared" si="93"/>
        <v/>
      </c>
      <c r="CW32" t="str">
        <f t="shared" si="93"/>
        <v/>
      </c>
      <c r="CX32" t="str">
        <f t="shared" si="93"/>
        <v/>
      </c>
      <c r="CY32" t="str">
        <f t="shared" si="93"/>
        <v/>
      </c>
      <c r="CZ32" t="str">
        <f t="shared" si="93"/>
        <v/>
      </c>
      <c r="DA32" t="str">
        <f t="shared" si="93"/>
        <v/>
      </c>
      <c r="DB32" t="str">
        <f t="shared" si="93"/>
        <v/>
      </c>
      <c r="DC32" t="str">
        <f t="shared" si="93"/>
        <v/>
      </c>
      <c r="DD32" t="str">
        <f t="shared" si="93"/>
        <v/>
      </c>
      <c r="DE32" t="str">
        <f t="shared" si="93"/>
        <v/>
      </c>
      <c r="DF32" t="str">
        <f t="shared" si="93"/>
        <v/>
      </c>
      <c r="DG32" t="str">
        <f t="shared" si="93"/>
        <v/>
      </c>
      <c r="DH32" t="str">
        <f t="shared" si="93"/>
        <v/>
      </c>
      <c r="DI32" t="str">
        <f t="shared" si="93"/>
        <v/>
      </c>
      <c r="DJ32" t="str">
        <f t="shared" si="93"/>
        <v/>
      </c>
      <c r="DK32" t="str">
        <f t="shared" si="93"/>
        <v/>
      </c>
      <c r="DL32" t="str">
        <f t="shared" si="93"/>
        <v/>
      </c>
      <c r="DM32" t="str">
        <f t="shared" si="93"/>
        <v/>
      </c>
      <c r="DN32" t="str">
        <f t="shared" si="93"/>
        <v/>
      </c>
      <c r="DO32" t="str">
        <f t="shared" si="93"/>
        <v/>
      </c>
      <c r="DP32" t="str">
        <f t="shared" si="93"/>
        <v/>
      </c>
      <c r="DQ32" t="str">
        <f t="shared" si="93"/>
        <v/>
      </c>
      <c r="DR32" t="str">
        <f t="shared" si="93"/>
        <v/>
      </c>
      <c r="DS32" t="str">
        <f t="shared" si="93"/>
        <v/>
      </c>
      <c r="DT32" t="str">
        <f t="shared" si="93"/>
        <v/>
      </c>
      <c r="DU32" t="str">
        <f t="shared" si="93"/>
        <v/>
      </c>
      <c r="DV32" t="str">
        <f t="shared" ref="DV32:EU32" si="94">IF(ISBLANK(DV31),"",DV31-DV30)</f>
        <v/>
      </c>
      <c r="DW32" t="str">
        <f t="shared" si="94"/>
        <v/>
      </c>
      <c r="DX32" t="str">
        <f t="shared" si="94"/>
        <v/>
      </c>
      <c r="DY32" t="str">
        <f t="shared" si="94"/>
        <v/>
      </c>
      <c r="DZ32" t="str">
        <f t="shared" si="94"/>
        <v/>
      </c>
      <c r="EA32" t="str">
        <f t="shared" si="94"/>
        <v/>
      </c>
      <c r="EB32" t="str">
        <f t="shared" si="94"/>
        <v/>
      </c>
      <c r="EC32" t="str">
        <f t="shared" si="94"/>
        <v/>
      </c>
      <c r="ED32" t="str">
        <f t="shared" si="94"/>
        <v/>
      </c>
      <c r="EE32" t="str">
        <f t="shared" si="94"/>
        <v/>
      </c>
      <c r="EF32" t="str">
        <f t="shared" si="94"/>
        <v/>
      </c>
      <c r="EG32" t="str">
        <f t="shared" si="94"/>
        <v/>
      </c>
      <c r="EH32" t="str">
        <f t="shared" si="94"/>
        <v/>
      </c>
      <c r="EI32" t="str">
        <f t="shared" si="94"/>
        <v/>
      </c>
      <c r="EJ32" t="str">
        <f t="shared" si="94"/>
        <v/>
      </c>
      <c r="EK32" t="str">
        <f t="shared" si="94"/>
        <v/>
      </c>
      <c r="EL32" t="str">
        <f t="shared" si="94"/>
        <v/>
      </c>
      <c r="EM32" t="str">
        <f t="shared" si="94"/>
        <v/>
      </c>
      <c r="EN32" t="str">
        <f t="shared" si="94"/>
        <v/>
      </c>
      <c r="EO32" t="str">
        <f t="shared" si="94"/>
        <v/>
      </c>
      <c r="EP32" t="str">
        <f t="shared" si="94"/>
        <v/>
      </c>
      <c r="EQ32" t="str">
        <f t="shared" si="94"/>
        <v/>
      </c>
      <c r="ER32" t="str">
        <f t="shared" si="94"/>
        <v/>
      </c>
      <c r="ES32" t="str">
        <f t="shared" si="94"/>
        <v/>
      </c>
      <c r="ET32" t="str">
        <f t="shared" si="94"/>
        <v/>
      </c>
      <c r="EU32" t="str">
        <f t="shared" si="94"/>
        <v/>
      </c>
    </row>
    <row r="33" spans="1:151">
      <c r="A33" s="7"/>
      <c r="B33" s="81"/>
      <c r="C33" s="81"/>
      <c r="D33" s="81"/>
      <c r="G33" s="82" t="s">
        <v>47</v>
      </c>
      <c r="BI33" t="str">
        <f>IFERROR(IF(ISBLANK(BI32),"",BI32+BH33),"")</f>
        <v/>
      </c>
      <c r="BJ33" t="str">
        <f t="shared" ref="BJ33:DU33" si="95">IFERROR(IF(ISBLANK(BJ32),"",BJ32+BI33),"")</f>
        <v/>
      </c>
      <c r="BK33" t="str">
        <f t="shared" si="95"/>
        <v/>
      </c>
      <c r="BL33" t="str">
        <f t="shared" si="95"/>
        <v/>
      </c>
      <c r="BM33" t="str">
        <f t="shared" si="95"/>
        <v/>
      </c>
      <c r="BN33" t="str">
        <f t="shared" si="95"/>
        <v/>
      </c>
      <c r="BO33" t="str">
        <f t="shared" si="95"/>
        <v/>
      </c>
      <c r="BP33" t="str">
        <f t="shared" si="95"/>
        <v/>
      </c>
      <c r="BQ33" t="str">
        <f t="shared" si="95"/>
        <v/>
      </c>
      <c r="BR33" t="str">
        <f t="shared" si="95"/>
        <v/>
      </c>
      <c r="BS33" t="str">
        <f t="shared" si="95"/>
        <v/>
      </c>
      <c r="BT33" t="str">
        <f t="shared" si="95"/>
        <v/>
      </c>
      <c r="BU33" t="str">
        <f t="shared" si="95"/>
        <v/>
      </c>
      <c r="BV33" t="str">
        <f t="shared" si="95"/>
        <v/>
      </c>
      <c r="BW33" t="str">
        <f t="shared" si="95"/>
        <v/>
      </c>
      <c r="BX33" t="str">
        <f t="shared" si="95"/>
        <v/>
      </c>
      <c r="BY33" t="str">
        <f t="shared" si="95"/>
        <v/>
      </c>
      <c r="BZ33" t="str">
        <f t="shared" si="95"/>
        <v/>
      </c>
      <c r="CA33" t="str">
        <f t="shared" si="95"/>
        <v/>
      </c>
      <c r="CB33" t="str">
        <f t="shared" si="95"/>
        <v/>
      </c>
      <c r="CC33" t="str">
        <f t="shared" si="95"/>
        <v/>
      </c>
      <c r="CD33" t="str">
        <f t="shared" si="95"/>
        <v/>
      </c>
      <c r="CE33" t="str">
        <f t="shared" si="95"/>
        <v/>
      </c>
      <c r="CF33" t="str">
        <f t="shared" si="95"/>
        <v/>
      </c>
      <c r="CG33" t="str">
        <f t="shared" si="95"/>
        <v/>
      </c>
      <c r="CH33" t="str">
        <f t="shared" si="95"/>
        <v/>
      </c>
      <c r="CI33" t="str">
        <f t="shared" si="95"/>
        <v/>
      </c>
      <c r="CJ33" t="str">
        <f t="shared" si="95"/>
        <v/>
      </c>
      <c r="CK33" t="str">
        <f t="shared" si="95"/>
        <v/>
      </c>
      <c r="CL33" t="str">
        <f t="shared" si="95"/>
        <v/>
      </c>
      <c r="CM33" t="str">
        <f t="shared" si="95"/>
        <v/>
      </c>
      <c r="CN33" t="str">
        <f t="shared" si="95"/>
        <v/>
      </c>
      <c r="CO33" t="str">
        <f t="shared" si="95"/>
        <v/>
      </c>
      <c r="CP33" t="str">
        <f t="shared" si="95"/>
        <v/>
      </c>
      <c r="CQ33" t="str">
        <f t="shared" si="95"/>
        <v/>
      </c>
      <c r="CR33" t="str">
        <f t="shared" si="95"/>
        <v/>
      </c>
      <c r="CS33" t="str">
        <f t="shared" si="95"/>
        <v/>
      </c>
      <c r="CT33" t="str">
        <f t="shared" si="95"/>
        <v/>
      </c>
      <c r="CU33" t="str">
        <f t="shared" si="95"/>
        <v/>
      </c>
      <c r="CV33" t="str">
        <f t="shared" si="95"/>
        <v/>
      </c>
      <c r="CW33" t="str">
        <f t="shared" si="95"/>
        <v/>
      </c>
      <c r="CX33" t="str">
        <f t="shared" si="95"/>
        <v/>
      </c>
      <c r="CY33" t="str">
        <f t="shared" si="95"/>
        <v/>
      </c>
      <c r="CZ33" t="str">
        <f t="shared" si="95"/>
        <v/>
      </c>
      <c r="DA33" t="str">
        <f t="shared" si="95"/>
        <v/>
      </c>
      <c r="DB33" t="str">
        <f t="shared" si="95"/>
        <v/>
      </c>
      <c r="DC33" t="str">
        <f t="shared" si="95"/>
        <v/>
      </c>
      <c r="DD33" t="str">
        <f t="shared" si="95"/>
        <v/>
      </c>
      <c r="DE33" t="str">
        <f t="shared" si="95"/>
        <v/>
      </c>
      <c r="DF33" t="str">
        <f t="shared" si="95"/>
        <v/>
      </c>
      <c r="DG33" t="str">
        <f t="shared" si="95"/>
        <v/>
      </c>
      <c r="DH33" t="str">
        <f t="shared" si="95"/>
        <v/>
      </c>
      <c r="DI33" t="str">
        <f t="shared" si="95"/>
        <v/>
      </c>
      <c r="DJ33" t="str">
        <f t="shared" si="95"/>
        <v/>
      </c>
      <c r="DK33" t="str">
        <f t="shared" si="95"/>
        <v/>
      </c>
      <c r="DL33" t="str">
        <f t="shared" si="95"/>
        <v/>
      </c>
      <c r="DM33" t="str">
        <f t="shared" si="95"/>
        <v/>
      </c>
      <c r="DN33" t="str">
        <f t="shared" si="95"/>
        <v/>
      </c>
      <c r="DO33" t="str">
        <f t="shared" si="95"/>
        <v/>
      </c>
      <c r="DP33" t="str">
        <f t="shared" si="95"/>
        <v/>
      </c>
      <c r="DQ33" t="str">
        <f t="shared" si="95"/>
        <v/>
      </c>
      <c r="DR33" t="str">
        <f t="shared" si="95"/>
        <v/>
      </c>
      <c r="DS33" t="str">
        <f t="shared" si="95"/>
        <v/>
      </c>
      <c r="DT33" t="str">
        <f t="shared" si="95"/>
        <v/>
      </c>
      <c r="DU33" t="str">
        <f t="shared" si="95"/>
        <v/>
      </c>
      <c r="DV33" t="str">
        <f t="shared" ref="DV33:EU33" si="96">IFERROR(IF(ISBLANK(DV32),"",DV32+DU33),"")</f>
        <v/>
      </c>
      <c r="DW33" t="str">
        <f t="shared" si="96"/>
        <v/>
      </c>
      <c r="DX33" t="str">
        <f t="shared" si="96"/>
        <v/>
      </c>
      <c r="DY33" t="str">
        <f t="shared" si="96"/>
        <v/>
      </c>
      <c r="DZ33" t="str">
        <f t="shared" si="96"/>
        <v/>
      </c>
      <c r="EA33" t="str">
        <f t="shared" si="96"/>
        <v/>
      </c>
      <c r="EB33" t="str">
        <f t="shared" si="96"/>
        <v/>
      </c>
      <c r="EC33" t="str">
        <f t="shared" si="96"/>
        <v/>
      </c>
      <c r="ED33" t="str">
        <f t="shared" si="96"/>
        <v/>
      </c>
      <c r="EE33" t="str">
        <f t="shared" si="96"/>
        <v/>
      </c>
      <c r="EF33" t="str">
        <f t="shared" si="96"/>
        <v/>
      </c>
      <c r="EG33" t="str">
        <f t="shared" si="96"/>
        <v/>
      </c>
      <c r="EH33" t="str">
        <f t="shared" si="96"/>
        <v/>
      </c>
      <c r="EI33" t="str">
        <f t="shared" si="96"/>
        <v/>
      </c>
      <c r="EJ33" t="str">
        <f t="shared" si="96"/>
        <v/>
      </c>
      <c r="EK33" t="str">
        <f t="shared" si="96"/>
        <v/>
      </c>
      <c r="EL33" t="str">
        <f t="shared" si="96"/>
        <v/>
      </c>
      <c r="EM33" t="str">
        <f t="shared" si="96"/>
        <v/>
      </c>
      <c r="EN33" t="str">
        <f t="shared" si="96"/>
        <v/>
      </c>
      <c r="EO33" t="str">
        <f t="shared" si="96"/>
        <v/>
      </c>
      <c r="EP33" t="str">
        <f t="shared" si="96"/>
        <v/>
      </c>
      <c r="EQ33" t="str">
        <f t="shared" si="96"/>
        <v/>
      </c>
      <c r="ER33" t="str">
        <f t="shared" si="96"/>
        <v/>
      </c>
      <c r="ES33" t="str">
        <f t="shared" si="96"/>
        <v/>
      </c>
      <c r="ET33" t="str">
        <f t="shared" si="96"/>
        <v/>
      </c>
      <c r="EU33" t="str">
        <f t="shared" si="96"/>
        <v/>
      </c>
    </row>
    <row r="34" spans="1:151">
      <c r="A34" s="7"/>
      <c r="B34" s="81"/>
      <c r="C34" s="81"/>
      <c r="D34" s="81"/>
    </row>
    <row r="35" spans="1:151">
      <c r="A35" s="519" t="s">
        <v>49</v>
      </c>
      <c r="B35" s="520"/>
      <c r="C35" s="520"/>
      <c r="D35" s="520"/>
      <c r="E35" s="520"/>
      <c r="F35" s="520"/>
      <c r="G35" s="520"/>
      <c r="AE35" s="83" t="s">
        <v>50</v>
      </c>
      <c r="AF35" s="83" t="s">
        <v>50</v>
      </c>
      <c r="AG35" s="83" t="s">
        <v>50</v>
      </c>
      <c r="AW35" s="90" t="s">
        <v>60</v>
      </c>
      <c r="AX35" s="90" t="s">
        <v>60</v>
      </c>
      <c r="AY35" s="90" t="s">
        <v>60</v>
      </c>
      <c r="AZ35" s="90" t="s">
        <v>60</v>
      </c>
      <c r="BA35" s="90" t="s">
        <v>60</v>
      </c>
      <c r="BB35" s="90" t="s">
        <v>60</v>
      </c>
      <c r="BC35" s="90" t="s">
        <v>60</v>
      </c>
      <c r="BD35" s="90" t="s">
        <v>60</v>
      </c>
      <c r="BE35" s="90" t="s">
        <v>60</v>
      </c>
      <c r="BK35" s="90" t="s">
        <v>60</v>
      </c>
      <c r="BL35" s="90" t="s">
        <v>60</v>
      </c>
      <c r="BM35" s="90" t="s">
        <v>60</v>
      </c>
      <c r="BN35" s="90" t="s">
        <v>60</v>
      </c>
    </row>
    <row r="36" spans="1:151" s="86" customFormat="1" ht="15.75" thickBot="1">
      <c r="A36" s="84" t="b">
        <f>IF((C36+2.5)&gt;=B36,TRUE,FALSE)</f>
        <v>1</v>
      </c>
      <c r="B36" s="85">
        <v>117.5</v>
      </c>
      <c r="C36" s="85">
        <f>SUM(Y36:XFD36)</f>
        <v>118</v>
      </c>
      <c r="D36" s="85"/>
      <c r="E36" s="86" t="s">
        <v>51</v>
      </c>
      <c r="AE36" s="88">
        <v>2.5</v>
      </c>
      <c r="AF36" s="88">
        <v>2.5</v>
      </c>
      <c r="AG36" s="88">
        <v>2.5</v>
      </c>
      <c r="AW36" s="88">
        <v>8.5</v>
      </c>
      <c r="AX36" s="88">
        <v>8.5</v>
      </c>
      <c r="AY36" s="88">
        <v>8.5</v>
      </c>
      <c r="AZ36" s="88">
        <v>8.5</v>
      </c>
      <c r="BA36" s="88">
        <v>8.5</v>
      </c>
      <c r="BB36" s="88">
        <v>8.5</v>
      </c>
      <c r="BC36" s="88">
        <v>8.5</v>
      </c>
      <c r="BD36" s="88">
        <v>8.5</v>
      </c>
      <c r="BE36" s="88">
        <v>8.5</v>
      </c>
      <c r="BK36" s="88">
        <v>8.5</v>
      </c>
      <c r="BL36" s="88">
        <v>8.5</v>
      </c>
      <c r="BM36" s="88">
        <v>8.5</v>
      </c>
      <c r="BN36" s="88">
        <v>8.5</v>
      </c>
    </row>
    <row r="37" spans="1:151" s="77" customFormat="1">
      <c r="A37" s="73"/>
      <c r="B37" s="74"/>
      <c r="C37" s="74"/>
      <c r="D37" s="74"/>
      <c r="E37" s="75" t="s">
        <v>67</v>
      </c>
      <c r="F37" s="74"/>
      <c r="G37" s="76" t="s">
        <v>36</v>
      </c>
      <c r="BS37" s="94" t="s">
        <v>68</v>
      </c>
      <c r="BT37" s="94" t="s">
        <v>68</v>
      </c>
      <c r="BU37" s="94" t="s">
        <v>68</v>
      </c>
      <c r="BV37" s="94" t="s">
        <v>68</v>
      </c>
      <c r="BW37" s="94" t="s">
        <v>68</v>
      </c>
      <c r="BX37" s="94" t="s">
        <v>68</v>
      </c>
      <c r="BY37" s="94" t="s">
        <v>68</v>
      </c>
      <c r="BZ37" s="94" t="s">
        <v>68</v>
      </c>
      <c r="CA37" s="94" t="s">
        <v>68</v>
      </c>
      <c r="CB37" s="94" t="s">
        <v>68</v>
      </c>
      <c r="CC37" s="94" t="s">
        <v>68</v>
      </c>
      <c r="CD37" s="94" t="s">
        <v>68</v>
      </c>
      <c r="CE37" s="94" t="s">
        <v>68</v>
      </c>
      <c r="CF37" s="94" t="s">
        <v>68</v>
      </c>
      <c r="CG37" s="94" t="s">
        <v>68</v>
      </c>
      <c r="CH37" s="94" t="s">
        <v>68</v>
      </c>
      <c r="CI37" s="94" t="s">
        <v>68</v>
      </c>
      <c r="CJ37" s="94" t="s">
        <v>68</v>
      </c>
      <c r="CK37" s="94" t="s">
        <v>68</v>
      </c>
      <c r="CL37" s="94" t="s">
        <v>68</v>
      </c>
      <c r="CM37" s="94" t="s">
        <v>68</v>
      </c>
      <c r="CN37" s="94" t="s">
        <v>68</v>
      </c>
      <c r="CO37" s="94" t="s">
        <v>68</v>
      </c>
      <c r="CP37" s="94" t="s">
        <v>68</v>
      </c>
      <c r="CQ37" s="94" t="s">
        <v>68</v>
      </c>
      <c r="CR37" s="94" t="s">
        <v>68</v>
      </c>
      <c r="CS37" s="94" t="s">
        <v>68</v>
      </c>
      <c r="CT37" s="94" t="s">
        <v>68</v>
      </c>
      <c r="CU37" s="94" t="s">
        <v>68</v>
      </c>
      <c r="CV37" s="94" t="s">
        <v>68</v>
      </c>
      <c r="CW37" s="94" t="s">
        <v>68</v>
      </c>
      <c r="CX37" s="94" t="s">
        <v>68</v>
      </c>
      <c r="CY37" s="94" t="s">
        <v>68</v>
      </c>
      <c r="CZ37" s="94" t="s">
        <v>68</v>
      </c>
      <c r="DA37" s="94" t="s">
        <v>68</v>
      </c>
      <c r="DB37" s="94" t="s">
        <v>68</v>
      </c>
      <c r="DC37" s="94" t="s">
        <v>68</v>
      </c>
      <c r="DD37" s="94" t="s">
        <v>68</v>
      </c>
      <c r="DE37" s="94" t="s">
        <v>68</v>
      </c>
    </row>
    <row r="38" spans="1:151">
      <c r="A38" s="7"/>
      <c r="B38" s="145"/>
      <c r="C38" s="145"/>
      <c r="D38" s="145"/>
      <c r="E38" s="145" t="s">
        <v>69</v>
      </c>
      <c r="F38" s="145" t="s">
        <v>42</v>
      </c>
      <c r="G38" s="82" t="s">
        <v>70</v>
      </c>
      <c r="BS38" s="146">
        <v>22</v>
      </c>
      <c r="BT38" s="146">
        <v>22</v>
      </c>
      <c r="BU38" s="146">
        <v>22</v>
      </c>
      <c r="BV38" s="146">
        <v>22</v>
      </c>
      <c r="BW38" s="146">
        <v>22</v>
      </c>
      <c r="BX38" s="146">
        <v>22</v>
      </c>
      <c r="BY38" s="146">
        <v>22</v>
      </c>
      <c r="BZ38" s="146">
        <v>22</v>
      </c>
      <c r="CA38" s="146">
        <v>22</v>
      </c>
      <c r="CB38" s="146">
        <v>22</v>
      </c>
      <c r="CC38" s="146">
        <v>22</v>
      </c>
      <c r="CD38" s="146">
        <v>22</v>
      </c>
      <c r="CE38" s="146">
        <v>22</v>
      </c>
      <c r="CF38" s="146">
        <v>22</v>
      </c>
      <c r="CG38" s="146">
        <v>22</v>
      </c>
      <c r="CH38" s="146">
        <v>22</v>
      </c>
      <c r="CI38" s="146">
        <v>22</v>
      </c>
      <c r="CJ38" s="146">
        <v>22</v>
      </c>
      <c r="CK38" s="146">
        <v>22</v>
      </c>
      <c r="CL38" s="146">
        <v>22</v>
      </c>
      <c r="CM38" s="146">
        <v>22</v>
      </c>
      <c r="CN38" s="146">
        <v>22</v>
      </c>
      <c r="CO38" s="146">
        <v>22</v>
      </c>
      <c r="CP38" s="146">
        <v>22</v>
      </c>
      <c r="CQ38" s="146">
        <v>22</v>
      </c>
      <c r="CR38" s="146">
        <v>22</v>
      </c>
      <c r="CS38" s="146">
        <v>22</v>
      </c>
      <c r="CT38" s="146">
        <v>22</v>
      </c>
      <c r="CU38" s="146">
        <v>22</v>
      </c>
      <c r="CV38" s="146">
        <v>22</v>
      </c>
      <c r="CW38" s="146">
        <v>22</v>
      </c>
      <c r="CX38" s="146">
        <v>22</v>
      </c>
      <c r="CY38" s="146">
        <v>22</v>
      </c>
      <c r="CZ38" s="146">
        <v>22</v>
      </c>
      <c r="DA38" s="146">
        <v>22</v>
      </c>
      <c r="DB38" s="146">
        <v>22</v>
      </c>
      <c r="DC38" s="146">
        <v>22</v>
      </c>
      <c r="DD38" s="146">
        <v>22</v>
      </c>
      <c r="DE38" s="146">
        <v>22</v>
      </c>
    </row>
    <row r="39" spans="1:151">
      <c r="A39" s="7"/>
      <c r="B39" s="145"/>
      <c r="C39" s="145"/>
      <c r="D39" s="145"/>
      <c r="E39" s="145"/>
      <c r="F39" s="145"/>
      <c r="G39" s="82" t="s">
        <v>22</v>
      </c>
      <c r="BS39" s="146">
        <v>78</v>
      </c>
      <c r="BT39" s="146">
        <v>36</v>
      </c>
      <c r="BU39" s="146">
        <v>6</v>
      </c>
      <c r="BV39" s="146">
        <v>90</v>
      </c>
      <c r="BW39" s="146">
        <v>30</v>
      </c>
      <c r="BX39" s="146">
        <v>125</v>
      </c>
      <c r="BY39" s="146">
        <v>96</v>
      </c>
      <c r="BZ39" s="146">
        <v>63</v>
      </c>
      <c r="CA39" s="146">
        <v>0</v>
      </c>
      <c r="CB39" s="146">
        <v>0</v>
      </c>
      <c r="CC39" s="146">
        <v>0</v>
      </c>
      <c r="CD39" s="146">
        <v>0</v>
      </c>
      <c r="CE39" s="146">
        <v>0</v>
      </c>
      <c r="CF39" s="146">
        <v>0</v>
      </c>
      <c r="CG39" s="146">
        <v>0</v>
      </c>
      <c r="CH39" s="146">
        <v>3</v>
      </c>
      <c r="CI39" s="146">
        <v>27</v>
      </c>
      <c r="CJ39" s="146">
        <v>70</v>
      </c>
      <c r="CK39" s="146">
        <v>24</v>
      </c>
      <c r="CL39" s="146">
        <v>46</v>
      </c>
      <c r="CM39" s="146">
        <v>34</v>
      </c>
      <c r="CN39" s="146">
        <v>74</v>
      </c>
      <c r="CO39" s="146">
        <v>28</v>
      </c>
      <c r="CP39" s="146">
        <v>30</v>
      </c>
      <c r="CQ39" s="146">
        <v>18</v>
      </c>
      <c r="CR39" s="146"/>
      <c r="CS39" s="146"/>
      <c r="CT39" s="146"/>
      <c r="CU39" s="146"/>
      <c r="CV39" s="146"/>
      <c r="CW39" s="146"/>
      <c r="CX39" s="146"/>
      <c r="CY39" s="146"/>
      <c r="CZ39" s="146"/>
      <c r="DA39" s="146"/>
      <c r="DB39" s="146"/>
      <c r="DC39" s="146"/>
      <c r="DD39" s="146"/>
      <c r="DE39" s="146"/>
    </row>
    <row r="40" spans="1:151">
      <c r="A40" s="7"/>
      <c r="B40" s="145"/>
      <c r="C40" s="145"/>
      <c r="D40" s="145"/>
      <c r="E40" s="145"/>
      <c r="F40" s="145"/>
      <c r="G40" s="82" t="s">
        <v>46</v>
      </c>
      <c r="BS40" s="146">
        <f>IF(ISBLANK(BS39),"",BS39-BS38)</f>
        <v>56</v>
      </c>
      <c r="BT40" s="146">
        <f t="shared" ref="BT40:CX40" si="97">IF(ISBLANK(BT39),"",BT39-BT38)</f>
        <v>14</v>
      </c>
      <c r="BU40" s="146">
        <f t="shared" si="97"/>
        <v>-16</v>
      </c>
      <c r="BV40" s="146">
        <f t="shared" si="97"/>
        <v>68</v>
      </c>
      <c r="BW40" s="146">
        <f t="shared" si="97"/>
        <v>8</v>
      </c>
      <c r="BX40" s="146">
        <f t="shared" si="97"/>
        <v>103</v>
      </c>
      <c r="BY40" s="146">
        <f t="shared" si="97"/>
        <v>74</v>
      </c>
      <c r="BZ40" s="146">
        <f t="shared" si="97"/>
        <v>41</v>
      </c>
      <c r="CA40" s="146">
        <f t="shared" si="97"/>
        <v>-22</v>
      </c>
      <c r="CB40" s="146">
        <f t="shared" si="97"/>
        <v>-22</v>
      </c>
      <c r="CC40" s="146">
        <f t="shared" si="97"/>
        <v>-22</v>
      </c>
      <c r="CD40" s="146">
        <f t="shared" si="97"/>
        <v>-22</v>
      </c>
      <c r="CE40" s="146">
        <f t="shared" si="97"/>
        <v>-22</v>
      </c>
      <c r="CF40" s="146">
        <f t="shared" si="97"/>
        <v>-22</v>
      </c>
      <c r="CG40" s="146">
        <f t="shared" si="97"/>
        <v>-22</v>
      </c>
      <c r="CH40" s="146">
        <f t="shared" si="97"/>
        <v>-19</v>
      </c>
      <c r="CI40" s="146">
        <f t="shared" si="97"/>
        <v>5</v>
      </c>
      <c r="CJ40" s="146">
        <f t="shared" si="97"/>
        <v>48</v>
      </c>
      <c r="CK40" s="146">
        <f t="shared" si="97"/>
        <v>2</v>
      </c>
      <c r="CL40" s="146">
        <f t="shared" si="97"/>
        <v>24</v>
      </c>
      <c r="CM40" s="146">
        <f t="shared" si="97"/>
        <v>12</v>
      </c>
      <c r="CN40" s="146">
        <f t="shared" si="97"/>
        <v>52</v>
      </c>
      <c r="CO40" s="146">
        <f t="shared" si="97"/>
        <v>6</v>
      </c>
      <c r="CP40" s="146">
        <f t="shared" si="97"/>
        <v>8</v>
      </c>
      <c r="CQ40" s="146">
        <f t="shared" si="97"/>
        <v>-4</v>
      </c>
      <c r="CR40" s="146" t="str">
        <f t="shared" si="97"/>
        <v/>
      </c>
      <c r="CS40" s="146" t="str">
        <f t="shared" si="97"/>
        <v/>
      </c>
      <c r="CT40" s="146" t="str">
        <f t="shared" si="97"/>
        <v/>
      </c>
      <c r="CU40" s="146" t="str">
        <f t="shared" si="97"/>
        <v/>
      </c>
      <c r="CV40" s="146" t="str">
        <f t="shared" si="97"/>
        <v/>
      </c>
      <c r="CW40" s="146" t="str">
        <f t="shared" si="97"/>
        <v/>
      </c>
      <c r="CX40" s="146" t="str">
        <f t="shared" si="97"/>
        <v/>
      </c>
      <c r="CY40" s="146" t="str">
        <f t="shared" ref="CY40" si="98">IF(ISBLANK(CY39),"",CY39-CY38)</f>
        <v/>
      </c>
      <c r="CZ40" s="146" t="str">
        <f t="shared" ref="CZ40" si="99">IF(ISBLANK(CZ39),"",CZ39-CZ38)</f>
        <v/>
      </c>
      <c r="DA40" s="146" t="str">
        <f t="shared" ref="DA40" si="100">IF(ISBLANK(DA39),"",DA39-DA38)</f>
        <v/>
      </c>
      <c r="DB40" s="146" t="str">
        <f t="shared" ref="DB40" si="101">IF(ISBLANK(DB39),"",DB39-DB38)</f>
        <v/>
      </c>
      <c r="DC40" s="146" t="str">
        <f t="shared" ref="DC40" si="102">IF(ISBLANK(DC39),"",DC39-DC38)</f>
        <v/>
      </c>
      <c r="DD40" s="146" t="str">
        <f t="shared" ref="DD40" si="103">IF(ISBLANK(DD39),"",DD39-DD38)</f>
        <v/>
      </c>
      <c r="DE40" s="146" t="str">
        <f t="shared" ref="DE40" si="104">IF(ISBLANK(DE39),"",DE39-DE38)</f>
        <v/>
      </c>
    </row>
    <row r="41" spans="1:151">
      <c r="A41" s="7"/>
      <c r="B41" s="145"/>
      <c r="C41" s="145"/>
      <c r="D41" s="145"/>
      <c r="E41" s="145"/>
      <c r="G41" s="82" t="s">
        <v>47</v>
      </c>
      <c r="BS41" s="146">
        <f>IFERROR(IF(ISBLANK(BS40),"",BS40+BR41),"")</f>
        <v>56</v>
      </c>
      <c r="BT41" s="146">
        <f t="shared" ref="BT41:CX41" si="105">IFERROR(IF(ISBLANK(BT40),"",BT40+BS41),"")</f>
        <v>70</v>
      </c>
      <c r="BU41" s="146">
        <f t="shared" si="105"/>
        <v>54</v>
      </c>
      <c r="BV41" s="146">
        <f t="shared" si="105"/>
        <v>122</v>
      </c>
      <c r="BW41" s="146">
        <f>IFERROR(IF(ISBLANK(BW40),"",BW40+BV41),"")</f>
        <v>130</v>
      </c>
      <c r="BX41" s="146">
        <f>IFERROR(IF(ISBLANK(BX40),"",BX40+BW41),"")</f>
        <v>233</v>
      </c>
      <c r="BY41" s="146">
        <f t="shared" si="105"/>
        <v>307</v>
      </c>
      <c r="BZ41" s="146">
        <f t="shared" si="105"/>
        <v>348</v>
      </c>
      <c r="CA41" s="146">
        <f t="shared" si="105"/>
        <v>326</v>
      </c>
      <c r="CB41" s="146">
        <f t="shared" si="105"/>
        <v>304</v>
      </c>
      <c r="CC41" s="146">
        <f t="shared" si="105"/>
        <v>282</v>
      </c>
      <c r="CD41" s="146">
        <f t="shared" si="105"/>
        <v>260</v>
      </c>
      <c r="CE41" s="146">
        <f t="shared" si="105"/>
        <v>238</v>
      </c>
      <c r="CF41" s="146">
        <f t="shared" si="105"/>
        <v>216</v>
      </c>
      <c r="CG41" s="146">
        <f t="shared" si="105"/>
        <v>194</v>
      </c>
      <c r="CH41" s="146">
        <f t="shared" si="105"/>
        <v>175</v>
      </c>
      <c r="CI41" s="146">
        <f t="shared" si="105"/>
        <v>180</v>
      </c>
      <c r="CJ41" s="146">
        <f t="shared" si="105"/>
        <v>228</v>
      </c>
      <c r="CK41" s="146">
        <f t="shared" si="105"/>
        <v>230</v>
      </c>
      <c r="CL41" s="146">
        <f t="shared" si="105"/>
        <v>254</v>
      </c>
      <c r="CM41" s="146">
        <f t="shared" si="105"/>
        <v>266</v>
      </c>
      <c r="CN41" s="146">
        <f t="shared" si="105"/>
        <v>318</v>
      </c>
      <c r="CO41" s="146">
        <f t="shared" si="105"/>
        <v>324</v>
      </c>
      <c r="CP41" s="146">
        <f t="shared" si="105"/>
        <v>332</v>
      </c>
      <c r="CQ41" s="146">
        <f t="shared" si="105"/>
        <v>328</v>
      </c>
      <c r="CR41" s="146" t="str">
        <f t="shared" si="105"/>
        <v/>
      </c>
      <c r="CS41" s="146" t="str">
        <f t="shared" si="105"/>
        <v/>
      </c>
      <c r="CT41" s="146" t="str">
        <f t="shared" si="105"/>
        <v/>
      </c>
      <c r="CU41" s="146" t="str">
        <f t="shared" si="105"/>
        <v/>
      </c>
      <c r="CV41" s="146" t="str">
        <f t="shared" si="105"/>
        <v/>
      </c>
      <c r="CW41" s="146" t="str">
        <f t="shared" si="105"/>
        <v/>
      </c>
      <c r="CX41" s="146" t="str">
        <f t="shared" si="105"/>
        <v/>
      </c>
      <c r="CY41" s="146" t="str">
        <f t="shared" ref="CY41" si="106">IFERROR(IF(ISBLANK(CY40),"",CY40+CX41),"")</f>
        <v/>
      </c>
      <c r="CZ41" s="146" t="str">
        <f t="shared" ref="CZ41" si="107">IFERROR(IF(ISBLANK(CZ40),"",CZ40+CY41),"")</f>
        <v/>
      </c>
      <c r="DA41" s="146" t="str">
        <f t="shared" ref="DA41" si="108">IFERROR(IF(ISBLANK(DA40),"",DA40+CZ41),"")</f>
        <v/>
      </c>
      <c r="DB41" s="146" t="str">
        <f t="shared" ref="DB41" si="109">IFERROR(IF(ISBLANK(DB40),"",DB40+DA41),"")</f>
        <v/>
      </c>
      <c r="DC41" s="146" t="str">
        <f t="shared" ref="DC41" si="110">IFERROR(IF(ISBLANK(DC40),"",DC40+DB41),"")</f>
        <v/>
      </c>
      <c r="DD41" s="146" t="str">
        <f t="shared" ref="DD41" si="111">IFERROR(IF(ISBLANK(DD40),"",DD40+DC41),"")</f>
        <v/>
      </c>
      <c r="DE41" s="146" t="str">
        <f t="shared" ref="DE41" si="112">IFERROR(IF(ISBLANK(DE40),"",DE40+DD41),"")</f>
        <v/>
      </c>
    </row>
    <row r="42" spans="1:151">
      <c r="A42" s="7"/>
      <c r="B42" s="145"/>
      <c r="C42" s="145"/>
      <c r="D42" s="145"/>
      <c r="E42" s="145"/>
      <c r="F42" s="145"/>
      <c r="G42" s="82" t="s">
        <v>71</v>
      </c>
      <c r="BS42" s="146"/>
      <c r="BT42" s="146"/>
      <c r="BU42" s="146"/>
      <c r="BV42" s="146"/>
      <c r="BW42" s="81">
        <f t="shared" ref="BW42" si="113">IFERROR(AVERAGE(BQ39:BW39),"")</f>
        <v>48</v>
      </c>
      <c r="BX42" s="146"/>
      <c r="BY42" s="146"/>
      <c r="BZ42" s="146"/>
      <c r="CA42" s="146"/>
      <c r="CB42" s="146"/>
      <c r="CC42" s="146"/>
      <c r="CD42" s="81">
        <f t="shared" ref="CD42" si="114">IFERROR(AVERAGE(BX39:CD39),"")</f>
        <v>40.571428571428569</v>
      </c>
      <c r="CE42" s="146"/>
      <c r="CF42" s="146"/>
      <c r="CG42" s="146"/>
      <c r="CH42" s="146"/>
      <c r="CI42" s="146"/>
      <c r="CJ42" s="146"/>
      <c r="CK42" s="81">
        <f t="shared" ref="CK42" si="115">IFERROR(AVERAGE(CE39:CK39),"")</f>
        <v>17.714285714285715</v>
      </c>
      <c r="CL42" s="146"/>
      <c r="CM42" s="146"/>
      <c r="CN42" s="146"/>
      <c r="CO42" s="146"/>
      <c r="CP42" s="146"/>
      <c r="CQ42" s="146"/>
      <c r="CR42" s="146">
        <f t="shared" ref="CR42" si="116">IFERROR(AVERAGE(CL39:CR39),"")</f>
        <v>38.333333333333336</v>
      </c>
      <c r="CU42" s="146"/>
      <c r="CV42" s="146"/>
      <c r="CW42" s="146"/>
      <c r="CX42" s="146"/>
      <c r="CY42" s="146" t="str">
        <f t="shared" ref="CY42" si="117">IFERROR(AVERAGE(CS39:CY39),"")</f>
        <v/>
      </c>
      <c r="DB42" s="146"/>
      <c r="DC42" s="146"/>
      <c r="DD42" s="146"/>
      <c r="DE42" s="146"/>
      <c r="DF42" s="146" t="str">
        <f t="shared" ref="DF42" si="118">IFERROR(AVERAGE(CZ39:DF39),"")</f>
        <v/>
      </c>
    </row>
    <row r="43" spans="1:151">
      <c r="A43" s="7"/>
      <c r="B43" s="145"/>
      <c r="C43" s="145"/>
      <c r="D43" s="145"/>
      <c r="E43" s="145"/>
      <c r="F43" s="145"/>
      <c r="G43" s="82"/>
      <c r="BS43" s="146"/>
      <c r="BT43" s="146"/>
      <c r="BU43" s="146"/>
      <c r="BV43" s="146"/>
      <c r="BW43" s="146"/>
      <c r="BX43" s="146"/>
      <c r="BY43" s="146"/>
      <c r="BZ43" s="146"/>
      <c r="CA43" s="146"/>
      <c r="CB43" s="146"/>
      <c r="CC43" s="146"/>
      <c r="CD43" s="146"/>
      <c r="CE43" s="146"/>
      <c r="CF43" s="146"/>
      <c r="CG43" s="146"/>
      <c r="CH43" s="146"/>
      <c r="CI43" s="146"/>
      <c r="CJ43" s="146"/>
      <c r="CK43" s="146"/>
      <c r="CL43" s="146"/>
      <c r="CM43" s="146"/>
      <c r="CN43" s="146"/>
      <c r="CO43" s="146"/>
      <c r="CP43" s="146"/>
      <c r="CQ43" s="146"/>
      <c r="CR43" s="146"/>
      <c r="CU43" s="146"/>
      <c r="CV43" s="146"/>
      <c r="CW43" s="146"/>
      <c r="CX43" s="146"/>
      <c r="CY43" s="146"/>
      <c r="DB43" s="146"/>
      <c r="DC43" s="146"/>
      <c r="DD43" s="146"/>
      <c r="DE43" s="146"/>
      <c r="DF43" s="146"/>
    </row>
    <row r="44" spans="1:151">
      <c r="A44" s="7" t="b">
        <f>IF((C44+200)&gt;=B44,TRUE,FALSE)</f>
        <v>0</v>
      </c>
      <c r="B44" s="81">
        <v>1934</v>
      </c>
      <c r="C44" s="81">
        <f>SUM(Y44:XFD44)</f>
        <v>13</v>
      </c>
      <c r="D44" s="81"/>
      <c r="E44" s="145"/>
      <c r="F44" s="145"/>
      <c r="G44" s="82" t="s">
        <v>44</v>
      </c>
      <c r="BU44">
        <v>1</v>
      </c>
      <c r="BX44">
        <v>1</v>
      </c>
      <c r="CA44">
        <v>1</v>
      </c>
      <c r="CD44">
        <v>1</v>
      </c>
      <c r="CG44">
        <v>1</v>
      </c>
      <c r="CJ44">
        <v>1</v>
      </c>
      <c r="CM44">
        <v>1</v>
      </c>
      <c r="CP44">
        <v>1</v>
      </c>
      <c r="CS44">
        <v>1</v>
      </c>
      <c r="CV44">
        <v>1</v>
      </c>
      <c r="CY44">
        <v>1</v>
      </c>
      <c r="DB44">
        <v>1</v>
      </c>
      <c r="DE44">
        <v>1</v>
      </c>
    </row>
    <row r="45" spans="1:151">
      <c r="A45" s="7"/>
      <c r="B45" s="81"/>
      <c r="C45" s="81"/>
      <c r="D45" s="81"/>
      <c r="E45" s="145"/>
      <c r="F45" s="145" t="s">
        <v>72</v>
      </c>
      <c r="G45" s="82" t="s">
        <v>22</v>
      </c>
      <c r="BT45">
        <v>1</v>
      </c>
      <c r="BU45">
        <v>0</v>
      </c>
      <c r="BV45">
        <v>0</v>
      </c>
    </row>
    <row r="46" spans="1:151">
      <c r="A46" s="7"/>
      <c r="B46" s="81"/>
      <c r="C46" s="81"/>
      <c r="D46" s="81"/>
      <c r="E46" s="145"/>
      <c r="F46" s="145"/>
      <c r="G46" s="82" t="s">
        <v>46</v>
      </c>
      <c r="BS46" t="str">
        <f>IF(ISBLANK(BS45),"",BS45-BS44)</f>
        <v/>
      </c>
      <c r="BT46">
        <f t="shared" ref="BT46:DE46" si="119">IF(ISBLANK(BT45),"",BT45-BT44)</f>
        <v>1</v>
      </c>
      <c r="BU46">
        <f>IF(ISBLANK(BU45),"",BU45-BU44)</f>
        <v>-1</v>
      </c>
      <c r="BV46">
        <f t="shared" si="119"/>
        <v>0</v>
      </c>
      <c r="BW46" t="str">
        <f t="shared" si="119"/>
        <v/>
      </c>
      <c r="BX46" t="str">
        <f t="shared" si="119"/>
        <v/>
      </c>
      <c r="BY46" t="str">
        <f t="shared" si="119"/>
        <v/>
      </c>
      <c r="BZ46" t="str">
        <f t="shared" si="119"/>
        <v/>
      </c>
      <c r="CA46" t="str">
        <f t="shared" si="119"/>
        <v/>
      </c>
      <c r="CB46" t="str">
        <f t="shared" si="119"/>
        <v/>
      </c>
      <c r="CC46" t="str">
        <f t="shared" si="119"/>
        <v/>
      </c>
      <c r="CD46" t="str">
        <f t="shared" si="119"/>
        <v/>
      </c>
      <c r="CE46" t="str">
        <f t="shared" si="119"/>
        <v/>
      </c>
      <c r="CF46" t="str">
        <f t="shared" si="119"/>
        <v/>
      </c>
      <c r="CG46" t="str">
        <f t="shared" si="119"/>
        <v/>
      </c>
      <c r="CH46" t="str">
        <f t="shared" si="119"/>
        <v/>
      </c>
      <c r="CI46" t="str">
        <f t="shared" si="119"/>
        <v/>
      </c>
      <c r="CJ46" t="str">
        <f t="shared" si="119"/>
        <v/>
      </c>
      <c r="CK46" t="str">
        <f t="shared" si="119"/>
        <v/>
      </c>
      <c r="CL46" t="str">
        <f t="shared" si="119"/>
        <v/>
      </c>
      <c r="CM46" t="str">
        <f t="shared" si="119"/>
        <v/>
      </c>
      <c r="CN46" t="str">
        <f t="shared" si="119"/>
        <v/>
      </c>
      <c r="CO46" t="str">
        <f t="shared" si="119"/>
        <v/>
      </c>
      <c r="CP46" t="str">
        <f t="shared" si="119"/>
        <v/>
      </c>
      <c r="CQ46" t="str">
        <f t="shared" si="119"/>
        <v/>
      </c>
      <c r="CR46" t="str">
        <f t="shared" si="119"/>
        <v/>
      </c>
      <c r="CS46" t="str">
        <f t="shared" si="119"/>
        <v/>
      </c>
      <c r="CT46" t="str">
        <f t="shared" si="119"/>
        <v/>
      </c>
      <c r="CU46" t="str">
        <f t="shared" si="119"/>
        <v/>
      </c>
      <c r="CV46" t="str">
        <f t="shared" si="119"/>
        <v/>
      </c>
      <c r="CW46" t="str">
        <f t="shared" si="119"/>
        <v/>
      </c>
      <c r="CX46" t="str">
        <f t="shared" si="119"/>
        <v/>
      </c>
      <c r="CY46" t="str">
        <f t="shared" si="119"/>
        <v/>
      </c>
      <c r="CZ46" t="str">
        <f t="shared" si="119"/>
        <v/>
      </c>
      <c r="DA46" t="str">
        <f t="shared" si="119"/>
        <v/>
      </c>
      <c r="DB46" t="str">
        <f t="shared" si="119"/>
        <v/>
      </c>
      <c r="DC46" t="str">
        <f t="shared" si="119"/>
        <v/>
      </c>
      <c r="DD46" t="str">
        <f t="shared" si="119"/>
        <v/>
      </c>
      <c r="DE46" t="str">
        <f t="shared" si="119"/>
        <v/>
      </c>
    </row>
    <row r="47" spans="1:151">
      <c r="A47" s="7"/>
      <c r="B47" s="81"/>
      <c r="C47" s="81"/>
      <c r="D47" s="81"/>
      <c r="E47" s="145"/>
      <c r="F47" s="145"/>
      <c r="G47" s="82" t="s">
        <v>47</v>
      </c>
      <c r="BS47" t="str">
        <f>IFERROR(IF(ISBLANK(BS46),"",BS46+#REF!),"")</f>
        <v/>
      </c>
      <c r="BT47" t="str">
        <f t="shared" ref="BT47:DE47" si="120">IFERROR(IF(ISBLANK(BT46),"",BT46+BS47),"")</f>
        <v/>
      </c>
      <c r="BU47" t="str">
        <f>IFERROR(IF(ISBLANK(BU46),"",BU46+BT47),"")</f>
        <v/>
      </c>
      <c r="BV47" t="str">
        <f t="shared" si="120"/>
        <v/>
      </c>
      <c r="BW47" t="str">
        <f t="shared" si="120"/>
        <v/>
      </c>
      <c r="BX47" t="str">
        <f t="shared" si="120"/>
        <v/>
      </c>
      <c r="BY47" t="str">
        <f t="shared" si="120"/>
        <v/>
      </c>
      <c r="BZ47" t="str">
        <f t="shared" si="120"/>
        <v/>
      </c>
      <c r="CA47" t="str">
        <f t="shared" si="120"/>
        <v/>
      </c>
      <c r="CB47" t="str">
        <f t="shared" si="120"/>
        <v/>
      </c>
      <c r="CC47" t="str">
        <f t="shared" si="120"/>
        <v/>
      </c>
      <c r="CD47" t="str">
        <f t="shared" si="120"/>
        <v/>
      </c>
      <c r="CE47" t="str">
        <f t="shared" si="120"/>
        <v/>
      </c>
      <c r="CF47" t="str">
        <f t="shared" si="120"/>
        <v/>
      </c>
      <c r="CG47" t="str">
        <f t="shared" si="120"/>
        <v/>
      </c>
      <c r="CH47" t="str">
        <f t="shared" si="120"/>
        <v/>
      </c>
      <c r="CI47" t="str">
        <f t="shared" si="120"/>
        <v/>
      </c>
      <c r="CJ47" t="str">
        <f t="shared" si="120"/>
        <v/>
      </c>
      <c r="CK47" t="str">
        <f t="shared" si="120"/>
        <v/>
      </c>
      <c r="CL47" t="str">
        <f t="shared" si="120"/>
        <v/>
      </c>
      <c r="CM47" t="str">
        <f t="shared" si="120"/>
        <v/>
      </c>
      <c r="CN47" t="str">
        <f t="shared" si="120"/>
        <v/>
      </c>
      <c r="CO47" t="str">
        <f t="shared" si="120"/>
        <v/>
      </c>
      <c r="CP47" t="str">
        <f t="shared" si="120"/>
        <v/>
      </c>
      <c r="CQ47" t="str">
        <f t="shared" si="120"/>
        <v/>
      </c>
      <c r="CR47" t="str">
        <f t="shared" si="120"/>
        <v/>
      </c>
      <c r="CS47" t="str">
        <f t="shared" si="120"/>
        <v/>
      </c>
      <c r="CT47" t="str">
        <f t="shared" si="120"/>
        <v/>
      </c>
      <c r="CU47" t="str">
        <f t="shared" si="120"/>
        <v/>
      </c>
      <c r="CV47" t="str">
        <f t="shared" si="120"/>
        <v/>
      </c>
      <c r="CW47" t="str">
        <f t="shared" si="120"/>
        <v/>
      </c>
      <c r="CX47" t="str">
        <f t="shared" si="120"/>
        <v/>
      </c>
      <c r="CY47" t="str">
        <f t="shared" si="120"/>
        <v/>
      </c>
      <c r="CZ47" t="str">
        <f t="shared" si="120"/>
        <v/>
      </c>
      <c r="DA47" t="str">
        <f t="shared" si="120"/>
        <v/>
      </c>
      <c r="DB47" t="str">
        <f t="shared" si="120"/>
        <v/>
      </c>
      <c r="DC47" t="str">
        <f t="shared" si="120"/>
        <v/>
      </c>
      <c r="DD47" t="str">
        <f t="shared" si="120"/>
        <v/>
      </c>
      <c r="DE47" t="str">
        <f t="shared" si="120"/>
        <v/>
      </c>
    </row>
    <row r="48" spans="1:151" ht="15.75" thickBot="1">
      <c r="A48" s="7"/>
      <c r="B48" s="81"/>
      <c r="C48" s="81"/>
      <c r="D48" s="81"/>
    </row>
    <row r="49" spans="1:153" s="77" customFormat="1">
      <c r="A49" s="73"/>
      <c r="B49" s="74"/>
      <c r="C49" s="74"/>
      <c r="D49" s="74"/>
      <c r="E49" s="75" t="s">
        <v>67</v>
      </c>
      <c r="F49" s="74"/>
      <c r="G49" s="76" t="s">
        <v>36</v>
      </c>
      <c r="CD49" s="94" t="s">
        <v>68</v>
      </c>
      <c r="CE49" s="94" t="s">
        <v>68</v>
      </c>
      <c r="CF49" s="94" t="s">
        <v>68</v>
      </c>
      <c r="CG49" s="94" t="s">
        <v>68</v>
      </c>
      <c r="CH49" s="94" t="s">
        <v>68</v>
      </c>
      <c r="CI49" s="94" t="s">
        <v>68</v>
      </c>
      <c r="CJ49" s="94" t="s">
        <v>68</v>
      </c>
      <c r="CK49" s="94" t="s">
        <v>68</v>
      </c>
      <c r="CL49" s="94" t="s">
        <v>68</v>
      </c>
      <c r="CM49" s="94" t="s">
        <v>68</v>
      </c>
      <c r="CN49" s="94" t="s">
        <v>68</v>
      </c>
      <c r="CO49" s="94" t="s">
        <v>68</v>
      </c>
      <c r="CP49" s="94" t="s">
        <v>68</v>
      </c>
      <c r="CQ49" s="94" t="s">
        <v>68</v>
      </c>
      <c r="CR49" s="94" t="s">
        <v>68</v>
      </c>
      <c r="CS49" s="94" t="s">
        <v>68</v>
      </c>
      <c r="CT49" s="94" t="s">
        <v>68</v>
      </c>
      <c r="CU49" s="94" t="s">
        <v>68</v>
      </c>
      <c r="CV49" s="94" t="s">
        <v>68</v>
      </c>
      <c r="CW49" s="94" t="s">
        <v>68</v>
      </c>
      <c r="CX49" s="94" t="s">
        <v>68</v>
      </c>
      <c r="CY49" s="94" t="s">
        <v>68</v>
      </c>
      <c r="CZ49" s="94" t="s">
        <v>68</v>
      </c>
      <c r="DA49" s="94" t="s">
        <v>68</v>
      </c>
      <c r="DB49" s="94" t="s">
        <v>68</v>
      </c>
      <c r="DC49" s="94" t="s">
        <v>68</v>
      </c>
      <c r="DD49" s="94" t="s">
        <v>68</v>
      </c>
      <c r="DE49" s="94" t="s">
        <v>68</v>
      </c>
      <c r="DF49" s="94" t="s">
        <v>68</v>
      </c>
      <c r="DG49" s="94" t="s">
        <v>68</v>
      </c>
      <c r="DH49" s="94" t="s">
        <v>68</v>
      </c>
      <c r="DI49" s="94" t="s">
        <v>68</v>
      </c>
      <c r="DJ49" s="94" t="s">
        <v>68</v>
      </c>
      <c r="DK49" s="94" t="s">
        <v>68</v>
      </c>
      <c r="DL49" s="94" t="s">
        <v>68</v>
      </c>
      <c r="DM49" s="94" t="s">
        <v>68</v>
      </c>
      <c r="DN49" s="94" t="s">
        <v>68</v>
      </c>
      <c r="DO49" s="94" t="s">
        <v>68</v>
      </c>
      <c r="DP49" s="94" t="s">
        <v>68</v>
      </c>
    </row>
    <row r="50" spans="1:153">
      <c r="A50" s="7"/>
      <c r="B50" s="145"/>
      <c r="C50" s="145"/>
      <c r="D50" s="145"/>
      <c r="E50" s="145" t="s">
        <v>73</v>
      </c>
      <c r="F50" s="145" t="s">
        <v>42</v>
      </c>
      <c r="G50" s="82" t="s">
        <v>70</v>
      </c>
      <c r="CD50" s="146">
        <v>22</v>
      </c>
      <c r="CE50" s="146">
        <v>22</v>
      </c>
      <c r="CF50" s="146">
        <v>22</v>
      </c>
      <c r="CG50" s="146">
        <v>22</v>
      </c>
      <c r="CH50" s="146">
        <v>22</v>
      </c>
      <c r="CI50" s="146">
        <v>22</v>
      </c>
      <c r="CJ50" s="146">
        <v>22</v>
      </c>
      <c r="CK50" s="146">
        <v>22</v>
      </c>
      <c r="CL50" s="146">
        <v>22</v>
      </c>
      <c r="CM50" s="146">
        <v>22</v>
      </c>
      <c r="CN50" s="146">
        <v>22</v>
      </c>
      <c r="CO50" s="146">
        <v>22</v>
      </c>
      <c r="CP50" s="146">
        <v>22</v>
      </c>
      <c r="CQ50" s="146">
        <v>22</v>
      </c>
      <c r="CR50" s="146">
        <v>22</v>
      </c>
      <c r="CS50" s="146">
        <v>22</v>
      </c>
      <c r="CT50" s="146">
        <v>22</v>
      </c>
      <c r="CU50" s="146">
        <v>22</v>
      </c>
      <c r="CV50" s="146">
        <v>22</v>
      </c>
      <c r="CW50" s="146">
        <v>22</v>
      </c>
      <c r="CX50" s="146">
        <v>22</v>
      </c>
      <c r="CY50" s="146">
        <v>22</v>
      </c>
      <c r="CZ50" s="146">
        <v>22</v>
      </c>
      <c r="DA50" s="146">
        <v>22</v>
      </c>
      <c r="DB50" s="146">
        <v>22</v>
      </c>
      <c r="DC50" s="146">
        <v>22</v>
      </c>
      <c r="DD50" s="146">
        <v>22</v>
      </c>
      <c r="DE50" s="146">
        <v>22</v>
      </c>
      <c r="DF50" s="146">
        <v>22</v>
      </c>
      <c r="DG50" s="146">
        <v>22</v>
      </c>
      <c r="DH50" s="146">
        <v>22</v>
      </c>
      <c r="DI50" s="146">
        <v>22</v>
      </c>
      <c r="DJ50" s="146">
        <v>22</v>
      </c>
      <c r="DK50" s="146">
        <v>22</v>
      </c>
      <c r="DL50" s="146">
        <v>22</v>
      </c>
      <c r="DM50" s="146">
        <v>22</v>
      </c>
      <c r="DN50" s="146">
        <v>22</v>
      </c>
      <c r="DO50" s="146">
        <v>22</v>
      </c>
      <c r="DP50" s="146">
        <v>22</v>
      </c>
    </row>
    <row r="51" spans="1:153">
      <c r="A51" s="7"/>
      <c r="B51" s="145"/>
      <c r="C51" s="145"/>
      <c r="D51" s="145"/>
      <c r="E51" s="145"/>
      <c r="F51" s="145"/>
      <c r="G51" s="82" t="s">
        <v>22</v>
      </c>
      <c r="CD51" s="146">
        <v>0</v>
      </c>
      <c r="CE51" s="146">
        <v>40</v>
      </c>
      <c r="CF51" s="146">
        <v>0</v>
      </c>
      <c r="CG51" s="146">
        <v>19</v>
      </c>
      <c r="CH51" s="146">
        <v>17</v>
      </c>
      <c r="CI51" s="146">
        <v>0</v>
      </c>
      <c r="CJ51" s="146">
        <v>0</v>
      </c>
      <c r="CK51" s="146">
        <v>0</v>
      </c>
      <c r="CL51" s="146">
        <v>0</v>
      </c>
      <c r="CM51" s="146">
        <v>0</v>
      </c>
      <c r="CN51" s="146">
        <v>0</v>
      </c>
      <c r="CO51" s="146">
        <v>0</v>
      </c>
      <c r="CP51" s="146">
        <v>0</v>
      </c>
      <c r="CQ51" s="146">
        <v>8</v>
      </c>
      <c r="CR51" s="146"/>
      <c r="CS51" s="146"/>
      <c r="CT51" s="146"/>
      <c r="CU51" s="146"/>
      <c r="CV51" s="146"/>
      <c r="CW51" s="146"/>
      <c r="CX51" s="146"/>
      <c r="CY51" s="146"/>
      <c r="CZ51" s="146"/>
      <c r="DA51" s="146"/>
      <c r="DB51" s="146"/>
      <c r="DC51" s="146"/>
      <c r="DD51" s="146"/>
      <c r="DE51" s="146"/>
      <c r="DF51" s="146"/>
      <c r="DG51" s="146"/>
      <c r="DH51" s="146"/>
      <c r="DI51" s="146"/>
      <c r="DJ51" s="146"/>
      <c r="DK51" s="146"/>
      <c r="DL51" s="146"/>
      <c r="DM51" s="146"/>
      <c r="DN51" s="146"/>
      <c r="DO51" s="146"/>
      <c r="DP51" s="146"/>
    </row>
    <row r="52" spans="1:153">
      <c r="A52" s="7"/>
      <c r="B52" s="145"/>
      <c r="C52" s="145"/>
      <c r="D52" s="145"/>
      <c r="E52" s="145"/>
      <c r="F52" s="145"/>
      <c r="G52" s="82" t="s">
        <v>46</v>
      </c>
      <c r="CD52" s="146">
        <f>IF(ISBLANK(CD51),"",CD51-CD50)</f>
        <v>-22</v>
      </c>
      <c r="CE52" s="146">
        <f t="shared" ref="CE52" si="121">IF(ISBLANK(CE51),"",CE51-CE50)</f>
        <v>18</v>
      </c>
      <c r="CF52" s="146">
        <f t="shared" ref="CF52" si="122">IF(ISBLANK(CF51),"",CF51-CF50)</f>
        <v>-22</v>
      </c>
      <c r="CG52" s="146">
        <f t="shared" ref="CG52" si="123">IF(ISBLANK(CG51),"",CG51-CG50)</f>
        <v>-3</v>
      </c>
      <c r="CH52" s="146">
        <f t="shared" ref="CH52" si="124">IF(ISBLANK(CH51),"",CH51-CH50)</f>
        <v>-5</v>
      </c>
      <c r="CI52" s="146">
        <f t="shared" ref="CI52" si="125">IF(ISBLANK(CI51),"",CI51-CI50)</f>
        <v>-22</v>
      </c>
      <c r="CJ52" s="146">
        <f t="shared" ref="CJ52" si="126">IF(ISBLANK(CJ51),"",CJ51-CJ50)</f>
        <v>-22</v>
      </c>
      <c r="CK52" s="146">
        <f t="shared" ref="CK52" si="127">IF(ISBLANK(CK51),"",CK51-CK50)</f>
        <v>-22</v>
      </c>
      <c r="CL52" s="146">
        <f t="shared" ref="CL52" si="128">IF(ISBLANK(CL51),"",CL51-CL50)</f>
        <v>-22</v>
      </c>
      <c r="CM52" s="146">
        <f t="shared" ref="CM52" si="129">IF(ISBLANK(CM51),"",CM51-CM50)</f>
        <v>-22</v>
      </c>
      <c r="CN52" s="146">
        <f t="shared" ref="CN52" si="130">IF(ISBLANK(CN51),"",CN51-CN50)</f>
        <v>-22</v>
      </c>
      <c r="CO52" s="146">
        <f t="shared" ref="CO52" si="131">IF(ISBLANK(CO51),"",CO51-CO50)</f>
        <v>-22</v>
      </c>
      <c r="CP52" s="146">
        <f t="shared" ref="CP52" si="132">IF(ISBLANK(CP51),"",CP51-CP50)</f>
        <v>-22</v>
      </c>
      <c r="CQ52" s="146">
        <f t="shared" ref="CQ52" si="133">IF(ISBLANK(CQ51),"",CQ51-CQ50)</f>
        <v>-14</v>
      </c>
      <c r="CR52" s="146" t="str">
        <f t="shared" ref="CR52" si="134">IF(ISBLANK(CR51),"",CR51-CR50)</f>
        <v/>
      </c>
      <c r="CS52" s="146" t="str">
        <f t="shared" ref="CS52" si="135">IF(ISBLANK(CS51),"",CS51-CS50)</f>
        <v/>
      </c>
      <c r="CT52" s="146" t="str">
        <f t="shared" ref="CT52" si="136">IF(ISBLANK(CT51),"",CT51-CT50)</f>
        <v/>
      </c>
      <c r="CU52" s="146" t="str">
        <f t="shared" ref="CU52" si="137">IF(ISBLANK(CU51),"",CU51-CU50)</f>
        <v/>
      </c>
      <c r="CV52" s="146" t="str">
        <f t="shared" ref="CV52" si="138">IF(ISBLANK(CV51),"",CV51-CV50)</f>
        <v/>
      </c>
      <c r="CW52" s="146" t="str">
        <f t="shared" ref="CW52" si="139">IF(ISBLANK(CW51),"",CW51-CW50)</f>
        <v/>
      </c>
      <c r="CX52" s="146" t="str">
        <f t="shared" ref="CX52" si="140">IF(ISBLANK(CX51),"",CX51-CX50)</f>
        <v/>
      </c>
      <c r="CY52" s="146" t="str">
        <f t="shared" ref="CY52" si="141">IF(ISBLANK(CY51),"",CY51-CY50)</f>
        <v/>
      </c>
      <c r="CZ52" s="146" t="str">
        <f t="shared" ref="CZ52" si="142">IF(ISBLANK(CZ51),"",CZ51-CZ50)</f>
        <v/>
      </c>
      <c r="DA52" s="146" t="str">
        <f t="shared" ref="DA52" si="143">IF(ISBLANK(DA51),"",DA51-DA50)</f>
        <v/>
      </c>
      <c r="DB52" s="146" t="str">
        <f t="shared" ref="DB52" si="144">IF(ISBLANK(DB51),"",DB51-DB50)</f>
        <v/>
      </c>
      <c r="DC52" s="146" t="str">
        <f t="shared" ref="DC52" si="145">IF(ISBLANK(DC51),"",DC51-DC50)</f>
        <v/>
      </c>
      <c r="DD52" s="146" t="str">
        <f t="shared" ref="DD52" si="146">IF(ISBLANK(DD51),"",DD51-DD50)</f>
        <v/>
      </c>
      <c r="DE52" s="146" t="str">
        <f t="shared" ref="DE52" si="147">IF(ISBLANK(DE51),"",DE51-DE50)</f>
        <v/>
      </c>
      <c r="DF52" s="146" t="str">
        <f t="shared" ref="DF52" si="148">IF(ISBLANK(DF51),"",DF51-DF50)</f>
        <v/>
      </c>
      <c r="DG52" s="146" t="str">
        <f t="shared" ref="DG52" si="149">IF(ISBLANK(DG51),"",DG51-DG50)</f>
        <v/>
      </c>
      <c r="DH52" s="146" t="str">
        <f t="shared" ref="DH52" si="150">IF(ISBLANK(DH51),"",DH51-DH50)</f>
        <v/>
      </c>
      <c r="DI52" s="146" t="str">
        <f t="shared" ref="DI52" si="151">IF(ISBLANK(DI51),"",DI51-DI50)</f>
        <v/>
      </c>
      <c r="DJ52" s="146" t="str">
        <f t="shared" ref="DJ52" si="152">IF(ISBLANK(DJ51),"",DJ51-DJ50)</f>
        <v/>
      </c>
      <c r="DK52" s="146" t="str">
        <f t="shared" ref="DK52" si="153">IF(ISBLANK(DK51),"",DK51-DK50)</f>
        <v/>
      </c>
      <c r="DL52" s="146" t="str">
        <f t="shared" ref="DL52" si="154">IF(ISBLANK(DL51),"",DL51-DL50)</f>
        <v/>
      </c>
      <c r="DM52" s="146" t="str">
        <f t="shared" ref="DM52" si="155">IF(ISBLANK(DM51),"",DM51-DM50)</f>
        <v/>
      </c>
      <c r="DN52" s="146" t="str">
        <f t="shared" ref="DN52" si="156">IF(ISBLANK(DN51),"",DN51-DN50)</f>
        <v/>
      </c>
      <c r="DO52" s="146" t="str">
        <f t="shared" ref="DO52" si="157">IF(ISBLANK(DO51),"",DO51-DO50)</f>
        <v/>
      </c>
      <c r="DP52" s="146" t="str">
        <f t="shared" ref="DP52" si="158">IF(ISBLANK(DP51),"",DP51-DP50)</f>
        <v/>
      </c>
    </row>
    <row r="53" spans="1:153">
      <c r="A53" s="7"/>
      <c r="B53" s="145"/>
      <c r="C53" s="145"/>
      <c r="D53" s="145"/>
      <c r="E53" s="145"/>
      <c r="F53" s="145" t="s">
        <v>72</v>
      </c>
      <c r="G53" s="82" t="s">
        <v>47</v>
      </c>
      <c r="CD53" s="146">
        <f>IFERROR(IF(ISBLANK(CD52),"",CD52+BX53),"")</f>
        <v>-22</v>
      </c>
      <c r="CE53" s="146">
        <f t="shared" ref="CE53" si="159">IFERROR(IF(ISBLANK(CE52),"",CE52+CD53),"")</f>
        <v>-4</v>
      </c>
      <c r="CF53" s="146">
        <f t="shared" ref="CF53" si="160">IFERROR(IF(ISBLANK(CF52),"",CF52+CE53),"")</f>
        <v>-26</v>
      </c>
      <c r="CG53" s="146">
        <f t="shared" ref="CG53" si="161">IFERROR(IF(ISBLANK(CG52),"",CG52+CF53),"")</f>
        <v>-29</v>
      </c>
      <c r="CH53" s="146">
        <f t="shared" ref="CH53" si="162">IFERROR(IF(ISBLANK(CH52),"",CH52+CG53),"")</f>
        <v>-34</v>
      </c>
      <c r="CI53" s="146">
        <f t="shared" ref="CI53" si="163">IFERROR(IF(ISBLANK(CI52),"",CI52+CH53),"")</f>
        <v>-56</v>
      </c>
      <c r="CJ53" s="146">
        <f t="shared" ref="CJ53" si="164">IFERROR(IF(ISBLANK(CJ52),"",CJ52+CI53),"")</f>
        <v>-78</v>
      </c>
      <c r="CK53" s="146">
        <f t="shared" ref="CK53" si="165">IFERROR(IF(ISBLANK(CK52),"",CK52+CJ53),"")</f>
        <v>-100</v>
      </c>
      <c r="CL53" s="146">
        <f t="shared" ref="CL53" si="166">IFERROR(IF(ISBLANK(CL52),"",CL52+CK53),"")</f>
        <v>-122</v>
      </c>
      <c r="CM53" s="146">
        <f t="shared" ref="CM53" si="167">IFERROR(IF(ISBLANK(CM52),"",CM52+CL53),"")</f>
        <v>-144</v>
      </c>
      <c r="CN53" s="146">
        <f t="shared" ref="CN53" si="168">IFERROR(IF(ISBLANK(CN52),"",CN52+CM53),"")</f>
        <v>-166</v>
      </c>
      <c r="CO53" s="146">
        <f t="shared" ref="CO53" si="169">IFERROR(IF(ISBLANK(CO52),"",CO52+CN53),"")</f>
        <v>-188</v>
      </c>
      <c r="CP53" s="146">
        <f t="shared" ref="CP53" si="170">IFERROR(IF(ISBLANK(CP52),"",CP52+CO53),"")</f>
        <v>-210</v>
      </c>
      <c r="CQ53" s="146">
        <f t="shared" ref="CQ53" si="171">IFERROR(IF(ISBLANK(CQ52),"",CQ52+CP53),"")</f>
        <v>-224</v>
      </c>
      <c r="CR53" s="146" t="str">
        <f t="shared" ref="CR53" si="172">IFERROR(IF(ISBLANK(CR52),"",CR52+CQ53),"")</f>
        <v/>
      </c>
      <c r="CS53" s="146" t="str">
        <f t="shared" ref="CS53" si="173">IFERROR(IF(ISBLANK(CS52),"",CS52+CR53),"")</f>
        <v/>
      </c>
      <c r="CT53" s="146" t="str">
        <f t="shared" ref="CT53" si="174">IFERROR(IF(ISBLANK(CT52),"",CT52+CS53),"")</f>
        <v/>
      </c>
      <c r="CU53" s="146" t="str">
        <f t="shared" ref="CU53" si="175">IFERROR(IF(ISBLANK(CU52),"",CU52+CT53),"")</f>
        <v/>
      </c>
      <c r="CV53" s="146" t="str">
        <f t="shared" ref="CV53" si="176">IFERROR(IF(ISBLANK(CV52),"",CV52+CU53),"")</f>
        <v/>
      </c>
      <c r="CW53" s="146" t="str">
        <f t="shared" ref="CW53" si="177">IFERROR(IF(ISBLANK(CW52),"",CW52+CV53),"")</f>
        <v/>
      </c>
      <c r="CX53" s="146" t="str">
        <f t="shared" ref="CX53" si="178">IFERROR(IF(ISBLANK(CX52),"",CX52+CW53),"")</f>
        <v/>
      </c>
      <c r="CY53" s="146" t="str">
        <f t="shared" ref="CY53" si="179">IFERROR(IF(ISBLANK(CY52),"",CY52+CX53),"")</f>
        <v/>
      </c>
      <c r="CZ53" s="146" t="str">
        <f t="shared" ref="CZ53" si="180">IFERROR(IF(ISBLANK(CZ52),"",CZ52+CY53),"")</f>
        <v/>
      </c>
      <c r="DA53" s="146" t="str">
        <f t="shared" ref="DA53" si="181">IFERROR(IF(ISBLANK(DA52),"",DA52+CZ53),"")</f>
        <v/>
      </c>
      <c r="DB53" s="146" t="str">
        <f t="shared" ref="DB53" si="182">IFERROR(IF(ISBLANK(DB52),"",DB52+DA53),"")</f>
        <v/>
      </c>
      <c r="DC53" s="146" t="str">
        <f t="shared" ref="DC53" si="183">IFERROR(IF(ISBLANK(DC52),"",DC52+DB53),"")</f>
        <v/>
      </c>
      <c r="DD53" s="146" t="str">
        <f t="shared" ref="DD53" si="184">IFERROR(IF(ISBLANK(DD52),"",DD52+DC53),"")</f>
        <v/>
      </c>
      <c r="DE53" s="146" t="str">
        <f t="shared" ref="DE53" si="185">IFERROR(IF(ISBLANK(DE52),"",DE52+DD53),"")</f>
        <v/>
      </c>
      <c r="DF53" s="146" t="str">
        <f t="shared" ref="DF53" si="186">IFERROR(IF(ISBLANK(DF52),"",DF52+DE53),"")</f>
        <v/>
      </c>
      <c r="DG53" s="146" t="str">
        <f t="shared" ref="DG53" si="187">IFERROR(IF(ISBLANK(DG52),"",DG52+DF53),"")</f>
        <v/>
      </c>
      <c r="DH53" s="146" t="str">
        <f t="shared" ref="DH53" si="188">IFERROR(IF(ISBLANK(DH52),"",DH52+DG53),"")</f>
        <v/>
      </c>
      <c r="DI53" s="146" t="str">
        <f t="shared" ref="DI53" si="189">IFERROR(IF(ISBLANK(DI52),"",DI52+DH53),"")</f>
        <v/>
      </c>
      <c r="DJ53" s="146" t="str">
        <f t="shared" ref="DJ53" si="190">IFERROR(IF(ISBLANK(DJ52),"",DJ52+DI53),"")</f>
        <v/>
      </c>
      <c r="DK53" s="146" t="str">
        <f t="shared" ref="DK53" si="191">IFERROR(IF(ISBLANK(DK52),"",DK52+DJ53),"")</f>
        <v/>
      </c>
      <c r="DL53" s="146" t="str">
        <f t="shared" ref="DL53" si="192">IFERROR(IF(ISBLANK(DL52),"",DL52+DK53),"")</f>
        <v/>
      </c>
      <c r="DM53" s="146" t="str">
        <f t="shared" ref="DM53" si="193">IFERROR(IF(ISBLANK(DM52),"",DM52+DL53),"")</f>
        <v/>
      </c>
      <c r="DN53" s="146" t="str">
        <f t="shared" ref="DN53" si="194">IFERROR(IF(ISBLANK(DN52),"",DN52+DM53),"")</f>
        <v/>
      </c>
      <c r="DO53" s="146" t="str">
        <f t="shared" ref="DO53" si="195">IFERROR(IF(ISBLANK(DO52),"",DO52+DN53),"")</f>
        <v/>
      </c>
      <c r="DP53" s="146" t="str">
        <f t="shared" ref="DP53" si="196">IFERROR(IF(ISBLANK(DP52),"",DP52+DO53),"")</f>
        <v/>
      </c>
    </row>
    <row r="54" spans="1:153">
      <c r="A54" s="7"/>
      <c r="B54" s="145"/>
      <c r="C54" s="145"/>
      <c r="D54" s="145"/>
      <c r="E54" s="145"/>
      <c r="F54" s="145"/>
      <c r="G54" s="82"/>
      <c r="CD54" s="146"/>
      <c r="CE54" s="146"/>
      <c r="CF54" s="146"/>
      <c r="CG54" s="146"/>
      <c r="CH54" s="146"/>
      <c r="CI54" s="146"/>
      <c r="CJ54" s="146"/>
      <c r="CK54" s="146"/>
      <c r="CL54" s="146"/>
      <c r="CM54" s="146"/>
      <c r="CN54" s="146"/>
      <c r="CO54" s="146"/>
      <c r="CP54" s="146"/>
      <c r="CQ54" s="146"/>
      <c r="CR54" s="146"/>
      <c r="CS54" s="146"/>
      <c r="CT54" s="146"/>
      <c r="CU54" s="146"/>
      <c r="CV54" s="146"/>
      <c r="CW54" s="146"/>
      <c r="CX54" s="146"/>
      <c r="CY54" s="146"/>
      <c r="CZ54" s="146"/>
      <c r="DA54" s="146"/>
      <c r="DB54" s="146"/>
      <c r="DC54" s="146"/>
      <c r="DD54" s="146"/>
      <c r="DE54" s="146"/>
      <c r="DF54" s="146"/>
      <c r="DG54" s="146"/>
      <c r="DH54" s="146"/>
      <c r="DI54" s="146"/>
      <c r="DJ54" s="146"/>
      <c r="DK54" s="146"/>
      <c r="DL54" s="146"/>
      <c r="DM54" s="146"/>
      <c r="DN54" s="146"/>
      <c r="DO54" s="146"/>
      <c r="DP54" s="146"/>
    </row>
    <row r="55" spans="1:153">
      <c r="A55" s="7" t="b">
        <f>IF((C55+200)&gt;=B55,TRUE,FALSE)</f>
        <v>0</v>
      </c>
      <c r="B55" s="81">
        <v>1934</v>
      </c>
      <c r="C55" s="81">
        <f>SUM(Y55:XFD55)</f>
        <v>12</v>
      </c>
      <c r="D55" s="81"/>
      <c r="E55" s="145"/>
      <c r="F55" s="145"/>
      <c r="G55" s="82" t="s">
        <v>44</v>
      </c>
      <c r="CD55">
        <v>1</v>
      </c>
      <c r="CG55">
        <v>1</v>
      </c>
      <c r="CJ55">
        <v>1</v>
      </c>
      <c r="CM55">
        <v>1</v>
      </c>
      <c r="CP55">
        <v>1</v>
      </c>
      <c r="CS55">
        <v>1</v>
      </c>
      <c r="CV55">
        <v>1</v>
      </c>
      <c r="CY55">
        <v>1</v>
      </c>
      <c r="DB55">
        <v>1</v>
      </c>
      <c r="DE55">
        <v>1</v>
      </c>
      <c r="DH55">
        <v>1</v>
      </c>
      <c r="DK55">
        <v>1</v>
      </c>
    </row>
    <row r="56" spans="1:153">
      <c r="A56" s="7"/>
      <c r="B56" s="81"/>
      <c r="C56" s="81"/>
      <c r="D56" s="81"/>
      <c r="E56" s="145"/>
      <c r="F56" s="145"/>
      <c r="G56" s="82" t="s">
        <v>22</v>
      </c>
    </row>
    <row r="57" spans="1:153">
      <c r="A57" s="7"/>
      <c r="B57" s="81"/>
      <c r="C57" s="81"/>
      <c r="D57" s="81"/>
      <c r="E57" s="145"/>
      <c r="F57" s="145"/>
      <c r="G57" s="82" t="s">
        <v>46</v>
      </c>
      <c r="BY57" t="str">
        <f>IF(ISBLANK(BY56),"",BY56-BY55)</f>
        <v/>
      </c>
      <c r="CD57" t="str">
        <f t="shared" ref="CD57" si="197">IF(ISBLANK(CD56),"",CD56-CD55)</f>
        <v/>
      </c>
      <c r="CE57" t="str">
        <f t="shared" ref="CE57" si="198">IF(ISBLANK(CE56),"",CE56-CE55)</f>
        <v/>
      </c>
      <c r="CF57" t="str">
        <f t="shared" ref="CF57" si="199">IF(ISBLANK(CF56),"",CF56-CF55)</f>
        <v/>
      </c>
      <c r="CG57" t="str">
        <f t="shared" ref="CG57" si="200">IF(ISBLANK(CG56),"",CG56-CG55)</f>
        <v/>
      </c>
      <c r="CH57" t="str">
        <f t="shared" ref="CH57" si="201">IF(ISBLANK(CH56),"",CH56-CH55)</f>
        <v/>
      </c>
      <c r="CI57" t="str">
        <f t="shared" ref="CI57" si="202">IF(ISBLANK(CI56),"",CI56-CI55)</f>
        <v/>
      </c>
      <c r="CJ57" t="str">
        <f t="shared" ref="CJ57" si="203">IF(ISBLANK(CJ56),"",CJ56-CJ55)</f>
        <v/>
      </c>
      <c r="CK57" t="str">
        <f t="shared" ref="CK57" si="204">IF(ISBLANK(CK56),"",CK56-CK55)</f>
        <v/>
      </c>
      <c r="CL57" t="str">
        <f t="shared" ref="CL57" si="205">IF(ISBLANK(CL56),"",CL56-CL55)</f>
        <v/>
      </c>
      <c r="CM57" t="str">
        <f t="shared" ref="CM57" si="206">IF(ISBLANK(CM56),"",CM56-CM55)</f>
        <v/>
      </c>
      <c r="CN57" t="str">
        <f t="shared" ref="CN57" si="207">IF(ISBLANK(CN56),"",CN56-CN55)</f>
        <v/>
      </c>
      <c r="CO57" t="str">
        <f t="shared" ref="CO57" si="208">IF(ISBLANK(CO56),"",CO56-CO55)</f>
        <v/>
      </c>
      <c r="CP57" t="str">
        <f t="shared" ref="CP57" si="209">IF(ISBLANK(CP56),"",CP56-CP55)</f>
        <v/>
      </c>
      <c r="CQ57" t="str">
        <f t="shared" ref="CQ57" si="210">IF(ISBLANK(CQ56),"",CQ56-CQ55)</f>
        <v/>
      </c>
      <c r="CR57" t="str">
        <f t="shared" ref="CR57" si="211">IF(ISBLANK(CR56),"",CR56-CR55)</f>
        <v/>
      </c>
      <c r="CS57" t="str">
        <f t="shared" ref="CS57" si="212">IF(ISBLANK(CS56),"",CS56-CS55)</f>
        <v/>
      </c>
      <c r="CT57" t="str">
        <f t="shared" ref="CT57" si="213">IF(ISBLANK(CT56),"",CT56-CT55)</f>
        <v/>
      </c>
      <c r="CU57" t="str">
        <f t="shared" ref="CU57" si="214">IF(ISBLANK(CU56),"",CU56-CU55)</f>
        <v/>
      </c>
      <c r="CV57" t="str">
        <f t="shared" ref="CV57" si="215">IF(ISBLANK(CV56),"",CV56-CV55)</f>
        <v/>
      </c>
      <c r="CW57" t="str">
        <f t="shared" ref="CW57" si="216">IF(ISBLANK(CW56),"",CW56-CW55)</f>
        <v/>
      </c>
      <c r="CX57" t="str">
        <f t="shared" ref="CX57" si="217">IF(ISBLANK(CX56),"",CX56-CX55)</f>
        <v/>
      </c>
      <c r="CY57" t="str">
        <f t="shared" ref="CY57" si="218">IF(ISBLANK(CY56),"",CY56-CY55)</f>
        <v/>
      </c>
      <c r="CZ57" t="str">
        <f t="shared" ref="CZ57" si="219">IF(ISBLANK(CZ56),"",CZ56-CZ55)</f>
        <v/>
      </c>
      <c r="DA57" t="str">
        <f t="shared" ref="DA57" si="220">IF(ISBLANK(DA56),"",DA56-DA55)</f>
        <v/>
      </c>
      <c r="DB57" t="str">
        <f t="shared" ref="DB57" si="221">IF(ISBLANK(DB56),"",DB56-DB55)</f>
        <v/>
      </c>
      <c r="DC57" t="str">
        <f t="shared" ref="DC57" si="222">IF(ISBLANK(DC56),"",DC56-DC55)</f>
        <v/>
      </c>
      <c r="DD57" t="str">
        <f t="shared" ref="DD57" si="223">IF(ISBLANK(DD56),"",DD56-DD55)</f>
        <v/>
      </c>
      <c r="DE57" t="str">
        <f t="shared" ref="DE57" si="224">IF(ISBLANK(DE56),"",DE56-DE55)</f>
        <v/>
      </c>
      <c r="DF57" t="str">
        <f t="shared" ref="DF57" si="225">IF(ISBLANK(DF56),"",DF56-DF55)</f>
        <v/>
      </c>
      <c r="DG57" t="str">
        <f t="shared" ref="DG57" si="226">IF(ISBLANK(DG56),"",DG56-DG55)</f>
        <v/>
      </c>
      <c r="DH57" t="str">
        <f t="shared" ref="DH57" si="227">IF(ISBLANK(DH56),"",DH56-DH55)</f>
        <v/>
      </c>
      <c r="DI57" t="str">
        <f t="shared" ref="DI57" si="228">IF(ISBLANK(DI56),"",DI56-DI55)</f>
        <v/>
      </c>
      <c r="DJ57" t="str">
        <f t="shared" ref="DJ57" si="229">IF(ISBLANK(DJ56),"",DJ56-DJ55)</f>
        <v/>
      </c>
      <c r="DK57" t="str">
        <f t="shared" ref="DK57" si="230">IF(ISBLANK(DK56),"",DK56-DK55)</f>
        <v/>
      </c>
    </row>
    <row r="58" spans="1:153">
      <c r="A58" s="7"/>
      <c r="B58" s="81"/>
      <c r="C58" s="81"/>
      <c r="D58" s="81"/>
      <c r="E58" s="145"/>
      <c r="F58" s="145"/>
      <c r="G58" s="82" t="s">
        <v>47</v>
      </c>
      <c r="BY58" t="str">
        <f>IFERROR(IF(ISBLANK(BY57),"",BY57+BX58),"")</f>
        <v/>
      </c>
      <c r="CD58" t="str">
        <f t="shared" ref="CD58" si="231">IFERROR(IF(ISBLANK(CD57),"",CD57+CC58),"")</f>
        <v/>
      </c>
      <c r="CE58" t="str">
        <f t="shared" ref="CE58" si="232">IFERROR(IF(ISBLANK(CE57),"",CE57+CD58),"")</f>
        <v/>
      </c>
      <c r="CF58" t="str">
        <f t="shared" ref="CF58" si="233">IFERROR(IF(ISBLANK(CF57),"",CF57+CE58),"")</f>
        <v/>
      </c>
      <c r="CG58" t="str">
        <f t="shared" ref="CG58" si="234">IFERROR(IF(ISBLANK(CG57),"",CG57+CF58),"")</f>
        <v/>
      </c>
      <c r="CH58" t="str">
        <f t="shared" ref="CH58" si="235">IFERROR(IF(ISBLANK(CH57),"",CH57+CG58),"")</f>
        <v/>
      </c>
      <c r="CI58" t="str">
        <f t="shared" ref="CI58" si="236">IFERROR(IF(ISBLANK(CI57),"",CI57+CH58),"")</f>
        <v/>
      </c>
      <c r="CJ58" t="str">
        <f t="shared" ref="CJ58" si="237">IFERROR(IF(ISBLANK(CJ57),"",CJ57+CI58),"")</f>
        <v/>
      </c>
      <c r="CK58" t="str">
        <f t="shared" ref="CK58" si="238">IFERROR(IF(ISBLANK(CK57),"",CK57+CJ58),"")</f>
        <v/>
      </c>
      <c r="CL58" t="str">
        <f t="shared" ref="CL58" si="239">IFERROR(IF(ISBLANK(CL57),"",CL57+CK58),"")</f>
        <v/>
      </c>
      <c r="CM58" t="str">
        <f t="shared" ref="CM58" si="240">IFERROR(IF(ISBLANK(CM57),"",CM57+CL58),"")</f>
        <v/>
      </c>
      <c r="CN58" t="str">
        <f t="shared" ref="CN58" si="241">IFERROR(IF(ISBLANK(CN57),"",CN57+CM58),"")</f>
        <v/>
      </c>
      <c r="CO58" t="str">
        <f t="shared" ref="CO58" si="242">IFERROR(IF(ISBLANK(CO57),"",CO57+CN58),"")</f>
        <v/>
      </c>
      <c r="CP58" t="str">
        <f t="shared" ref="CP58" si="243">IFERROR(IF(ISBLANK(CP57),"",CP57+CO58),"")</f>
        <v/>
      </c>
      <c r="CQ58" t="str">
        <f t="shared" ref="CQ58" si="244">IFERROR(IF(ISBLANK(CQ57),"",CQ57+CP58),"")</f>
        <v/>
      </c>
      <c r="CR58" t="str">
        <f t="shared" ref="CR58" si="245">IFERROR(IF(ISBLANK(CR57),"",CR57+CQ58),"")</f>
        <v/>
      </c>
      <c r="CS58" t="str">
        <f t="shared" ref="CS58" si="246">IFERROR(IF(ISBLANK(CS57),"",CS57+CR58),"")</f>
        <v/>
      </c>
      <c r="CT58" t="str">
        <f t="shared" ref="CT58" si="247">IFERROR(IF(ISBLANK(CT57),"",CT57+CS58),"")</f>
        <v/>
      </c>
      <c r="CU58" t="str">
        <f t="shared" ref="CU58" si="248">IFERROR(IF(ISBLANK(CU57),"",CU57+CT58),"")</f>
        <v/>
      </c>
      <c r="CV58" t="str">
        <f t="shared" ref="CV58" si="249">IFERROR(IF(ISBLANK(CV57),"",CV57+CU58),"")</f>
        <v/>
      </c>
      <c r="CW58" t="str">
        <f t="shared" ref="CW58" si="250">IFERROR(IF(ISBLANK(CW57),"",CW57+CV58),"")</f>
        <v/>
      </c>
      <c r="CX58" t="str">
        <f t="shared" ref="CX58" si="251">IFERROR(IF(ISBLANK(CX57),"",CX57+CW58),"")</f>
        <v/>
      </c>
      <c r="CY58" t="str">
        <f t="shared" ref="CY58" si="252">IFERROR(IF(ISBLANK(CY57),"",CY57+CX58),"")</f>
        <v/>
      </c>
      <c r="CZ58" t="str">
        <f t="shared" ref="CZ58" si="253">IFERROR(IF(ISBLANK(CZ57),"",CZ57+CY58),"")</f>
        <v/>
      </c>
      <c r="DA58" t="str">
        <f t="shared" ref="DA58" si="254">IFERROR(IF(ISBLANK(DA57),"",DA57+CZ58),"")</f>
        <v/>
      </c>
      <c r="DB58" t="str">
        <f t="shared" ref="DB58" si="255">IFERROR(IF(ISBLANK(DB57),"",DB57+DA58),"")</f>
        <v/>
      </c>
      <c r="DC58" t="str">
        <f t="shared" ref="DC58" si="256">IFERROR(IF(ISBLANK(DC57),"",DC57+DB58),"")</f>
        <v/>
      </c>
      <c r="DD58" t="str">
        <f t="shared" ref="DD58" si="257">IFERROR(IF(ISBLANK(DD57),"",DD57+DC58),"")</f>
        <v/>
      </c>
      <c r="DE58" t="str">
        <f t="shared" ref="DE58" si="258">IFERROR(IF(ISBLANK(DE57),"",DE57+DD58),"")</f>
        <v/>
      </c>
      <c r="DF58" t="str">
        <f t="shared" ref="DF58" si="259">IFERROR(IF(ISBLANK(DF57),"",DF57+DE58),"")</f>
        <v/>
      </c>
      <c r="DG58" t="str">
        <f t="shared" ref="DG58" si="260">IFERROR(IF(ISBLANK(DG57),"",DG57+DF58),"")</f>
        <v/>
      </c>
      <c r="DH58" t="str">
        <f t="shared" ref="DH58" si="261">IFERROR(IF(ISBLANK(DH57),"",DH57+DG58),"")</f>
        <v/>
      </c>
      <c r="DI58" t="str">
        <f t="shared" ref="DI58" si="262">IFERROR(IF(ISBLANK(DI57),"",DI57+DH58),"")</f>
        <v/>
      </c>
      <c r="DJ58" t="str">
        <f t="shared" ref="DJ58" si="263">IFERROR(IF(ISBLANK(DJ57),"",DJ57+DI58),"")</f>
        <v/>
      </c>
      <c r="DK58" t="str">
        <f t="shared" ref="DK58" si="264">IFERROR(IF(ISBLANK(DK57),"",DK57+DJ58),"")</f>
        <v/>
      </c>
    </row>
    <row r="59" spans="1:153">
      <c r="A59" s="519" t="s">
        <v>49</v>
      </c>
      <c r="B59" s="520"/>
      <c r="C59" s="520"/>
      <c r="D59" s="520"/>
      <c r="E59" s="520"/>
      <c r="F59" s="520"/>
      <c r="G59" s="520"/>
      <c r="BO59" s="90" t="s">
        <v>60</v>
      </c>
    </row>
    <row r="60" spans="1:153" s="86" customFormat="1" ht="15.75" thickBot="1">
      <c r="A60" s="84" t="e" vm="1">
        <f>IF((C60+2.5)&gt;=B60,TRUE,FALSE)</f>
        <v>#VALUE!</v>
      </c>
      <c r="B60" s="85">
        <v>7</v>
      </c>
      <c r="C60" s="85" t="e" vm="1">
        <f>SUM(Y60:XFD60)</f>
        <v>#VALUE!</v>
      </c>
      <c r="D60" s="85"/>
      <c r="E60" s="86" t="s">
        <v>51</v>
      </c>
      <c r="AN60" s="86" t="e" vm="2">
        <v>#VALUE!</v>
      </c>
      <c r="BO60" s="88">
        <v>8.5</v>
      </c>
    </row>
    <row r="61" spans="1:153" ht="15.75" thickBot="1">
      <c r="A61" t="s">
        <v>74</v>
      </c>
      <c r="B61" s="81"/>
      <c r="AY61" s="95" t="s">
        <v>75</v>
      </c>
      <c r="BF61" s="95" t="s">
        <v>75</v>
      </c>
      <c r="BM61" s="95" t="s">
        <v>75</v>
      </c>
      <c r="BT61" s="95" t="s">
        <v>75</v>
      </c>
      <c r="CA61" s="95" t="s">
        <v>75</v>
      </c>
      <c r="CF61" s="95"/>
      <c r="CG61" s="95"/>
      <c r="CH61" s="95" t="s">
        <v>75</v>
      </c>
      <c r="CO61" s="95" t="s">
        <v>75</v>
      </c>
      <c r="CV61" s="95" t="s">
        <v>75</v>
      </c>
      <c r="DC61" s="95" t="s">
        <v>75</v>
      </c>
      <c r="DJ61" s="95" t="s">
        <v>75</v>
      </c>
      <c r="DQ61" s="95" t="s">
        <v>75</v>
      </c>
      <c r="DX61" s="95" t="s">
        <v>75</v>
      </c>
      <c r="EE61" s="95" t="s">
        <v>75</v>
      </c>
      <c r="EL61" s="95" t="s">
        <v>75</v>
      </c>
    </row>
    <row r="62" spans="1:153" s="77" customFormat="1">
      <c r="A62" s="73"/>
      <c r="E62" s="77" t="s">
        <v>44</v>
      </c>
      <c r="G62" s="96" t="s">
        <v>76</v>
      </c>
      <c r="AN62" s="97"/>
      <c r="AO62" s="97"/>
      <c r="AP62" s="97"/>
      <c r="AQ62" s="97"/>
      <c r="AR62" s="97"/>
      <c r="AS62" s="97"/>
      <c r="AT62" s="97"/>
      <c r="AU62" s="97"/>
      <c r="AV62" s="97">
        <f t="shared" ref="AV62:BQ62" si="265">SUM((AV6*15.3),(AV14*8.6),(AV22*2.75),(AV30*2.75))</f>
        <v>0</v>
      </c>
      <c r="AW62" s="97">
        <f t="shared" si="265"/>
        <v>382.5</v>
      </c>
      <c r="AX62" s="97">
        <f t="shared" si="265"/>
        <v>382.5</v>
      </c>
      <c r="AY62" s="97">
        <f t="shared" si="265"/>
        <v>382.5</v>
      </c>
      <c r="AZ62" s="97">
        <f t="shared" si="265"/>
        <v>382.5</v>
      </c>
      <c r="BA62" s="97">
        <f t="shared" si="265"/>
        <v>382.5</v>
      </c>
      <c r="BB62" s="97">
        <f t="shared" si="265"/>
        <v>382.5</v>
      </c>
      <c r="BC62" s="97">
        <f t="shared" si="265"/>
        <v>795</v>
      </c>
      <c r="BD62" s="97">
        <f t="shared" si="265"/>
        <v>795</v>
      </c>
      <c r="BE62" s="97">
        <f t="shared" si="265"/>
        <v>795</v>
      </c>
      <c r="BF62" s="97">
        <f t="shared" si="265"/>
        <v>795</v>
      </c>
      <c r="BG62" s="97">
        <f t="shared" si="265"/>
        <v>795</v>
      </c>
      <c r="BH62" s="97">
        <f t="shared" si="265"/>
        <v>795</v>
      </c>
      <c r="BI62" s="97">
        <f t="shared" si="265"/>
        <v>1207.5</v>
      </c>
      <c r="BJ62" s="97">
        <f t="shared" si="265"/>
        <v>1207.5</v>
      </c>
      <c r="BK62" s="97">
        <f t="shared" si="265"/>
        <v>1207.5</v>
      </c>
      <c r="BL62" s="97">
        <f t="shared" si="265"/>
        <v>1207.5</v>
      </c>
      <c r="BM62" s="97">
        <f t="shared" si="265"/>
        <v>1207.5</v>
      </c>
      <c r="BN62" s="97">
        <f t="shared" si="265"/>
        <v>1207.5</v>
      </c>
      <c r="BO62" s="97">
        <f t="shared" si="265"/>
        <v>1207.5</v>
      </c>
      <c r="BP62" s="97">
        <f t="shared" si="265"/>
        <v>1207.5</v>
      </c>
      <c r="BQ62" s="97">
        <f t="shared" si="265"/>
        <v>1422.5</v>
      </c>
      <c r="BR62" s="97">
        <f>SUM((BR6*15.3),(CN14*8.6),(BR22*2.75),(BR30*2.75))</f>
        <v>1465.5</v>
      </c>
      <c r="BS62" s="97">
        <f>SUM((BS6*15.3),(CO14*8.6),(BS22*2.75),(BS30*2.75))</f>
        <v>1422.5</v>
      </c>
      <c r="BT62" s="97">
        <f>SUM((BT6*15.3),(CP14*8.6),(BT22*2.75),(BT30*2.75))</f>
        <v>1422.5</v>
      </c>
      <c r="BU62" s="97">
        <f>SUM((BU6*15.3),(CQ14*8.6),(BU22*2.75),(BU30*2.75))</f>
        <v>1422.5</v>
      </c>
      <c r="BV62" s="97">
        <f t="shared" ref="BV62:DA62" si="266">SUM((BV6*15.3),(CS14*8.6),(BV22*2.75),(BV30*2.75))</f>
        <v>1422.5</v>
      </c>
      <c r="BW62" s="97">
        <f t="shared" si="266"/>
        <v>1422.5</v>
      </c>
      <c r="BX62" s="97">
        <f t="shared" si="266"/>
        <v>1422.5</v>
      </c>
      <c r="BY62" s="97">
        <f t="shared" si="266"/>
        <v>1465.5</v>
      </c>
      <c r="BZ62" s="97">
        <f t="shared" si="266"/>
        <v>1465.5</v>
      </c>
      <c r="CA62" s="97">
        <f t="shared" si="266"/>
        <v>1465.5</v>
      </c>
      <c r="CB62" s="97">
        <f t="shared" si="266"/>
        <v>1542</v>
      </c>
      <c r="CC62" s="97">
        <f t="shared" si="266"/>
        <v>1542</v>
      </c>
      <c r="CD62" s="97">
        <f t="shared" si="266"/>
        <v>1542</v>
      </c>
      <c r="CE62" s="97">
        <f t="shared" si="266"/>
        <v>1542</v>
      </c>
      <c r="CF62" s="97">
        <f t="shared" si="266"/>
        <v>1542</v>
      </c>
      <c r="CG62" s="97">
        <f t="shared" si="266"/>
        <v>1542</v>
      </c>
      <c r="CH62" s="97">
        <f t="shared" si="266"/>
        <v>1542</v>
      </c>
      <c r="CI62" s="97">
        <f t="shared" si="266"/>
        <v>1542</v>
      </c>
      <c r="CJ62" s="97">
        <f t="shared" si="266"/>
        <v>1542</v>
      </c>
      <c r="CK62" s="97">
        <f t="shared" si="266"/>
        <v>1465.5</v>
      </c>
      <c r="CL62" s="97">
        <f t="shared" si="266"/>
        <v>1465.5</v>
      </c>
      <c r="CM62" s="97">
        <f t="shared" si="266"/>
        <v>1465.5</v>
      </c>
      <c r="CN62" s="97">
        <f t="shared" si="266"/>
        <v>1465.5</v>
      </c>
      <c r="CO62" s="97">
        <f t="shared" si="266"/>
        <v>1465.5</v>
      </c>
      <c r="CP62" s="97">
        <f t="shared" si="266"/>
        <v>1465.5</v>
      </c>
      <c r="CQ62" s="97">
        <f t="shared" si="266"/>
        <v>1465.5</v>
      </c>
      <c r="CR62" s="97">
        <f t="shared" si="266"/>
        <v>1465.5</v>
      </c>
      <c r="CS62" s="97">
        <f t="shared" si="266"/>
        <v>1542</v>
      </c>
      <c r="CT62" s="97">
        <f t="shared" si="266"/>
        <v>1542</v>
      </c>
      <c r="CU62" s="97">
        <f t="shared" si="266"/>
        <v>1542</v>
      </c>
      <c r="CV62" s="97">
        <f t="shared" si="266"/>
        <v>1542</v>
      </c>
      <c r="CW62" s="97">
        <f t="shared" si="266"/>
        <v>1542</v>
      </c>
      <c r="CX62" s="97">
        <f t="shared" si="266"/>
        <v>1542</v>
      </c>
      <c r="CY62" s="97">
        <f t="shared" si="266"/>
        <v>1542</v>
      </c>
      <c r="CZ62" s="97">
        <f t="shared" si="266"/>
        <v>1542</v>
      </c>
      <c r="DA62" s="97">
        <f t="shared" si="266"/>
        <v>1465.5</v>
      </c>
      <c r="DB62" s="97">
        <f t="shared" ref="DB62:EG62" si="267">SUM((DB6*15.3),(DY14*8.6),(DB22*2.75),(DB30*2.75))</f>
        <v>1465.5</v>
      </c>
      <c r="DC62" s="97">
        <f t="shared" si="267"/>
        <v>1465.5</v>
      </c>
      <c r="DD62" s="97">
        <f t="shared" si="267"/>
        <v>1465.5</v>
      </c>
      <c r="DE62" s="97">
        <f t="shared" si="267"/>
        <v>1542</v>
      </c>
      <c r="DF62" s="97">
        <f t="shared" si="267"/>
        <v>1542</v>
      </c>
      <c r="DG62" s="97">
        <f t="shared" si="267"/>
        <v>1542</v>
      </c>
      <c r="DH62" s="97">
        <f t="shared" si="267"/>
        <v>1542</v>
      </c>
      <c r="DI62" s="97">
        <f t="shared" si="267"/>
        <v>1542</v>
      </c>
      <c r="DJ62" s="97">
        <f t="shared" si="267"/>
        <v>1542</v>
      </c>
      <c r="DK62" s="97">
        <f t="shared" si="267"/>
        <v>1542</v>
      </c>
      <c r="DL62" s="97">
        <f t="shared" si="267"/>
        <v>1542</v>
      </c>
      <c r="DM62" s="97">
        <f t="shared" si="267"/>
        <v>1542</v>
      </c>
      <c r="DN62" s="97">
        <f t="shared" si="267"/>
        <v>1542</v>
      </c>
      <c r="DO62" s="97">
        <f t="shared" si="267"/>
        <v>1542</v>
      </c>
      <c r="DP62" s="97">
        <f t="shared" si="267"/>
        <v>1542</v>
      </c>
      <c r="DQ62" s="97">
        <f t="shared" si="267"/>
        <v>1542</v>
      </c>
      <c r="DR62" s="97">
        <f t="shared" si="267"/>
        <v>1465.5</v>
      </c>
      <c r="DS62" s="97">
        <f t="shared" si="267"/>
        <v>1465.5</v>
      </c>
      <c r="DT62" s="97">
        <f t="shared" si="267"/>
        <v>1465.5</v>
      </c>
      <c r="DU62" s="97">
        <f t="shared" si="267"/>
        <v>1465.5</v>
      </c>
      <c r="DV62" s="97">
        <f t="shared" si="267"/>
        <v>1465.5</v>
      </c>
      <c r="DW62" s="97">
        <f t="shared" si="267"/>
        <v>1465.5</v>
      </c>
      <c r="DX62" s="97">
        <f t="shared" si="267"/>
        <v>1465.5</v>
      </c>
      <c r="DY62" s="97">
        <f t="shared" si="267"/>
        <v>1465.5</v>
      </c>
      <c r="DZ62" s="97">
        <f t="shared" si="267"/>
        <v>1465.5</v>
      </c>
      <c r="EA62" s="97">
        <f t="shared" si="267"/>
        <v>1465.5</v>
      </c>
      <c r="EB62" s="97">
        <f t="shared" si="267"/>
        <v>1465.5</v>
      </c>
      <c r="EC62" s="97">
        <f t="shared" si="267"/>
        <v>1312.5</v>
      </c>
      <c r="ED62" s="97">
        <f t="shared" si="267"/>
        <v>1312.5</v>
      </c>
      <c r="EE62" s="97">
        <f t="shared" si="267"/>
        <v>1312.5</v>
      </c>
      <c r="EF62" s="97">
        <f t="shared" si="267"/>
        <v>1312.5</v>
      </c>
      <c r="EG62" s="97">
        <f t="shared" si="267"/>
        <v>1465.5</v>
      </c>
      <c r="EH62" s="97">
        <f t="shared" ref="EH62:EW62" si="268">SUM((EH6*15.3),(FE14*8.6),(EH22*2.75),(EH30*2.75))</f>
        <v>1465.5</v>
      </c>
      <c r="EI62" s="97">
        <f t="shared" si="268"/>
        <v>1465.5</v>
      </c>
      <c r="EJ62" s="97">
        <f t="shared" si="268"/>
        <v>1465.5</v>
      </c>
      <c r="EK62" s="97">
        <f t="shared" si="268"/>
        <v>1465.5</v>
      </c>
      <c r="EL62" s="97">
        <f t="shared" si="268"/>
        <v>1465.5</v>
      </c>
      <c r="EM62" s="97">
        <f t="shared" si="268"/>
        <v>1465.5</v>
      </c>
      <c r="EN62" s="97">
        <f t="shared" si="268"/>
        <v>1465.5</v>
      </c>
      <c r="EO62" s="97">
        <f t="shared" si="268"/>
        <v>1465.5</v>
      </c>
      <c r="EP62" s="97">
        <f t="shared" si="268"/>
        <v>1465.5</v>
      </c>
      <c r="EQ62" s="97">
        <f t="shared" si="268"/>
        <v>1465.5</v>
      </c>
      <c r="ER62" s="97">
        <f t="shared" si="268"/>
        <v>1603</v>
      </c>
      <c r="ES62" s="97">
        <f t="shared" si="268"/>
        <v>1603</v>
      </c>
      <c r="ET62" s="97">
        <f t="shared" si="268"/>
        <v>1190.5</v>
      </c>
      <c r="EU62" s="97">
        <f t="shared" si="268"/>
        <v>1190.5</v>
      </c>
      <c r="EV62" s="97">
        <f t="shared" si="268"/>
        <v>640.5</v>
      </c>
      <c r="EW62" s="97">
        <f t="shared" si="268"/>
        <v>640.5</v>
      </c>
    </row>
    <row r="63" spans="1:153">
      <c r="A63" s="7"/>
      <c r="G63" s="98" t="s">
        <v>77</v>
      </c>
      <c r="AN63" s="99"/>
      <c r="AO63" s="99"/>
      <c r="AP63" s="99"/>
      <c r="AQ63" s="99"/>
      <c r="AR63" s="99"/>
      <c r="AS63" s="99"/>
      <c r="AT63" s="99"/>
      <c r="AU63" s="99"/>
      <c r="AV63" s="99">
        <f t="shared" ref="AV63:BQ63" si="269">SUM(((AV6/4)/18),((AV14/3)/24),(AV22/350),(AV30/350))</f>
        <v>0</v>
      </c>
      <c r="AW63" s="99">
        <f t="shared" si="269"/>
        <v>0.34722222222222221</v>
      </c>
      <c r="AX63" s="99">
        <f t="shared" si="269"/>
        <v>0.34722222222222221</v>
      </c>
      <c r="AY63" s="99">
        <f t="shared" si="269"/>
        <v>0.34722222222222221</v>
      </c>
      <c r="AZ63" s="99">
        <f t="shared" si="269"/>
        <v>0.34722222222222221</v>
      </c>
      <c r="BA63" s="99">
        <f t="shared" si="269"/>
        <v>0.34722222222222221</v>
      </c>
      <c r="BB63" s="99">
        <f t="shared" si="269"/>
        <v>0.34722222222222221</v>
      </c>
      <c r="BC63" s="99">
        <f t="shared" si="269"/>
        <v>0.7757936507936507</v>
      </c>
      <c r="BD63" s="99">
        <f t="shared" si="269"/>
        <v>0.7757936507936507</v>
      </c>
      <c r="BE63" s="99">
        <f t="shared" si="269"/>
        <v>0.7757936507936507</v>
      </c>
      <c r="BF63" s="99">
        <f t="shared" si="269"/>
        <v>0.7757936507936507</v>
      </c>
      <c r="BG63" s="99">
        <f t="shared" si="269"/>
        <v>0.7757936507936507</v>
      </c>
      <c r="BH63" s="99">
        <f t="shared" si="269"/>
        <v>0.7757936507936507</v>
      </c>
      <c r="BI63" s="99">
        <f t="shared" si="269"/>
        <v>1.2043650793650793</v>
      </c>
      <c r="BJ63" s="99">
        <f t="shared" si="269"/>
        <v>1.2043650793650793</v>
      </c>
      <c r="BK63" s="99">
        <f t="shared" si="269"/>
        <v>1.2043650793650793</v>
      </c>
      <c r="BL63" s="99">
        <f t="shared" si="269"/>
        <v>1.2043650793650793</v>
      </c>
      <c r="BM63" s="99">
        <f t="shared" si="269"/>
        <v>1.2043650793650793</v>
      </c>
      <c r="BN63" s="99">
        <f t="shared" si="269"/>
        <v>1.2043650793650793</v>
      </c>
      <c r="BO63" s="99">
        <f t="shared" si="269"/>
        <v>1.2043650793650793</v>
      </c>
      <c r="BP63" s="99">
        <f t="shared" si="269"/>
        <v>1.2043650793650793</v>
      </c>
      <c r="BQ63" s="99">
        <f t="shared" si="269"/>
        <v>1.5515873015873016</v>
      </c>
      <c r="BR63" s="99">
        <f>SUM(((BR6/4)/18),((CN14/3)/24),(BR22/350),(BR30/350))</f>
        <v>1.621031746031746</v>
      </c>
      <c r="BS63" s="99">
        <f>SUM(((BS6/4)/18),((CO14/3)/24),(BS22/350),(BS30/350))</f>
        <v>1.5515873015873016</v>
      </c>
      <c r="BT63" s="99">
        <f>SUM(((BT6/4)/18),((CP14/3)/24),(BT22/350),(BT30/350))</f>
        <v>1.5515873015873016</v>
      </c>
      <c r="BU63" s="99">
        <f>SUM(((BU6/4)/18),((CQ14/3)/24),(BU22/350),(BU30/350))</f>
        <v>1.5515873015873016</v>
      </c>
      <c r="BV63" s="99">
        <f t="shared" ref="BV63:DA63" si="270">SUM(((BV6/4)/18),((CS14/3)/24),(BV22/350),(BV30/350))</f>
        <v>1.5515873015873016</v>
      </c>
      <c r="BW63" s="99">
        <f t="shared" si="270"/>
        <v>1.5515873015873016</v>
      </c>
      <c r="BX63" s="99">
        <f t="shared" si="270"/>
        <v>1.5515873015873016</v>
      </c>
      <c r="BY63" s="99">
        <f t="shared" si="270"/>
        <v>1.621031746031746</v>
      </c>
      <c r="BZ63" s="99">
        <f t="shared" si="270"/>
        <v>1.621031746031746</v>
      </c>
      <c r="CA63" s="99">
        <f t="shared" si="270"/>
        <v>1.621031746031746</v>
      </c>
      <c r="CB63" s="99">
        <f t="shared" si="270"/>
        <v>1.6904761904761905</v>
      </c>
      <c r="CC63" s="99">
        <f t="shared" si="270"/>
        <v>1.6904761904761905</v>
      </c>
      <c r="CD63" s="99">
        <f t="shared" si="270"/>
        <v>1.6904761904761905</v>
      </c>
      <c r="CE63" s="99">
        <f t="shared" si="270"/>
        <v>1.6904761904761905</v>
      </c>
      <c r="CF63" s="99">
        <f t="shared" si="270"/>
        <v>1.6904761904761905</v>
      </c>
      <c r="CG63" s="99">
        <f t="shared" si="270"/>
        <v>1.6904761904761905</v>
      </c>
      <c r="CH63" s="99">
        <f t="shared" si="270"/>
        <v>1.6904761904761905</v>
      </c>
      <c r="CI63" s="99">
        <f t="shared" si="270"/>
        <v>1.6904761904761905</v>
      </c>
      <c r="CJ63" s="99">
        <f t="shared" si="270"/>
        <v>1.6904761904761905</v>
      </c>
      <c r="CK63" s="99">
        <f t="shared" si="270"/>
        <v>1.621031746031746</v>
      </c>
      <c r="CL63" s="99">
        <f t="shared" si="270"/>
        <v>1.621031746031746</v>
      </c>
      <c r="CM63" s="99">
        <f t="shared" si="270"/>
        <v>1.621031746031746</v>
      </c>
      <c r="CN63" s="99">
        <f t="shared" si="270"/>
        <v>1.621031746031746</v>
      </c>
      <c r="CO63" s="99">
        <f t="shared" si="270"/>
        <v>1.621031746031746</v>
      </c>
      <c r="CP63" s="99">
        <f t="shared" si="270"/>
        <v>1.621031746031746</v>
      </c>
      <c r="CQ63" s="99">
        <f t="shared" si="270"/>
        <v>1.621031746031746</v>
      </c>
      <c r="CR63" s="99">
        <f t="shared" si="270"/>
        <v>1.621031746031746</v>
      </c>
      <c r="CS63" s="99">
        <f t="shared" si="270"/>
        <v>1.6904761904761905</v>
      </c>
      <c r="CT63" s="99">
        <f t="shared" si="270"/>
        <v>1.6904761904761905</v>
      </c>
      <c r="CU63" s="99">
        <f t="shared" si="270"/>
        <v>1.6904761904761905</v>
      </c>
      <c r="CV63" s="99">
        <f t="shared" si="270"/>
        <v>1.6904761904761905</v>
      </c>
      <c r="CW63" s="99">
        <f t="shared" si="270"/>
        <v>1.6904761904761905</v>
      </c>
      <c r="CX63" s="99">
        <f t="shared" si="270"/>
        <v>1.6904761904761905</v>
      </c>
      <c r="CY63" s="99">
        <f t="shared" si="270"/>
        <v>1.6904761904761905</v>
      </c>
      <c r="CZ63" s="99">
        <f t="shared" si="270"/>
        <v>1.6904761904761905</v>
      </c>
      <c r="DA63" s="99">
        <f t="shared" si="270"/>
        <v>1.621031746031746</v>
      </c>
      <c r="DB63" s="99">
        <f t="shared" ref="DB63:EG63" si="271">SUM(((DB6/4)/18),((DY14/3)/24),(DB22/350),(DB30/350))</f>
        <v>1.621031746031746</v>
      </c>
      <c r="DC63" s="99">
        <f t="shared" si="271"/>
        <v>1.621031746031746</v>
      </c>
      <c r="DD63" s="99">
        <f t="shared" si="271"/>
        <v>1.621031746031746</v>
      </c>
      <c r="DE63" s="99">
        <f t="shared" si="271"/>
        <v>1.6904761904761905</v>
      </c>
      <c r="DF63" s="99">
        <f t="shared" si="271"/>
        <v>1.6904761904761905</v>
      </c>
      <c r="DG63" s="99">
        <f t="shared" si="271"/>
        <v>1.6904761904761905</v>
      </c>
      <c r="DH63" s="99">
        <f t="shared" si="271"/>
        <v>1.6904761904761905</v>
      </c>
      <c r="DI63" s="99">
        <f t="shared" si="271"/>
        <v>1.6904761904761905</v>
      </c>
      <c r="DJ63" s="99">
        <f t="shared" si="271"/>
        <v>1.6904761904761905</v>
      </c>
      <c r="DK63" s="99">
        <f t="shared" si="271"/>
        <v>1.6904761904761905</v>
      </c>
      <c r="DL63" s="99">
        <f t="shared" si="271"/>
        <v>1.6904761904761905</v>
      </c>
      <c r="DM63" s="99">
        <f t="shared" si="271"/>
        <v>1.6904761904761905</v>
      </c>
      <c r="DN63" s="99">
        <f t="shared" si="271"/>
        <v>1.6904761904761905</v>
      </c>
      <c r="DO63" s="99">
        <f t="shared" si="271"/>
        <v>1.6904761904761905</v>
      </c>
      <c r="DP63" s="99">
        <f t="shared" si="271"/>
        <v>1.6904761904761905</v>
      </c>
      <c r="DQ63" s="99">
        <f t="shared" si="271"/>
        <v>1.6904761904761905</v>
      </c>
      <c r="DR63" s="99">
        <f t="shared" si="271"/>
        <v>1.621031746031746</v>
      </c>
      <c r="DS63" s="99">
        <f t="shared" si="271"/>
        <v>1.621031746031746</v>
      </c>
      <c r="DT63" s="99">
        <f t="shared" si="271"/>
        <v>1.621031746031746</v>
      </c>
      <c r="DU63" s="99">
        <f t="shared" si="271"/>
        <v>1.621031746031746</v>
      </c>
      <c r="DV63" s="99">
        <f t="shared" si="271"/>
        <v>1.621031746031746</v>
      </c>
      <c r="DW63" s="99">
        <f t="shared" si="271"/>
        <v>1.621031746031746</v>
      </c>
      <c r="DX63" s="99">
        <f t="shared" si="271"/>
        <v>1.621031746031746</v>
      </c>
      <c r="DY63" s="99">
        <f t="shared" si="271"/>
        <v>1.621031746031746</v>
      </c>
      <c r="DZ63" s="99">
        <f t="shared" si="271"/>
        <v>1.621031746031746</v>
      </c>
      <c r="EA63" s="99">
        <f t="shared" si="271"/>
        <v>1.621031746031746</v>
      </c>
      <c r="EB63" s="99">
        <f t="shared" si="271"/>
        <v>1.621031746031746</v>
      </c>
      <c r="EC63" s="99">
        <f t="shared" si="271"/>
        <v>1.4821428571428572</v>
      </c>
      <c r="ED63" s="99">
        <f t="shared" si="271"/>
        <v>1.4821428571428572</v>
      </c>
      <c r="EE63" s="99">
        <f t="shared" si="271"/>
        <v>1.4821428571428572</v>
      </c>
      <c r="EF63" s="99">
        <f t="shared" si="271"/>
        <v>1.4821428571428572</v>
      </c>
      <c r="EG63" s="99">
        <f t="shared" si="271"/>
        <v>1.621031746031746</v>
      </c>
      <c r="EH63" s="99">
        <f t="shared" ref="EH63:EW63" si="272">SUM(((EH6/4)/18),((FE14/3)/24),(EH22/350),(EH30/350))</f>
        <v>1.621031746031746</v>
      </c>
      <c r="EI63" s="99">
        <f t="shared" si="272"/>
        <v>1.621031746031746</v>
      </c>
      <c r="EJ63" s="99">
        <f t="shared" si="272"/>
        <v>1.621031746031746</v>
      </c>
      <c r="EK63" s="99">
        <f t="shared" si="272"/>
        <v>1.621031746031746</v>
      </c>
      <c r="EL63" s="99">
        <f t="shared" si="272"/>
        <v>1.621031746031746</v>
      </c>
      <c r="EM63" s="99">
        <f t="shared" si="272"/>
        <v>1.621031746031746</v>
      </c>
      <c r="EN63" s="99">
        <f t="shared" si="272"/>
        <v>1.621031746031746</v>
      </c>
      <c r="EO63" s="99">
        <f t="shared" si="272"/>
        <v>1.621031746031746</v>
      </c>
      <c r="EP63" s="99">
        <f t="shared" si="272"/>
        <v>1.621031746031746</v>
      </c>
      <c r="EQ63" s="99">
        <f t="shared" si="272"/>
        <v>1.621031746031746</v>
      </c>
      <c r="ER63" s="99">
        <f t="shared" si="272"/>
        <v>1.7638888888888888</v>
      </c>
      <c r="ES63" s="99">
        <f t="shared" si="272"/>
        <v>1.7638888888888888</v>
      </c>
      <c r="ET63" s="99">
        <f t="shared" si="272"/>
        <v>1.3353174603174602</v>
      </c>
      <c r="EU63" s="99">
        <f t="shared" si="272"/>
        <v>1.3353174603174602</v>
      </c>
      <c r="EV63" s="99">
        <f t="shared" si="272"/>
        <v>0.76388888888888884</v>
      </c>
      <c r="EW63" s="99">
        <f t="shared" si="272"/>
        <v>0.76388888888888884</v>
      </c>
    </row>
    <row r="64" spans="1:153">
      <c r="A64" s="7"/>
      <c r="G64" s="98" t="s">
        <v>78</v>
      </c>
      <c r="AR64" s="99"/>
      <c r="AS64" s="99"/>
      <c r="AT64" s="99"/>
      <c r="AU64" s="99"/>
      <c r="AV64" s="99"/>
      <c r="AW64" s="99"/>
      <c r="AX64" s="99"/>
      <c r="AY64" s="99">
        <f>SUM(AR62:AX62)/1000</f>
        <v>0.76500000000000001</v>
      </c>
      <c r="AZ64" s="99"/>
      <c r="BA64" s="99"/>
      <c r="BB64" s="99"/>
      <c r="BC64" s="99"/>
      <c r="BD64" s="99"/>
      <c r="BE64" s="99"/>
      <c r="BF64" s="99">
        <f>SUM(AY62:BE62)/1000</f>
        <v>3.915</v>
      </c>
      <c r="BG64" s="99"/>
      <c r="BH64" s="99"/>
      <c r="BI64" s="99"/>
      <c r="BJ64" s="99"/>
      <c r="BK64" s="99"/>
      <c r="BL64" s="99"/>
      <c r="BM64" s="99">
        <f t="shared" ref="BM64" si="273">SUM(BF62:BL62)/1000</f>
        <v>7.2149999999999999</v>
      </c>
      <c r="BN64" s="99"/>
      <c r="BO64" s="99"/>
      <c r="BP64" s="99"/>
      <c r="BQ64" s="99"/>
      <c r="BR64" s="99"/>
      <c r="BS64" s="99"/>
      <c r="BT64" s="99">
        <f t="shared" ref="BT64" si="274">SUM(BM62:BS62)/1000</f>
        <v>9.1404999999999994</v>
      </c>
      <c r="BU64" s="99"/>
      <c r="BV64" s="99"/>
      <c r="BW64" s="99"/>
      <c r="BX64" s="99"/>
      <c r="BY64" s="99"/>
      <c r="BZ64" s="99"/>
      <c r="CA64" s="99">
        <f t="shared" ref="CA64" si="275">SUM(BT62:BZ62)/1000</f>
        <v>10.0435</v>
      </c>
      <c r="CB64" s="99"/>
      <c r="CC64" s="99"/>
      <c r="CD64" s="99"/>
      <c r="CE64" s="99"/>
      <c r="CF64" s="99"/>
      <c r="CG64" s="99"/>
      <c r="CH64" s="99">
        <f t="shared" ref="CH64" si="276">SUM(CA62:CG62)/1000</f>
        <v>10.717499999999999</v>
      </c>
      <c r="CI64" s="99"/>
      <c r="CJ64" s="99"/>
      <c r="CK64" s="99"/>
      <c r="CL64" s="99"/>
      <c r="CM64" s="99"/>
      <c r="CN64" s="99"/>
      <c r="CO64" s="99">
        <f t="shared" ref="CO64" si="277">SUM(CH62:CN62)/1000</f>
        <v>10.488</v>
      </c>
      <c r="CP64" s="99"/>
      <c r="CQ64" s="99"/>
      <c r="CR64" s="99"/>
      <c r="CS64" s="99"/>
      <c r="CT64" s="99"/>
      <c r="CU64" s="99"/>
      <c r="CV64" s="99">
        <f t="shared" ref="CV64" si="278">SUM(CO62:CU62)/1000</f>
        <v>10.488</v>
      </c>
      <c r="CW64" s="99"/>
      <c r="CX64" s="99"/>
      <c r="CY64" s="99"/>
      <c r="CZ64" s="99"/>
      <c r="DA64" s="99"/>
      <c r="DB64" s="99"/>
      <c r="DC64" s="99">
        <f t="shared" ref="DC64" si="279">SUM(CV62:DB62)/1000</f>
        <v>10.641</v>
      </c>
      <c r="DD64" s="99"/>
      <c r="DE64" s="99"/>
      <c r="DF64" s="99"/>
      <c r="DG64" s="99"/>
      <c r="DH64" s="99"/>
      <c r="DI64" s="99"/>
      <c r="DJ64" s="99">
        <f t="shared" ref="DJ64" si="280">SUM(DC62:DI62)/1000</f>
        <v>10.641</v>
      </c>
      <c r="DK64" s="99"/>
      <c r="DL64" s="99"/>
      <c r="DM64" s="99"/>
      <c r="DN64" s="99"/>
      <c r="DO64" s="99"/>
      <c r="DP64" s="99"/>
      <c r="DQ64" s="99">
        <f t="shared" ref="DQ64" si="281">SUM(DJ62:DP62)/1000</f>
        <v>10.794</v>
      </c>
      <c r="DR64" s="99"/>
      <c r="DS64" s="99"/>
      <c r="DT64" s="99"/>
      <c r="DU64" s="99"/>
      <c r="DV64" s="99"/>
      <c r="DW64" s="99"/>
      <c r="DX64" s="99">
        <f t="shared" ref="DX64" si="282">SUM(DQ62:DW62)/1000</f>
        <v>10.335000000000001</v>
      </c>
      <c r="DY64" s="99"/>
      <c r="DZ64" s="99"/>
      <c r="EA64" s="99"/>
      <c r="EB64" s="99"/>
      <c r="EC64" s="99"/>
      <c r="ED64" s="99"/>
      <c r="EE64" s="99">
        <f t="shared" ref="EE64" si="283">SUM(DX62:ED62)/1000</f>
        <v>9.9525000000000006</v>
      </c>
      <c r="EF64" s="99"/>
      <c r="EG64" s="99"/>
      <c r="EH64" s="99"/>
      <c r="EI64" s="99"/>
    </row>
    <row r="65" spans="1:153" s="86" customFormat="1" ht="15.75" thickBot="1">
      <c r="A65" s="84"/>
      <c r="G65" s="100" t="s">
        <v>79</v>
      </c>
      <c r="AR65" s="88"/>
      <c r="AS65" s="88"/>
      <c r="AT65" s="88"/>
      <c r="AU65" s="88"/>
      <c r="AV65" s="88"/>
      <c r="AW65" s="88"/>
      <c r="AX65" s="88"/>
      <c r="AY65" s="88">
        <f>SUM(AR63:AX63)</f>
        <v>0.69444444444444442</v>
      </c>
      <c r="AZ65" s="88"/>
      <c r="BA65" s="88"/>
      <c r="BB65" s="88"/>
      <c r="BC65" s="88"/>
      <c r="BD65" s="88"/>
      <c r="BE65" s="88"/>
      <c r="BF65" s="88">
        <f>SUM(AY63:BE63)</f>
        <v>3.7162698412698409</v>
      </c>
      <c r="BG65" s="88"/>
      <c r="BH65" s="88"/>
      <c r="BI65" s="88"/>
      <c r="BJ65" s="88"/>
      <c r="BK65" s="88"/>
      <c r="BL65" s="88"/>
      <c r="BM65" s="88">
        <f>SUM(BF63:BL63)</f>
        <v>7.1448412698412689</v>
      </c>
      <c r="BN65" s="88"/>
      <c r="BO65" s="88"/>
      <c r="BP65" s="88"/>
      <c r="BQ65" s="88"/>
      <c r="BR65" s="88"/>
      <c r="BS65" s="88"/>
      <c r="BT65" s="88">
        <f>SUM(BM63:BS63)</f>
        <v>9.5416666666666661</v>
      </c>
      <c r="BU65" s="88"/>
      <c r="BV65" s="88"/>
      <c r="BW65" s="88"/>
      <c r="BX65" s="88"/>
      <c r="BY65" s="88"/>
      <c r="BZ65" s="88"/>
      <c r="CA65" s="88">
        <f>SUM(BT63:BZ63)</f>
        <v>11</v>
      </c>
      <c r="CB65" s="88"/>
      <c r="CC65" s="88"/>
      <c r="CD65" s="88"/>
      <c r="CE65" s="88"/>
      <c r="CF65" s="88"/>
      <c r="CG65" s="88"/>
      <c r="CH65" s="88">
        <f>SUM(CA63:CG63)</f>
        <v>11.763888888888888</v>
      </c>
      <c r="CI65" s="88"/>
      <c r="CJ65" s="88"/>
      <c r="CK65" s="88"/>
      <c r="CL65" s="88"/>
      <c r="CM65" s="88"/>
      <c r="CN65" s="88"/>
      <c r="CO65" s="88">
        <f t="shared" ref="CO65" si="284">SUM(CH63:CN63)</f>
        <v>11.555555555555557</v>
      </c>
      <c r="CP65" s="88"/>
      <c r="CQ65" s="88"/>
      <c r="CR65" s="88"/>
      <c r="CS65" s="88"/>
      <c r="CT65" s="88"/>
      <c r="CU65" s="88"/>
      <c r="CV65" s="88">
        <f t="shared" ref="CV65" si="285">SUM(CO63:CU63)</f>
        <v>11.555555555555554</v>
      </c>
      <c r="CW65" s="88"/>
      <c r="CX65" s="88"/>
      <c r="CY65" s="88"/>
      <c r="CZ65" s="88"/>
      <c r="DA65" s="88"/>
      <c r="DB65" s="88"/>
      <c r="DC65" s="88">
        <f t="shared" ref="DC65" si="286">SUM(CV63:DB63)</f>
        <v>11.694444444444446</v>
      </c>
      <c r="DD65" s="88"/>
      <c r="DE65" s="88"/>
      <c r="DF65" s="88"/>
      <c r="DG65" s="88"/>
      <c r="DH65" s="88"/>
      <c r="DI65" s="88"/>
      <c r="DJ65" s="88">
        <f t="shared" ref="DJ65" si="287">SUM(DC63:DI63)</f>
        <v>11.694444444444443</v>
      </c>
      <c r="DK65" s="88"/>
      <c r="DL65" s="88"/>
      <c r="DM65" s="88"/>
      <c r="DN65" s="88"/>
      <c r="DO65" s="88"/>
      <c r="DP65" s="88"/>
      <c r="DQ65" s="88">
        <f t="shared" ref="DQ65" si="288">SUM(DJ63:DP63)</f>
        <v>11.833333333333332</v>
      </c>
      <c r="DR65" s="88"/>
      <c r="DS65" s="88"/>
      <c r="DT65" s="88"/>
      <c r="DU65" s="88"/>
      <c r="DV65" s="88"/>
      <c r="DW65" s="88"/>
      <c r="DX65" s="88">
        <f t="shared" ref="DX65" si="289">SUM(DQ63:DW63)</f>
        <v>11.416666666666668</v>
      </c>
      <c r="DY65" s="88"/>
      <c r="DZ65" s="88"/>
      <c r="EA65" s="88"/>
      <c r="EB65" s="88"/>
      <c r="EC65" s="88"/>
      <c r="ED65" s="88"/>
      <c r="EE65" s="88">
        <f t="shared" ref="EE65" si="290">SUM(DX63:ED63)</f>
        <v>11.069444444444446</v>
      </c>
      <c r="EF65" s="88"/>
      <c r="EG65" s="88"/>
      <c r="EH65" s="88"/>
      <c r="EI65" s="88"/>
    </row>
    <row r="66" spans="1:153" s="77" customFormat="1">
      <c r="A66" s="73"/>
      <c r="E66" s="77" t="s">
        <v>22</v>
      </c>
      <c r="G66" s="96" t="s">
        <v>76</v>
      </c>
      <c r="AV66" s="97">
        <f>SUM((AV7*15.3),(AV15*8.6),(AV23*2.75),(AV31*2.75))</f>
        <v>0</v>
      </c>
      <c r="AW66" s="97">
        <f t="shared" ref="AW66:DH66" si="291">SUM((AW7*15.3),(AW15*8.6),(AW23*2.75),(AW31*2.75))</f>
        <v>787.95</v>
      </c>
      <c r="AX66" s="97">
        <f t="shared" si="291"/>
        <v>856.80000000000007</v>
      </c>
      <c r="AY66" s="97">
        <f t="shared" si="291"/>
        <v>803.25</v>
      </c>
      <c r="AZ66" s="97">
        <f t="shared" si="291"/>
        <v>327.42</v>
      </c>
      <c r="BA66" s="97">
        <f t="shared" si="291"/>
        <v>896.58</v>
      </c>
      <c r="BB66" s="97">
        <f t="shared" si="291"/>
        <v>459</v>
      </c>
      <c r="BC66" s="97">
        <f t="shared" si="291"/>
        <v>625.28</v>
      </c>
      <c r="BD66" s="97">
        <f t="shared" si="291"/>
        <v>626.90000000000009</v>
      </c>
      <c r="BE66" s="97">
        <f t="shared" si="291"/>
        <v>1436.03</v>
      </c>
      <c r="BF66" s="97">
        <f t="shared" si="291"/>
        <v>1238.17</v>
      </c>
      <c r="BG66" s="97">
        <f t="shared" si="291"/>
        <v>1069.33</v>
      </c>
      <c r="BH66" s="97">
        <f t="shared" si="291"/>
        <v>1277.6199999999999</v>
      </c>
      <c r="BI66" s="97">
        <f t="shared" si="291"/>
        <v>819.05000000000018</v>
      </c>
      <c r="BJ66" s="97">
        <f t="shared" si="291"/>
        <v>722.18000000000006</v>
      </c>
      <c r="BK66" s="97">
        <f t="shared" si="291"/>
        <v>1040.5700000000002</v>
      </c>
      <c r="BL66" s="97">
        <f t="shared" si="291"/>
        <v>791.74</v>
      </c>
      <c r="BM66" s="97">
        <f t="shared" si="291"/>
        <v>663.12</v>
      </c>
      <c r="BN66" s="97">
        <f t="shared" si="291"/>
        <v>913.55000000000007</v>
      </c>
      <c r="BO66" s="97">
        <f t="shared" si="291"/>
        <v>1066.3600000000001</v>
      </c>
      <c r="BP66" s="97">
        <f t="shared" si="291"/>
        <v>1085.54</v>
      </c>
      <c r="BQ66" s="97">
        <f t="shared" si="291"/>
        <v>727.54</v>
      </c>
      <c r="BR66" s="97">
        <f t="shared" si="291"/>
        <v>640.36</v>
      </c>
      <c r="BS66" s="97">
        <f t="shared" si="291"/>
        <v>730.34999999999991</v>
      </c>
      <c r="BT66" s="97">
        <f t="shared" si="291"/>
        <v>1154.76</v>
      </c>
      <c r="BU66" s="97">
        <f t="shared" si="291"/>
        <v>1267.3</v>
      </c>
      <c r="BV66" s="97">
        <f t="shared" si="291"/>
        <v>1039.55</v>
      </c>
      <c r="BW66" s="97">
        <f t="shared" si="291"/>
        <v>1291.3700000000001</v>
      </c>
      <c r="BX66" s="97">
        <f t="shared" si="291"/>
        <v>1226.5900000000001</v>
      </c>
      <c r="BY66" s="97">
        <f t="shared" si="291"/>
        <v>982.28</v>
      </c>
      <c r="BZ66" s="97">
        <f t="shared" si="291"/>
        <v>1368.7</v>
      </c>
      <c r="CA66" s="97">
        <f t="shared" si="291"/>
        <v>1246.8800000000001</v>
      </c>
      <c r="CB66" s="97">
        <f t="shared" si="291"/>
        <v>2043.2</v>
      </c>
      <c r="CC66" s="97">
        <f t="shared" si="291"/>
        <v>1758.7</v>
      </c>
      <c r="CD66" s="97">
        <f t="shared" si="291"/>
        <v>1883.42</v>
      </c>
      <c r="CE66" s="97">
        <f t="shared" si="291"/>
        <v>1546.96</v>
      </c>
      <c r="CF66" s="97">
        <f t="shared" si="291"/>
        <v>1433.72</v>
      </c>
      <c r="CG66" s="97">
        <f t="shared" si="291"/>
        <v>1313.6</v>
      </c>
      <c r="CH66" s="97">
        <f t="shared" si="291"/>
        <v>619.41000000000008</v>
      </c>
      <c r="CI66" s="97">
        <f t="shared" si="291"/>
        <v>1573.62</v>
      </c>
      <c r="CJ66" s="97">
        <f t="shared" si="291"/>
        <v>1636.63</v>
      </c>
      <c r="CK66" s="97">
        <f t="shared" si="291"/>
        <v>1698.4</v>
      </c>
      <c r="CL66" s="97">
        <f t="shared" si="291"/>
        <v>877.38</v>
      </c>
      <c r="CM66" s="97">
        <f>SUM((CM7*15.3),(CN15*8.6),(CM23*2.75),(CM31*2.75))</f>
        <v>642.93999999999994</v>
      </c>
      <c r="CN66" s="97" t="e">
        <f>SUM((CN7*15.3),(#REF!*8.6),(CN23*2.75),(CN31*2.75))</f>
        <v>#REF!</v>
      </c>
      <c r="CO66" s="97">
        <f>SUM((CO7*15.3),(CM15*8.6),(CO23*2.75),(CO31*2.75))</f>
        <v>1535.42</v>
      </c>
      <c r="CP66" s="97">
        <f>SUM((CP7*15.3),(CP15*8.6),(CP23*2.75),(CP31*2.75))</f>
        <v>1275.4000000000001</v>
      </c>
      <c r="CQ66" s="97">
        <f t="shared" si="291"/>
        <v>1540.41</v>
      </c>
      <c r="CR66" s="97">
        <f>SUM((CR7*15.3),(CR15*8.6),(CR23*2.75),(CR31*2.75))</f>
        <v>1179.5</v>
      </c>
      <c r="CS66" s="97">
        <f t="shared" si="291"/>
        <v>1193.5900000000001</v>
      </c>
      <c r="CT66" s="97">
        <f t="shared" si="291"/>
        <v>1822.5100000000002</v>
      </c>
      <c r="CU66" s="97">
        <f t="shared" si="291"/>
        <v>674.13</v>
      </c>
      <c r="CV66" s="97">
        <f t="shared" si="291"/>
        <v>1810.74</v>
      </c>
      <c r="CW66" s="97">
        <f t="shared" si="291"/>
        <v>1903.0700000000002</v>
      </c>
      <c r="CX66" s="97">
        <f t="shared" si="291"/>
        <v>1970.51</v>
      </c>
      <c r="CY66" s="97">
        <f t="shared" si="291"/>
        <v>1922.17</v>
      </c>
      <c r="CZ66" s="97">
        <f t="shared" si="291"/>
        <v>1700.45</v>
      </c>
      <c r="DA66" s="97">
        <f t="shared" si="291"/>
        <v>1317.08</v>
      </c>
      <c r="DB66" s="97">
        <f t="shared" si="291"/>
        <v>1767.92</v>
      </c>
      <c r="DC66" s="97">
        <f t="shared" si="291"/>
        <v>1681.06</v>
      </c>
      <c r="DD66" s="97">
        <f t="shared" si="291"/>
        <v>1374.94</v>
      </c>
      <c r="DE66" s="97">
        <f t="shared" si="291"/>
        <v>2346.6800000000003</v>
      </c>
      <c r="DF66" s="97">
        <f t="shared" si="291"/>
        <v>2026.5</v>
      </c>
      <c r="DG66" s="97">
        <f t="shared" si="291"/>
        <v>2406.5</v>
      </c>
      <c r="DH66" s="97">
        <f t="shared" si="291"/>
        <v>1769.8600000000001</v>
      </c>
      <c r="DI66" s="97">
        <f t="shared" ref="DI66:EW66" si="292">SUM((DI7*15.3),(DI15*8.6),(DI23*2.75),(DI31*2.75))</f>
        <v>1932.91</v>
      </c>
      <c r="DJ66" s="97">
        <f t="shared" si="292"/>
        <v>1577.15</v>
      </c>
      <c r="DK66" s="97">
        <f t="shared" si="292"/>
        <v>2235.9100000000003</v>
      </c>
      <c r="DL66" s="97">
        <f t="shared" si="292"/>
        <v>1960.46</v>
      </c>
      <c r="DM66" s="97">
        <f t="shared" si="292"/>
        <v>1911.14</v>
      </c>
      <c r="DN66" s="97">
        <f t="shared" si="292"/>
        <v>2223.6400000000003</v>
      </c>
      <c r="DO66" s="97">
        <f t="shared" si="292"/>
        <v>1826.1399999999999</v>
      </c>
      <c r="DP66" s="97">
        <f t="shared" si="292"/>
        <v>1546.05</v>
      </c>
      <c r="DQ66" s="97">
        <f t="shared" si="292"/>
        <v>2367.4100000000003</v>
      </c>
      <c r="DR66" s="97">
        <f t="shared" si="292"/>
        <v>1168.2</v>
      </c>
      <c r="DS66" s="97" t="e">
        <f t="shared" si="292"/>
        <v>#VALUE!</v>
      </c>
      <c r="DT66" s="97">
        <f t="shared" si="292"/>
        <v>1364.5</v>
      </c>
      <c r="DU66" s="97">
        <f t="shared" si="292"/>
        <v>1353.5</v>
      </c>
      <c r="DV66" s="97">
        <f t="shared" si="292"/>
        <v>1331.5</v>
      </c>
      <c r="DW66" s="97">
        <f t="shared" si="292"/>
        <v>1045.5</v>
      </c>
      <c r="DX66" s="97">
        <f t="shared" si="292"/>
        <v>1249</v>
      </c>
      <c r="DY66" s="97">
        <f t="shared" si="292"/>
        <v>1381</v>
      </c>
      <c r="DZ66" s="97">
        <f t="shared" si="292"/>
        <v>1205</v>
      </c>
      <c r="EA66" s="97" t="e">
        <f t="shared" si="292"/>
        <v>#VALUE!</v>
      </c>
      <c r="EB66" s="97">
        <f t="shared" si="292"/>
        <v>497.25</v>
      </c>
      <c r="EC66" s="97">
        <f t="shared" si="292"/>
        <v>7.65</v>
      </c>
      <c r="ED66" s="97">
        <f t="shared" si="292"/>
        <v>504.90000000000003</v>
      </c>
      <c r="EE66" s="97">
        <f t="shared" si="292"/>
        <v>208.08</v>
      </c>
      <c r="EF66" s="97">
        <f t="shared" si="292"/>
        <v>468.18000000000006</v>
      </c>
      <c r="EG66" s="97">
        <f t="shared" si="292"/>
        <v>423.81</v>
      </c>
      <c r="EH66" s="97">
        <f t="shared" si="292"/>
        <v>408.51</v>
      </c>
      <c r="EI66" s="97">
        <f t="shared" si="292"/>
        <v>237.15</v>
      </c>
      <c r="EJ66" s="97">
        <f t="shared" si="292"/>
        <v>459</v>
      </c>
      <c r="EK66" s="97">
        <f t="shared" si="292"/>
        <v>339.66</v>
      </c>
      <c r="EL66" s="97">
        <f t="shared" si="292"/>
        <v>440.64000000000004</v>
      </c>
      <c r="EM66" s="97">
        <f t="shared" si="292"/>
        <v>359.55</v>
      </c>
      <c r="EN66" s="97">
        <f t="shared" si="292"/>
        <v>192.78</v>
      </c>
      <c r="EO66" s="97">
        <f t="shared" si="292"/>
        <v>454.41</v>
      </c>
      <c r="EP66" s="97">
        <f t="shared" si="292"/>
        <v>371.79</v>
      </c>
      <c r="EQ66" s="97">
        <f t="shared" si="292"/>
        <v>367.20000000000005</v>
      </c>
      <c r="ER66" s="97">
        <f t="shared" si="292"/>
        <v>449.82</v>
      </c>
      <c r="ES66" s="97">
        <f t="shared" si="292"/>
        <v>90.27000000000001</v>
      </c>
      <c r="ET66" s="97">
        <f t="shared" si="292"/>
        <v>192.78</v>
      </c>
      <c r="EU66" s="97">
        <f t="shared" si="292"/>
        <v>413.1</v>
      </c>
      <c r="EV66" s="97">
        <f t="shared" si="292"/>
        <v>734.40000000000009</v>
      </c>
      <c r="EW66" s="97">
        <f t="shared" si="292"/>
        <v>740.52</v>
      </c>
    </row>
    <row r="67" spans="1:153">
      <c r="A67" s="7"/>
      <c r="G67" s="98" t="s">
        <v>77</v>
      </c>
      <c r="AV67" s="99">
        <f>SUM(((AV7/4)/18),((AV15/3)/24),(AV23/350),(AV31/350))</f>
        <v>0</v>
      </c>
      <c r="AW67" s="99">
        <f t="shared" ref="AW67:DH67" si="293">SUM(((AW7/4)/18),((AW15/3)/24),(AW23/350),(AW31/350))</f>
        <v>0.71527777777777779</v>
      </c>
      <c r="AX67" s="99">
        <f t="shared" si="293"/>
        <v>0.77777777777777779</v>
      </c>
      <c r="AY67" s="99">
        <f t="shared" si="293"/>
        <v>0.72916666666666663</v>
      </c>
      <c r="AZ67" s="99">
        <f t="shared" si="293"/>
        <v>0.29722222222222222</v>
      </c>
      <c r="BA67" s="99">
        <f t="shared" si="293"/>
        <v>0.81388888888888888</v>
      </c>
      <c r="BB67" s="99">
        <f t="shared" si="293"/>
        <v>0.41666666666666669</v>
      </c>
      <c r="BC67" s="99">
        <f t="shared" si="293"/>
        <v>0.58420634920634917</v>
      </c>
      <c r="BD67" s="99">
        <f t="shared" si="293"/>
        <v>0.60515873015873012</v>
      </c>
      <c r="BE67" s="99">
        <f t="shared" si="293"/>
        <v>1.3613095238095236</v>
      </c>
      <c r="BF67" s="99">
        <f t="shared" si="293"/>
        <v>1.1982936507936506</v>
      </c>
      <c r="BG67" s="99">
        <f t="shared" si="293"/>
        <v>1.038531746031746</v>
      </c>
      <c r="BH67" s="99">
        <f t="shared" si="293"/>
        <v>1.2362698412698414</v>
      </c>
      <c r="BI67" s="99">
        <f t="shared" si="293"/>
        <v>0.80880952380952387</v>
      </c>
      <c r="BJ67" s="99">
        <f t="shared" si="293"/>
        <v>0.70896825396825403</v>
      </c>
      <c r="BK67" s="99">
        <f t="shared" si="293"/>
        <v>1.0120634920634921</v>
      </c>
      <c r="BL67" s="99">
        <f t="shared" si="293"/>
        <v>0.79087301587301584</v>
      </c>
      <c r="BM67" s="99">
        <f t="shared" si="293"/>
        <v>0.6279365079365079</v>
      </c>
      <c r="BN67" s="99">
        <f t="shared" si="293"/>
        <v>0.87186507936507929</v>
      </c>
      <c r="BO67" s="99">
        <f t="shared" si="293"/>
        <v>1.0553174603174602</v>
      </c>
      <c r="BP67" s="99">
        <f t="shared" si="293"/>
        <v>1.0539682539682538</v>
      </c>
      <c r="BQ67" s="99">
        <f t="shared" si="293"/>
        <v>0.82222222222222219</v>
      </c>
      <c r="BR67" s="99">
        <f t="shared" si="293"/>
        <v>0.80694444444444446</v>
      </c>
      <c r="BS67" s="99">
        <f t="shared" si="293"/>
        <v>0.88194444444444442</v>
      </c>
      <c r="BT67" s="99">
        <f t="shared" si="293"/>
        <v>1.3190079365079366</v>
      </c>
      <c r="BU67" s="99">
        <f t="shared" si="293"/>
        <v>1.471309523809524</v>
      </c>
      <c r="BV67" s="99">
        <f t="shared" si="293"/>
        <v>1.2455555555555555</v>
      </c>
      <c r="BW67" s="99">
        <f t="shared" si="293"/>
        <v>1.4666666666666668</v>
      </c>
      <c r="BX67" s="99">
        <f t="shared" si="293"/>
        <v>1.5237301587301588</v>
      </c>
      <c r="BY67" s="99">
        <f t="shared" si="293"/>
        <v>1.1564285714285714</v>
      </c>
      <c r="BZ67" s="99">
        <f t="shared" si="293"/>
        <v>1.6244047619047619</v>
      </c>
      <c r="CA67" s="99">
        <f t="shared" si="293"/>
        <v>1.3311507936507936</v>
      </c>
      <c r="CB67" s="99">
        <f t="shared" si="293"/>
        <v>2.3018650793650792</v>
      </c>
      <c r="CC67" s="99">
        <f t="shared" si="293"/>
        <v>1.8558730158730159</v>
      </c>
      <c r="CD67" s="99">
        <f t="shared" si="293"/>
        <v>2.0501587301587301</v>
      </c>
      <c r="CE67" s="99">
        <f t="shared" si="293"/>
        <v>1.6438095238095238</v>
      </c>
      <c r="CF67" s="99">
        <f t="shared" si="293"/>
        <v>1.5778571428571428</v>
      </c>
      <c r="CG67" s="99">
        <f t="shared" si="293"/>
        <v>1.4722222222222223</v>
      </c>
      <c r="CH67" s="99">
        <f t="shared" si="293"/>
        <v>0.60972222222222228</v>
      </c>
      <c r="CI67" s="99">
        <f t="shared" si="293"/>
        <v>1.5848412698412699</v>
      </c>
      <c r="CJ67" s="99">
        <f t="shared" si="293"/>
        <v>1.7025396825396824</v>
      </c>
      <c r="CK67" s="99">
        <f t="shared" si="293"/>
        <v>1.9702380952380953</v>
      </c>
      <c r="CL67" s="99">
        <f t="shared" si="293"/>
        <v>1.0219047619047619</v>
      </c>
      <c r="CM67" s="99">
        <f>SUM(((CM7/4)/18),((CN15/3)/24),(CM23/350),(CM31/350))</f>
        <v>0.72309523809523812</v>
      </c>
      <c r="CN67" s="99" t="e">
        <f>SUM(((CN7/4)/18),((#REF!/3)/24),(CN23/350),(CN31/350))</f>
        <v>#REF!</v>
      </c>
      <c r="CO67" s="99">
        <f>SUM(((CO7/4)/18),((CM15/3)/24),(CO23/350),(CO31/350))</f>
        <v>1.616984126984127</v>
      </c>
      <c r="CP67" s="99">
        <f>SUM(((CP7/4)/18),((CP15/3)/24),(CP23/350),(CP31/350))</f>
        <v>1.5021031746031746</v>
      </c>
      <c r="CQ67" s="99">
        <f t="shared" si="293"/>
        <v>1.7978968253968255</v>
      </c>
      <c r="CR67" s="99">
        <f>SUM(((CR7/4)/18),((CR15/3)/24),(CR23/350),(CR31/350))</f>
        <v>1.2751190476190477</v>
      </c>
      <c r="CS67" s="99">
        <f t="shared" si="293"/>
        <v>1.379563492063492</v>
      </c>
      <c r="CT67" s="99">
        <f t="shared" si="293"/>
        <v>1.9340873015873017</v>
      </c>
      <c r="CU67" s="99">
        <f t="shared" si="293"/>
        <v>0.69579365079365074</v>
      </c>
      <c r="CV67" s="99">
        <f t="shared" si="293"/>
        <v>1.86515873015873</v>
      </c>
      <c r="CW67" s="99">
        <f t="shared" si="293"/>
        <v>2.1955952380952382</v>
      </c>
      <c r="CX67" s="99">
        <f t="shared" si="293"/>
        <v>2.0654761904761902</v>
      </c>
      <c r="CY67" s="99">
        <f t="shared" si="293"/>
        <v>2.263611111111111</v>
      </c>
      <c r="CZ67" s="99">
        <f t="shared" si="293"/>
        <v>1.7906349206349206</v>
      </c>
      <c r="DA67" s="99">
        <f t="shared" si="293"/>
        <v>1.6373015873015873</v>
      </c>
      <c r="DB67" s="99">
        <f t="shared" si="293"/>
        <v>1.9755555555555555</v>
      </c>
      <c r="DC67" s="99">
        <f t="shared" si="293"/>
        <v>1.9815873015873016</v>
      </c>
      <c r="DD67" s="99">
        <f t="shared" si="293"/>
        <v>1.4880555555555555</v>
      </c>
      <c r="DE67" s="99">
        <f t="shared" si="293"/>
        <v>2.6595238095238094</v>
      </c>
      <c r="DF67" s="99">
        <f t="shared" si="293"/>
        <v>2.1562698412698413</v>
      </c>
      <c r="DG67" s="99">
        <f t="shared" si="293"/>
        <v>2.6614682539682541</v>
      </c>
      <c r="DH67" s="99">
        <f t="shared" si="293"/>
        <v>2.0133333333333332</v>
      </c>
      <c r="DI67" s="99">
        <f t="shared" ref="DI67:EW67" si="294">SUM(((DI7/4)/18),((DI15/3)/24),(DI23/350),(DI31/350))</f>
        <v>2.0939285714285716</v>
      </c>
      <c r="DJ67" s="99">
        <f t="shared" si="294"/>
        <v>1.925</v>
      </c>
      <c r="DK67" s="99">
        <f t="shared" si="294"/>
        <v>2.4916666666666667</v>
      </c>
      <c r="DL67" s="99">
        <f t="shared" si="294"/>
        <v>2.2510317460317459</v>
      </c>
      <c r="DM67" s="99">
        <f t="shared" si="294"/>
        <v>2.0021825396825399</v>
      </c>
      <c r="DN67" s="99">
        <f t="shared" si="294"/>
        <v>2.5640873015873016</v>
      </c>
      <c r="DO67" s="99">
        <f t="shared" si="294"/>
        <v>2.1461904761904762</v>
      </c>
      <c r="DP67" s="99">
        <f t="shared" si="294"/>
        <v>1.7313888888888891</v>
      </c>
      <c r="DQ67" s="99">
        <f t="shared" si="294"/>
        <v>2.6406746031746033</v>
      </c>
      <c r="DR67" s="99">
        <f t="shared" si="294"/>
        <v>1.2812301587301587</v>
      </c>
      <c r="DS67" s="99" t="e">
        <f t="shared" si="294"/>
        <v>#VALUE!</v>
      </c>
      <c r="DT67" s="99">
        <f t="shared" si="294"/>
        <v>1.3173015873015874</v>
      </c>
      <c r="DU67" s="99">
        <f t="shared" si="294"/>
        <v>1.3058730158730159</v>
      </c>
      <c r="DV67" s="99">
        <f t="shared" si="294"/>
        <v>1.2830158730158729</v>
      </c>
      <c r="DW67" s="99">
        <f t="shared" si="294"/>
        <v>0.98587301587301579</v>
      </c>
      <c r="DX67" s="99">
        <f t="shared" si="294"/>
        <v>1.1973015873015873</v>
      </c>
      <c r="DY67" s="99">
        <f t="shared" si="294"/>
        <v>1.3344444444444443</v>
      </c>
      <c r="DZ67" s="99">
        <f t="shared" si="294"/>
        <v>1.1515873015873015</v>
      </c>
      <c r="EA67" s="99" t="e">
        <f t="shared" si="294"/>
        <v>#VALUE!</v>
      </c>
      <c r="EB67" s="99">
        <f t="shared" si="294"/>
        <v>0.4513888888888889</v>
      </c>
      <c r="EC67" s="99">
        <f t="shared" si="294"/>
        <v>6.9444444444444441E-3</v>
      </c>
      <c r="ED67" s="99">
        <f t="shared" si="294"/>
        <v>0.45833333333333331</v>
      </c>
      <c r="EE67" s="99">
        <f t="shared" si="294"/>
        <v>0.18888888888888888</v>
      </c>
      <c r="EF67" s="99">
        <f t="shared" si="294"/>
        <v>0.42500000000000004</v>
      </c>
      <c r="EG67" s="99">
        <f t="shared" si="294"/>
        <v>0.38472222222222219</v>
      </c>
      <c r="EH67" s="99">
        <f t="shared" si="294"/>
        <v>0.37083333333333335</v>
      </c>
      <c r="EI67" s="99">
        <f t="shared" si="294"/>
        <v>0.21527777777777779</v>
      </c>
      <c r="EJ67" s="99">
        <f t="shared" si="294"/>
        <v>0.41666666666666669</v>
      </c>
      <c r="EK67" s="99">
        <f t="shared" si="294"/>
        <v>0.30833333333333335</v>
      </c>
      <c r="EL67" s="99">
        <f t="shared" si="294"/>
        <v>0.4</v>
      </c>
      <c r="EM67" s="99">
        <f t="shared" si="294"/>
        <v>0.3263888888888889</v>
      </c>
      <c r="EN67" s="99">
        <f t="shared" si="294"/>
        <v>0.17499999999999999</v>
      </c>
      <c r="EO67" s="99">
        <f t="shared" si="294"/>
        <v>0.41249999999999998</v>
      </c>
      <c r="EP67" s="99">
        <f t="shared" si="294"/>
        <v>0.33750000000000002</v>
      </c>
      <c r="EQ67" s="99">
        <f t="shared" si="294"/>
        <v>0.33333333333333331</v>
      </c>
      <c r="ER67" s="99">
        <f t="shared" si="294"/>
        <v>0.40833333333333333</v>
      </c>
      <c r="ES67" s="99">
        <f t="shared" si="294"/>
        <v>8.1944444444444445E-2</v>
      </c>
      <c r="ET67" s="99">
        <f t="shared" si="294"/>
        <v>0.17499999999999999</v>
      </c>
      <c r="EU67" s="99">
        <f t="shared" si="294"/>
        <v>0.375</v>
      </c>
      <c r="EV67" s="99">
        <f t="shared" si="294"/>
        <v>0.66666666666666663</v>
      </c>
      <c r="EW67" s="99">
        <f t="shared" si="294"/>
        <v>0.67222222222222217</v>
      </c>
    </row>
    <row r="68" spans="1:153">
      <c r="A68" s="7"/>
      <c r="G68" s="98" t="s">
        <v>78</v>
      </c>
      <c r="AV68" s="99"/>
      <c r="AW68" s="99"/>
      <c r="AX68" s="99"/>
      <c r="AY68" s="99">
        <f>SUM(AR66:AX66)/1000</f>
        <v>1.6447499999999999</v>
      </c>
      <c r="AZ68" s="99"/>
      <c r="BA68" s="99"/>
      <c r="BB68" s="99"/>
      <c r="BC68" s="99"/>
      <c r="BD68" s="99"/>
      <c r="BE68" s="99"/>
      <c r="BF68" s="99">
        <f>SUM(AY66:BE66)/1000</f>
        <v>5.1744599999999998</v>
      </c>
    </row>
    <row r="69" spans="1:153" s="86" customFormat="1" ht="15.75" thickBot="1">
      <c r="A69" s="84"/>
      <c r="G69" s="100" t="s">
        <v>79</v>
      </c>
      <c r="K69" s="101"/>
      <c r="L69" s="101"/>
      <c r="M69" s="101"/>
      <c r="AV69" s="88"/>
      <c r="AW69" s="88"/>
      <c r="AX69" s="88"/>
      <c r="AY69" s="88">
        <f>SUM(AR67:AX67)</f>
        <v>1.4930555555555556</v>
      </c>
      <c r="AZ69" s="88"/>
      <c r="BA69" s="88"/>
      <c r="BB69" s="88"/>
      <c r="BC69" s="88"/>
      <c r="BD69" s="88"/>
      <c r="BE69" s="88"/>
      <c r="BF69" s="88">
        <f>SUM(AY67:BE67)</f>
        <v>4.8076190476190472</v>
      </c>
    </row>
    <row r="70" spans="1:153" s="103" customFormat="1">
      <c r="A70" s="102"/>
      <c r="E70" s="103" t="s">
        <v>80</v>
      </c>
      <c r="G70" s="104" t="s">
        <v>81</v>
      </c>
      <c r="J70" s="105"/>
      <c r="K70" s="106"/>
      <c r="L70" s="106"/>
      <c r="M70" s="107"/>
    </row>
    <row r="71" spans="1:153" s="109" customFormat="1">
      <c r="A71" s="108" t="s">
        <v>82</v>
      </c>
      <c r="B71" s="109" t="s">
        <v>83</v>
      </c>
      <c r="C71" s="109">
        <f>37/15</f>
        <v>2.4666666666666668</v>
      </c>
      <c r="G71" s="110" t="s">
        <v>84</v>
      </c>
      <c r="J71" s="111"/>
      <c r="K71" s="112"/>
      <c r="L71" s="112"/>
      <c r="M71" s="113"/>
    </row>
    <row r="72" spans="1:153" s="109" customFormat="1">
      <c r="A72" s="108"/>
      <c r="B72" s="109" t="s">
        <v>85</v>
      </c>
      <c r="C72" s="109">
        <f>300/35</f>
        <v>8.5714285714285712</v>
      </c>
      <c r="G72" s="110" t="s">
        <v>86</v>
      </c>
    </row>
    <row r="73" spans="1:153" s="109" customFormat="1">
      <c r="A73" s="108"/>
      <c r="G73" s="110" t="s">
        <v>76</v>
      </c>
    </row>
    <row r="74" spans="1:153" s="109" customFormat="1">
      <c r="A74" s="108"/>
      <c r="G74" s="110" t="s">
        <v>77</v>
      </c>
    </row>
    <row r="75" spans="1:153" s="109" customFormat="1">
      <c r="A75" s="108"/>
      <c r="G75" s="110" t="s">
        <v>78</v>
      </c>
    </row>
    <row r="76" spans="1:153" s="115" customFormat="1" ht="15.75" thickBot="1">
      <c r="A76" s="114"/>
      <c r="G76" s="116" t="s">
        <v>79</v>
      </c>
    </row>
    <row r="78" spans="1:153" ht="15.75" thickBot="1">
      <c r="K78" s="110" t="s">
        <v>44</v>
      </c>
      <c r="L78" t="s">
        <v>21</v>
      </c>
      <c r="AN78" t="s">
        <v>87</v>
      </c>
      <c r="AO78" t="s">
        <v>88</v>
      </c>
    </row>
    <row r="79" spans="1:153" ht="15.75" thickBot="1">
      <c r="F79" s="78"/>
      <c r="I79" t="s">
        <v>1</v>
      </c>
      <c r="J79" s="78" t="s">
        <v>37</v>
      </c>
      <c r="K79">
        <f>SUMIF($5:$5,J79,$6:$6)+SUMIF($13:$13,J79,$14:$14)</f>
        <v>1425</v>
      </c>
      <c r="L79">
        <v>2045</v>
      </c>
    </row>
    <row r="80" spans="1:153" ht="15.75" thickBot="1">
      <c r="F80" s="6"/>
      <c r="I80" t="s">
        <v>1</v>
      </c>
      <c r="J80" s="6" t="s">
        <v>54</v>
      </c>
      <c r="K80">
        <f>SUMIF($5:$5,J80,$6:$6)+SUMIF($13:$13,J80,$14:$14)</f>
        <v>300</v>
      </c>
      <c r="L80">
        <v>1040</v>
      </c>
    </row>
    <row r="81" spans="6:134" ht="15.75" thickBot="1">
      <c r="F81" s="79"/>
      <c r="I81" t="s">
        <v>1</v>
      </c>
      <c r="J81" s="89" t="s">
        <v>39</v>
      </c>
      <c r="K81">
        <f>SUMIF($5:$5,J81,$6:$6)+SUMIF($13:$13,J81,$14:$14)</f>
        <v>900</v>
      </c>
      <c r="L81">
        <v>1260</v>
      </c>
      <c r="AW81" s="152"/>
      <c r="AX81" s="152"/>
      <c r="AY81" s="152"/>
      <c r="AZ81" s="152"/>
      <c r="BA81" s="152"/>
      <c r="BB81" s="152"/>
      <c r="BC81" s="152"/>
      <c r="BD81" s="152"/>
      <c r="BE81" s="152"/>
      <c r="BF81" s="152"/>
      <c r="BG81" s="152"/>
      <c r="BH81" s="152"/>
      <c r="BI81" s="152"/>
      <c r="BJ81" s="152"/>
      <c r="BK81" s="152"/>
      <c r="BL81" s="152"/>
      <c r="BM81" s="152"/>
      <c r="BN81" s="152"/>
      <c r="BO81" s="152"/>
      <c r="BP81" s="152"/>
      <c r="BQ81" s="152"/>
      <c r="BR81" s="152"/>
      <c r="BS81" s="152"/>
      <c r="BT81" s="152"/>
      <c r="BU81" s="152"/>
      <c r="BV81" s="152"/>
      <c r="BW81" s="152"/>
      <c r="BX81" s="152"/>
      <c r="BY81" s="152"/>
      <c r="BZ81" s="152"/>
      <c r="CA81" s="152"/>
      <c r="CB81" s="152"/>
      <c r="CC81" s="152"/>
      <c r="CD81" s="152"/>
      <c r="CE81" s="152"/>
      <c r="CF81" s="152"/>
      <c r="CG81" s="152"/>
      <c r="CH81" s="152"/>
      <c r="CI81" s="152"/>
      <c r="CJ81" s="152"/>
      <c r="CK81" s="152"/>
      <c r="CL81" s="152"/>
      <c r="CM81" s="152"/>
      <c r="CN81" s="152"/>
      <c r="CO81" s="152"/>
      <c r="CP81" s="152"/>
      <c r="CQ81" s="152"/>
      <c r="CR81" s="152"/>
      <c r="CS81" s="152"/>
      <c r="CT81" s="152"/>
      <c r="CU81" s="152"/>
      <c r="CV81" s="152"/>
      <c r="CW81" s="152"/>
      <c r="CX81" s="152"/>
      <c r="CY81" s="152"/>
      <c r="CZ81" s="152"/>
      <c r="DA81" s="152"/>
      <c r="DB81" s="152"/>
      <c r="DC81" s="152"/>
      <c r="DD81" s="152"/>
      <c r="DE81" s="152"/>
      <c r="DF81" s="152"/>
      <c r="DG81" s="151"/>
      <c r="DH81" s="151"/>
      <c r="DI81" s="151"/>
      <c r="DJ81" s="151"/>
      <c r="DK81" s="151"/>
      <c r="DL81" s="151"/>
      <c r="DM81" s="151"/>
      <c r="DN81" s="151"/>
      <c r="DO81" s="151"/>
      <c r="DP81" s="151"/>
      <c r="DQ81" s="151"/>
      <c r="DR81" s="151"/>
      <c r="DS81" s="151"/>
      <c r="DT81" s="151"/>
      <c r="DU81" s="151"/>
      <c r="DV81" s="151"/>
      <c r="DW81" s="151"/>
      <c r="DX81" s="151"/>
      <c r="DY81" s="151"/>
      <c r="DZ81" s="151"/>
      <c r="EA81" s="151"/>
      <c r="EB81" s="151"/>
      <c r="EC81" s="151"/>
      <c r="ED81" s="151"/>
    </row>
    <row r="82" spans="6:134" ht="15.75" thickBot="1">
      <c r="F82" s="80"/>
      <c r="I82" t="s">
        <v>1</v>
      </c>
      <c r="J82" s="79" t="s">
        <v>56</v>
      </c>
      <c r="K82">
        <f>SUMIF($5:$5,J82,$6:$6)+SUMIF($13:$13,J82,$14:$14)</f>
        <v>540</v>
      </c>
      <c r="L82">
        <v>540</v>
      </c>
      <c r="AW82" s="1"/>
      <c r="AX82" s="1"/>
      <c r="AY82" s="1"/>
      <c r="AZ82" s="1"/>
      <c r="BA82" s="1"/>
      <c r="BB82" s="1"/>
      <c r="BC82" s="1"/>
      <c r="BD82" s="1"/>
      <c r="BE82" s="1"/>
      <c r="BF82" s="1"/>
      <c r="BG82" s="1"/>
      <c r="BH82" s="1"/>
      <c r="BI82" s="1"/>
      <c r="BJ82" s="1"/>
      <c r="BK82" s="1"/>
      <c r="BL82" s="1"/>
      <c r="BM82" s="1"/>
      <c r="BN82" s="1"/>
      <c r="BO82" s="1"/>
      <c r="BP82" s="1"/>
      <c r="BQ82" s="1"/>
      <c r="BR82" s="1"/>
      <c r="BS82" s="1"/>
      <c r="BT82" s="1"/>
      <c r="BU82" s="120"/>
      <c r="BV82" s="1"/>
      <c r="BW82" s="1"/>
      <c r="BX82" s="1"/>
      <c r="BY82" s="1"/>
      <c r="BZ82" s="1"/>
      <c r="CA82" s="1"/>
      <c r="CB82" s="1"/>
      <c r="CC82" s="1"/>
      <c r="CD82" s="1"/>
      <c r="CE82" s="1"/>
      <c r="CF82" s="1"/>
      <c r="CG82" s="1"/>
      <c r="CH82" s="126"/>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row>
    <row r="83" spans="6:134" ht="15.75" thickBot="1">
      <c r="F83" s="94"/>
      <c r="I83" t="s">
        <v>1</v>
      </c>
      <c r="J83" s="80" t="s">
        <v>40</v>
      </c>
      <c r="K83">
        <f>SUMIF($5:$5,J83,$6:$6)+SUMIF($13:$13,J83,$14:$14)</f>
        <v>540</v>
      </c>
      <c r="L83">
        <v>581</v>
      </c>
    </row>
    <row r="84" spans="6:134" ht="15.75" thickBot="1">
      <c r="F84" s="89"/>
      <c r="I84" t="s">
        <v>2</v>
      </c>
      <c r="J84" s="94" t="s">
        <v>68</v>
      </c>
      <c r="K84">
        <f>SUMIF($37:$37,J84,$38:$38)+SUMIF($49:$49,J84,$50:$50)</f>
        <v>1716</v>
      </c>
      <c r="L84">
        <v>1934</v>
      </c>
      <c r="R84" t="s">
        <v>89</v>
      </c>
      <c r="S84" t="s">
        <v>90</v>
      </c>
    </row>
    <row r="85" spans="6:134" ht="15.75" thickBot="1">
      <c r="F85" s="79"/>
      <c r="I85" t="s">
        <v>2</v>
      </c>
      <c r="J85" s="89" t="s">
        <v>39</v>
      </c>
      <c r="K85">
        <f>SUMIF($21:$21,J85,$22:$22)+SUMIF($29:$29,J85,$30:$30)</f>
        <v>17850</v>
      </c>
      <c r="L85">
        <v>17945</v>
      </c>
      <c r="R85" t="s">
        <v>91</v>
      </c>
      <c r="S85">
        <v>2045</v>
      </c>
    </row>
    <row r="86" spans="6:134" ht="15.75" thickBot="1">
      <c r="F86" s="80"/>
      <c r="I86" t="s">
        <v>2</v>
      </c>
      <c r="J86" s="79" t="s">
        <v>56</v>
      </c>
      <c r="K86">
        <f>SUMIF($21:$21,J86,$22:$22)+SUMIF($29:$29,J86,$30:$30)</f>
        <v>3750</v>
      </c>
      <c r="L86">
        <v>3645</v>
      </c>
    </row>
    <row r="87" spans="6:134">
      <c r="I87" t="s">
        <v>2</v>
      </c>
      <c r="J87" s="80" t="s">
        <v>40</v>
      </c>
      <c r="K87">
        <f>SUMIF($21:$21,J87,$22:$22)+SUMIF($29:$29,J87,$30:$30)</f>
        <v>4950</v>
      </c>
      <c r="L87">
        <v>4495.1000000000004</v>
      </c>
    </row>
    <row r="88" spans="6:134">
      <c r="I88" t="s">
        <v>2</v>
      </c>
      <c r="J88" t="s">
        <v>62</v>
      </c>
      <c r="K88">
        <f>SUMIF($21:$21,J88,$22:$22)+SUMIF($29:$29,J88,$30:$30)</f>
        <v>750</v>
      </c>
      <c r="L88">
        <v>630</v>
      </c>
    </row>
    <row r="89" spans="6:134">
      <c r="I89" t="s">
        <v>2</v>
      </c>
      <c r="J89" t="s">
        <v>65</v>
      </c>
      <c r="K89">
        <f>SUMIF($21:$21,J89,$22:$22)+SUMIF($29:$29,J89,$30:$30)</f>
        <v>800</v>
      </c>
      <c r="L89">
        <v>900</v>
      </c>
    </row>
    <row r="90" spans="6:134">
      <c r="R90" t="s">
        <v>92</v>
      </c>
      <c r="S90">
        <v>19205</v>
      </c>
    </row>
    <row r="91" spans="6:134">
      <c r="R91" t="s">
        <v>93</v>
      </c>
      <c r="S91">
        <v>630</v>
      </c>
    </row>
    <row r="92" spans="6:134">
      <c r="R92" t="s">
        <v>94</v>
      </c>
      <c r="S92">
        <v>900</v>
      </c>
    </row>
    <row r="100" spans="71:127">
      <c r="DW100">
        <v>218</v>
      </c>
    </row>
    <row r="101" spans="71:127">
      <c r="DW101">
        <v>214</v>
      </c>
    </row>
    <row r="102" spans="71:127">
      <c r="DW102">
        <v>206</v>
      </c>
    </row>
    <row r="103" spans="71:127">
      <c r="BS103">
        <v>0</v>
      </c>
      <c r="DW103">
        <v>102</v>
      </c>
    </row>
    <row r="104" spans="71:127">
      <c r="BS104">
        <v>40</v>
      </c>
      <c r="DW104">
        <v>176</v>
      </c>
    </row>
    <row r="105" spans="71:127">
      <c r="BS105">
        <v>0</v>
      </c>
      <c r="DW105">
        <v>224</v>
      </c>
    </row>
    <row r="106" spans="71:127">
      <c r="BS106">
        <v>19</v>
      </c>
      <c r="DW106">
        <v>160</v>
      </c>
    </row>
    <row r="107" spans="71:127">
      <c r="BS107">
        <v>17</v>
      </c>
    </row>
    <row r="108" spans="71:127">
      <c r="BS108">
        <v>0</v>
      </c>
    </row>
    <row r="109" spans="71:127">
      <c r="BS109">
        <v>0</v>
      </c>
    </row>
    <row r="110" spans="71:127">
      <c r="BS110">
        <v>0</v>
      </c>
    </row>
    <row r="111" spans="71:127">
      <c r="BS111">
        <v>0</v>
      </c>
    </row>
    <row r="112" spans="71:127">
      <c r="BS112">
        <v>0</v>
      </c>
    </row>
    <row r="113" spans="71:71">
      <c r="BS113">
        <v>0</v>
      </c>
    </row>
    <row r="114" spans="71:71">
      <c r="BS114">
        <v>0</v>
      </c>
    </row>
    <row r="115" spans="71:71">
      <c r="BS115">
        <v>0</v>
      </c>
    </row>
    <row r="116" spans="71:71">
      <c r="BS116">
        <v>0</v>
      </c>
    </row>
    <row r="117" spans="71:71">
      <c r="BS117">
        <v>0</v>
      </c>
    </row>
    <row r="118" spans="71:71">
      <c r="BS118">
        <v>3</v>
      </c>
    </row>
    <row r="119" spans="71:71">
      <c r="BS119">
        <v>27</v>
      </c>
    </row>
    <row r="120" spans="71:71">
      <c r="BS120">
        <v>70</v>
      </c>
    </row>
    <row r="121" spans="71:71">
      <c r="BS121">
        <v>24</v>
      </c>
    </row>
    <row r="166" spans="127:128">
      <c r="DW166" t="s">
        <v>95</v>
      </c>
      <c r="DX166" t="s">
        <v>95</v>
      </c>
    </row>
    <row r="167" spans="127:128">
      <c r="DW167">
        <v>7.3999999999999986</v>
      </c>
      <c r="DX167">
        <f>SUM(DW167:DW168)</f>
        <v>15.099999999999998</v>
      </c>
    </row>
    <row r="168" spans="127:128" hidden="1">
      <c r="DW168">
        <v>7.7</v>
      </c>
    </row>
    <row r="169" spans="127:128">
      <c r="DW169">
        <v>21.1</v>
      </c>
      <c r="DX169">
        <f>SUM(DW169:DW170)</f>
        <v>28.2</v>
      </c>
    </row>
    <row r="170" spans="127:128" hidden="1">
      <c r="DW170">
        <v>7.0999999999999979</v>
      </c>
    </row>
    <row r="171" spans="127:128">
      <c r="DW171">
        <v>5.8999999999999986</v>
      </c>
      <c r="DX171">
        <f>SUM(DW171:DW172)</f>
        <v>15.700000000000001</v>
      </c>
    </row>
    <row r="172" spans="127:128" hidden="1">
      <c r="DW172">
        <v>9.8000000000000025</v>
      </c>
    </row>
    <row r="173" spans="127:128">
      <c r="DW173">
        <v>12.4</v>
      </c>
      <c r="DX173">
        <f>SUM(DW173:DW174)</f>
        <v>20.399999999999999</v>
      </c>
    </row>
    <row r="174" spans="127:128" hidden="1">
      <c r="DW174">
        <v>8</v>
      </c>
    </row>
    <row r="175" spans="127:128">
      <c r="DW175">
        <v>8.5</v>
      </c>
      <c r="DX175">
        <f>SUM(DW175:DW176)</f>
        <v>14.2</v>
      </c>
    </row>
    <row r="176" spans="127:128" hidden="1">
      <c r="DW176">
        <v>5.7</v>
      </c>
    </row>
    <row r="177" spans="127:128">
      <c r="DW177">
        <v>3.8</v>
      </c>
      <c r="DX177">
        <f>SUM(DW177:DW178)</f>
        <v>26.2</v>
      </c>
    </row>
    <row r="178" spans="127:128" hidden="1">
      <c r="DW178">
        <v>22.4</v>
      </c>
    </row>
    <row r="179" spans="127:128">
      <c r="DW179">
        <v>10.600000000000001</v>
      </c>
      <c r="DX179">
        <f>SUM(DW179:DW180)</f>
        <v>10.600000000000001</v>
      </c>
    </row>
    <row r="180" spans="127:128" hidden="1">
      <c r="DW180">
        <v>0</v>
      </c>
    </row>
  </sheetData>
  <autoFilter ref="DW166:DX180" xr:uid="{3ED027C7-4DB7-4CE7-9BE6-800FAF7CDCEC}">
    <filterColumn colId="1">
      <customFilters>
        <customFilter operator="notEqual" val=" "/>
      </customFilters>
    </filterColumn>
  </autoFilter>
  <mergeCells count="6">
    <mergeCell ref="A59:G59"/>
    <mergeCell ref="A3:G3"/>
    <mergeCell ref="A11:G11"/>
    <mergeCell ref="A19:G19"/>
    <mergeCell ref="A27:G27"/>
    <mergeCell ref="A35:G35"/>
  </mergeCells>
  <conditionalFormatting sqref="A6:A10 A12 A14:A18 A20 A22:A26 A28 A30:A34 A36 A44:A48 A55:A58 A60">
    <cfRule type="containsText" dxfId="150" priority="159" operator="containsText" text="True">
      <formula>NOT(ISERROR(SEARCH("True",A6)))</formula>
    </cfRule>
    <cfRule type="containsText" dxfId="149" priority="158" operator="containsText" text="False">
      <formula>NOT(ISERROR(SEARCH("False",A6)))</formula>
    </cfRule>
  </conditionalFormatting>
  <conditionalFormatting sqref="A60 A6:A10 A14:A18 A22:A26 A30:A34 A12 A28 A36 A20 A44:A48 A55:A58">
    <cfRule type="iconSet" priority="160">
      <iconSet>
        <cfvo type="percent" val="0"/>
        <cfvo type="percent" val="33"/>
        <cfvo type="percent" val="67"/>
      </iconSet>
    </cfRule>
  </conditionalFormatting>
  <conditionalFormatting sqref="A2:XFD6 A7:BD7 BJ7:CE7 CH7:DS7 EA7:XFD7 CF7:CG13 A8:CE9 CH8:XFD9 A10:AZ10 BC10:BG10 BJ10:BN10 BQ10:BU10 BX10:CB10 CE10 CH10:CI10 CL10:CP10 CS10:CW10 CZ10:DD10 DG10:DK10 DN10:DR10 DU10:DY10 EB10:EF10 EI10:EM10 EP10:ET10 EW10:FA10 FD10:FI10 FK10:FP10 FR10:XFD10 CH11:EQ11 ES11:XFD11 A11:CE13 CH12:XFD13 A14:CB14 CH15:CL15 CO15:XFD15 A15:CE17 CF15:CG20 CH16:XFD17 BQ18:BV18 BX18:CC18 CE18 CH18:CJ18 CL18:XFD18 A18:BP19 BQ19:CE19 CH19:XFD20 A20:CE25 CF21:XFD25 A26:BA26 BC26:BG26 BJ26:BN26 BQ26:BU26 BX26:CB26 CE26:CI26 CL26:CP26 CS26:CW26 CZ26:DD26 DG26:DK26 DN26:DR26 DU26:DY26 EB26:EF26 EI26:EM26 EP26:ET26 EW26:XFD26 A27:XFD36 A37:BR40 DL37:XFD47 A41:E41 G41:BR41 A42:BR43 CE42:CE43 CS42:CT43 CZ42:DA43 DG42:DH43 E42:F47 A44:D44 F44:BR44 A45:BR47 A48:XFD48 A49:BX54 DQ49:XFD54 E50:F58 A55:D55 F55:CE55 CF55:XFD80 A56:CE77 A78:E78 H78:K78 L78:CE79 A79:K79 I80:K80 N80:CE80 F80:F81 H80:H82 A80:E86 G80:G86 J81:J82 M81:AV82 EE81:XFD82 K81:K87 L82:L83 I82:I87 G83:H83 N83:XFD83 F84:H84 S84:XFD85 M84:P89 F85 J85:K85 H85:H86 L85:L87 J86 T86:XFD118 A87:H89 I88:L89 S90:S93 A90:P118 Q93">
    <cfRule type="expression" dxfId="148" priority="156">
      <formula>A$2=TODAY()-1</formula>
    </cfRule>
  </conditionalFormatting>
  <conditionalFormatting sqref="J83">
    <cfRule type="expression" dxfId="147" priority="14">
      <formula>K$2=TODAY()-1</formula>
    </cfRule>
  </conditionalFormatting>
  <conditionalFormatting sqref="J84">
    <cfRule type="expression" dxfId="146" priority="13">
      <formula>P$2=TODAY()-1</formula>
    </cfRule>
  </conditionalFormatting>
  <conditionalFormatting sqref="L80 F82 F86 J87">
    <cfRule type="expression" dxfId="145" priority="326">
      <formula>G$2=TODAY()-1</formula>
    </cfRule>
  </conditionalFormatting>
  <conditionalFormatting sqref="L80 L82:L84">
    <cfRule type="expression" dxfId="144" priority="349">
      <formula>Q$2=TODAY()-1</formula>
    </cfRule>
  </conditionalFormatting>
  <conditionalFormatting sqref="L80">
    <cfRule type="expression" dxfId="143" priority="371">
      <formula>S$2=TODAY()-1</formula>
    </cfRule>
  </conditionalFormatting>
  <conditionalFormatting sqref="AW82:ED82">
    <cfRule type="expression" dxfId="142" priority="16">
      <formula>$A82=TODAY()</formula>
    </cfRule>
  </conditionalFormatting>
  <conditionalFormatting sqref="BB10 BB26 BI26 BP26 BW26 CD26 CK26">
    <cfRule type="cellIs" dxfId="141" priority="89" operator="greaterThan">
      <formula>BB14</formula>
    </cfRule>
    <cfRule type="cellIs" dxfId="140" priority="90" operator="lessThan">
      <formula>BB14</formula>
    </cfRule>
  </conditionalFormatting>
  <conditionalFormatting sqref="BB10 CY10 DF10 DM10 DT10 EA10 EH10 EO10 EV10 FC10 CN15 BB26 BH26:BI26 BO26:BP26 BV26:BW26 CC26:CD26 CJ26:CK26 CQ26:CR26 DF26 DM26 DT26 EA26 EH26 EO26 EV26 G78 R84:R85 R90:R92">
    <cfRule type="expression" dxfId="139" priority="91">
      <formula>F$2=TODAY()-1</formula>
    </cfRule>
  </conditionalFormatting>
  <conditionalFormatting sqref="BI10">
    <cfRule type="cellIs" dxfId="138" priority="93" operator="lessThan">
      <formula>BI14</formula>
    </cfRule>
    <cfRule type="expression" dxfId="137" priority="94">
      <formula>BH$2=TODAY()-1</formula>
    </cfRule>
    <cfRule type="cellIs" dxfId="136" priority="92" operator="greaterThan">
      <formula>BI14</formula>
    </cfRule>
  </conditionalFormatting>
  <conditionalFormatting sqref="BP10">
    <cfRule type="cellIs" dxfId="135" priority="96" operator="lessThan">
      <formula>BP14</formula>
    </cfRule>
    <cfRule type="expression" dxfId="134" priority="97">
      <formula>BO$2=TODAY()-1</formula>
    </cfRule>
    <cfRule type="cellIs" dxfId="133" priority="95" operator="greaterThan">
      <formula>BP14</formula>
    </cfRule>
  </conditionalFormatting>
  <conditionalFormatting sqref="BS37:CE41">
    <cfRule type="expression" dxfId="132" priority="200">
      <formula>BY$2=TODAY()-1</formula>
    </cfRule>
  </conditionalFormatting>
  <conditionalFormatting sqref="BW10">
    <cfRule type="cellIs" dxfId="131" priority="3" operator="greaterThan">
      <formula>BW14</formula>
    </cfRule>
    <cfRule type="expression" dxfId="130" priority="5">
      <formula>BV$2=TODAY()-1</formula>
    </cfRule>
    <cfRule type="cellIs" dxfId="129" priority="4" operator="lessThan">
      <formula>BW14</formula>
    </cfRule>
  </conditionalFormatting>
  <conditionalFormatting sqref="BW18 CD18 CK18">
    <cfRule type="cellIs" dxfId="128" priority="306" operator="greaterThan">
      <formula>CT14</formula>
    </cfRule>
    <cfRule type="cellIs" dxfId="127" priority="307" operator="lessThan">
      <formula>CT14</formula>
    </cfRule>
    <cfRule type="expression" dxfId="126" priority="308">
      <formula>BV$2=TODAY()-1</formula>
    </cfRule>
  </conditionalFormatting>
  <conditionalFormatting sqref="BW42 CD42 CK42">
    <cfRule type="expression" dxfId="125" priority="20">
      <formula>BV$2=TODAY()-1</formula>
    </cfRule>
    <cfRule type="cellIs" dxfId="124" priority="19" operator="lessThan">
      <formula>$CD$38</formula>
    </cfRule>
    <cfRule type="cellIs" dxfId="123" priority="18" operator="greaterThan">
      <formula>$CD$38</formula>
    </cfRule>
  </conditionalFormatting>
  <conditionalFormatting sqref="CC14:CP14">
    <cfRule type="expression" dxfId="122" priority="248">
      <formula>BR$2=TODAY()-1</formula>
    </cfRule>
  </conditionalFormatting>
  <conditionalFormatting sqref="CD10 CK10">
    <cfRule type="cellIs" dxfId="121" priority="297" operator="greaterThan">
      <formula>DA14</formula>
    </cfRule>
    <cfRule type="cellIs" dxfId="120" priority="298" operator="lessThan">
      <formula>DA14</formula>
    </cfRule>
    <cfRule type="expression" dxfId="119" priority="299">
      <formula>CC$2=TODAY()-1</formula>
    </cfRule>
  </conditionalFormatting>
  <conditionalFormatting sqref="CD49:DP54">
    <cfRule type="expression" dxfId="118" priority="190">
      <formula>BY$2=TODAY()-1</formula>
    </cfRule>
  </conditionalFormatting>
  <conditionalFormatting sqref="CH37:DE41 CF37:CG47 BS42:BV42 CA42:CC42 CE42 CH42:CJ42 BX42:BZ43 CL42:CR43 CU42:CY43 DB42:DF43 BS43:BW43 CA43:CE43 CH43:CK43 BS44:CE47 CH44:DE47 M81:M83 F83">
    <cfRule type="expression" dxfId="117" priority="15">
      <formula>L$2=TODAY()-1</formula>
    </cfRule>
  </conditionalFormatting>
  <conditionalFormatting sqref="CM15">
    <cfRule type="expression" dxfId="116" priority="205">
      <formula>CO$2=TODAY()-1</formula>
    </cfRule>
  </conditionalFormatting>
  <conditionalFormatting sqref="CQ14:XFD14">
    <cfRule type="expression" dxfId="115" priority="296">
      <formula>BT$2=TODAY()-1</formula>
    </cfRule>
  </conditionalFormatting>
  <conditionalFormatting sqref="CR10">
    <cfRule type="expression" dxfId="114" priority="177">
      <formula>CQ$2=TODAY()-1</formula>
    </cfRule>
  </conditionalFormatting>
  <conditionalFormatting sqref="CY26">
    <cfRule type="expression" dxfId="113" priority="154">
      <formula>CX$2=TODAY()-1</formula>
    </cfRule>
  </conditionalFormatting>
  <conditionalFormatting sqref="FJ10">
    <cfRule type="expression" dxfId="112" priority="2">
      <formula>FI$2=TODAY()-1</formula>
    </cfRule>
  </conditionalFormatting>
  <conditionalFormatting sqref="FQ10">
    <cfRule type="expression" dxfId="111" priority="1">
      <formula>FP$2=TODAY()-1</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27FCA-4E10-471F-8554-E9683F16FA0C}">
  <sheetPr codeName="Sheet4"/>
  <dimension ref="A9:K43"/>
  <sheetViews>
    <sheetView workbookViewId="0"/>
  </sheetViews>
  <sheetFormatPr defaultRowHeight="15"/>
  <cols>
    <col min="1" max="1" width="48.28515625" bestFit="1" customWidth="1"/>
    <col min="2" max="2" width="24" bestFit="1" customWidth="1"/>
    <col min="3" max="3" width="21.85546875" bestFit="1" customWidth="1"/>
    <col min="4" max="4" width="22.140625" bestFit="1" customWidth="1"/>
    <col min="5" max="5" width="27.140625" bestFit="1" customWidth="1"/>
    <col min="6" max="6" width="28.5703125" bestFit="1" customWidth="1"/>
    <col min="7" max="7" width="34.28515625" bestFit="1" customWidth="1"/>
    <col min="8" max="8" width="20.42578125" bestFit="1" customWidth="1"/>
    <col min="9" max="9" width="30" bestFit="1" customWidth="1"/>
    <col min="10" max="10" width="42.42578125" bestFit="1" customWidth="1"/>
    <col min="11" max="11" width="17.85546875" bestFit="1" customWidth="1"/>
    <col min="12" max="25" width="5" bestFit="1" customWidth="1"/>
    <col min="26" max="26" width="7" bestFit="1" customWidth="1"/>
    <col min="27" max="31" width="5" bestFit="1" customWidth="1"/>
    <col min="32" max="33" width="7" bestFit="1" customWidth="1"/>
    <col min="35" max="35" width="22.140625" bestFit="1" customWidth="1"/>
    <col min="36" max="36" width="4" bestFit="1" customWidth="1"/>
    <col min="37" max="43" width="5" bestFit="1" customWidth="1"/>
    <col min="44" max="44" width="7" bestFit="1" customWidth="1"/>
    <col min="45" max="58" width="5" bestFit="1" customWidth="1"/>
    <col min="59" max="59" width="7" bestFit="1" customWidth="1"/>
    <col min="60" max="64" width="5" bestFit="1" customWidth="1"/>
    <col min="65" max="66" width="7" bestFit="1" customWidth="1"/>
    <col min="67" max="67" width="2" bestFit="1" customWidth="1"/>
    <col min="68" max="68" width="22.42578125" bestFit="1" customWidth="1"/>
    <col min="69" max="69" width="4" bestFit="1" customWidth="1"/>
    <col min="70" max="76" width="5" bestFit="1" customWidth="1"/>
    <col min="77" max="77" width="7" bestFit="1" customWidth="1"/>
    <col min="78" max="91" width="5" bestFit="1" customWidth="1"/>
    <col min="92" max="92" width="7" bestFit="1" customWidth="1"/>
    <col min="93" max="97" width="5" bestFit="1" customWidth="1"/>
    <col min="98" max="99" width="7" bestFit="1" customWidth="1"/>
    <col min="100" max="100" width="2" bestFit="1" customWidth="1"/>
    <col min="101" max="101" width="20.85546875" bestFit="1" customWidth="1"/>
    <col min="102" max="102" width="4" bestFit="1" customWidth="1"/>
    <col min="103" max="109" width="5" bestFit="1" customWidth="1"/>
    <col min="110" max="110" width="7" bestFit="1" customWidth="1"/>
    <col min="111" max="124" width="5" bestFit="1" customWidth="1"/>
    <col min="125" max="125" width="7" bestFit="1" customWidth="1"/>
    <col min="126" max="130" width="5" bestFit="1" customWidth="1"/>
    <col min="131" max="132" width="7" bestFit="1" customWidth="1"/>
    <col min="133" max="133" width="2" bestFit="1" customWidth="1"/>
    <col min="134" max="134" width="30.5703125" bestFit="1" customWidth="1"/>
    <col min="135" max="136" width="10.5703125" bestFit="1" customWidth="1"/>
    <col min="137" max="137" width="9" bestFit="1" customWidth="1"/>
    <col min="138" max="143" width="10.5703125" bestFit="1" customWidth="1"/>
    <col min="144" max="144" width="9" bestFit="1" customWidth="1"/>
    <col min="145" max="155" width="10.5703125" bestFit="1" customWidth="1"/>
    <col min="156" max="158" width="9" bestFit="1" customWidth="1"/>
    <col min="159" max="160" width="10.5703125" bestFit="1" customWidth="1"/>
    <col min="161" max="162" width="9" bestFit="1" customWidth="1"/>
    <col min="163" max="163" width="10.5703125" bestFit="1" customWidth="1"/>
    <col min="164" max="165" width="9" bestFit="1" customWidth="1"/>
    <col min="166" max="166" width="10.5703125" bestFit="1" customWidth="1"/>
    <col min="167" max="167" width="42.5703125" bestFit="1" customWidth="1"/>
    <col min="168" max="168" width="4" bestFit="1" customWidth="1"/>
    <col min="169" max="173" width="5" bestFit="1" customWidth="1"/>
    <col min="174" max="174" width="8" bestFit="1" customWidth="1"/>
    <col min="175" max="175" width="5" bestFit="1" customWidth="1"/>
    <col min="176" max="176" width="7" bestFit="1" customWidth="1"/>
    <col min="177" max="177" width="5" bestFit="1" customWidth="1"/>
    <col min="178" max="178" width="7" bestFit="1" customWidth="1"/>
    <col min="179" max="179" width="5" bestFit="1" customWidth="1"/>
    <col min="180" max="180" width="8" bestFit="1" customWidth="1"/>
    <col min="181" max="181" width="5" bestFit="1" customWidth="1"/>
    <col min="182" max="182" width="8" bestFit="1" customWidth="1"/>
    <col min="183" max="183" width="6" bestFit="1" customWidth="1"/>
    <col min="184" max="185" width="7" bestFit="1" customWidth="1"/>
    <col min="186" max="186" width="8" bestFit="1" customWidth="1"/>
    <col min="187" max="187" width="9" bestFit="1" customWidth="1"/>
    <col min="188" max="190" width="5" bestFit="1" customWidth="1"/>
    <col min="191" max="191" width="7" bestFit="1" customWidth="1"/>
    <col min="192" max="193" width="8" bestFit="1" customWidth="1"/>
    <col min="194" max="195" width="7" bestFit="1" customWidth="1"/>
    <col min="196" max="196" width="8" bestFit="1" customWidth="1"/>
    <col min="197" max="198" width="7" bestFit="1" customWidth="1"/>
    <col min="200" max="200" width="18.140625" bestFit="1" customWidth="1"/>
    <col min="206" max="206" width="10.140625" bestFit="1" customWidth="1"/>
    <col min="215" max="216" width="10.140625" bestFit="1" customWidth="1"/>
    <col min="218" max="220" width="10.140625" bestFit="1" customWidth="1"/>
    <col min="225" max="226" width="10.140625" bestFit="1" customWidth="1"/>
    <col min="229" max="229" width="10.140625" bestFit="1" customWidth="1"/>
    <col min="233" max="233" width="46.5703125" bestFit="1" customWidth="1"/>
    <col min="234" max="241" width="5" bestFit="1" customWidth="1"/>
    <col min="242" max="242" width="7" bestFit="1" customWidth="1"/>
    <col min="243" max="256" width="5" bestFit="1" customWidth="1"/>
    <col min="257" max="257" width="7" bestFit="1" customWidth="1"/>
    <col min="258" max="262" width="5" bestFit="1" customWidth="1"/>
    <col min="263" max="264" width="7" bestFit="1" customWidth="1"/>
    <col min="265" max="265" width="5" bestFit="1" customWidth="1"/>
    <col min="266" max="266" width="29.140625" bestFit="1" customWidth="1"/>
    <col min="267" max="267" width="4" bestFit="1" customWidth="1"/>
    <col min="268" max="274" width="5" bestFit="1" customWidth="1"/>
    <col min="275" max="275" width="7" bestFit="1" customWidth="1"/>
    <col min="276" max="289" width="5" bestFit="1" customWidth="1"/>
    <col min="290" max="290" width="7" bestFit="1" customWidth="1"/>
    <col min="291" max="295" width="5" bestFit="1" customWidth="1"/>
    <col min="296" max="297" width="7" bestFit="1" customWidth="1"/>
    <col min="298" max="298" width="2" bestFit="1" customWidth="1"/>
    <col min="299" max="299" width="23.7109375" bestFit="1" customWidth="1"/>
    <col min="300" max="300" width="27.140625" bestFit="1" customWidth="1"/>
    <col min="301" max="301" width="27.42578125" bestFit="1" customWidth="1"/>
    <col min="302" max="302" width="26" bestFit="1" customWidth="1"/>
    <col min="303" max="303" width="35.5703125" bestFit="1" customWidth="1"/>
    <col min="304" max="304" width="47.5703125" bestFit="1" customWidth="1"/>
    <col min="305" max="305" width="23.140625" bestFit="1" customWidth="1"/>
    <col min="306" max="306" width="51.5703125" bestFit="1" customWidth="1"/>
    <col min="307" max="307" width="34.28515625" bestFit="1" customWidth="1"/>
  </cols>
  <sheetData>
    <row r="9" spans="1:11">
      <c r="A9" t="s">
        <v>96</v>
      </c>
    </row>
    <row r="10" spans="1:11">
      <c r="A10" s="149" t="s">
        <v>4</v>
      </c>
      <c r="B10" t="s">
        <v>97</v>
      </c>
      <c r="C10" t="s">
        <v>98</v>
      </c>
      <c r="D10" t="s">
        <v>99</v>
      </c>
      <c r="E10" t="s">
        <v>100</v>
      </c>
      <c r="F10" t="s">
        <v>101</v>
      </c>
      <c r="G10" t="s">
        <v>102</v>
      </c>
      <c r="H10" t="s">
        <v>103</v>
      </c>
      <c r="I10" t="s">
        <v>104</v>
      </c>
      <c r="J10" t="s">
        <v>105</v>
      </c>
      <c r="K10" t="s">
        <v>5</v>
      </c>
    </row>
    <row r="11" spans="1:11">
      <c r="A11" s="150"/>
      <c r="C11">
        <v>0</v>
      </c>
      <c r="D11">
        <v>0</v>
      </c>
      <c r="E11">
        <v>0</v>
      </c>
      <c r="F11" s="9">
        <v>0</v>
      </c>
      <c r="G11" s="9">
        <v>3780</v>
      </c>
      <c r="H11">
        <v>0</v>
      </c>
      <c r="I11" s="9">
        <v>3780</v>
      </c>
      <c r="K11" s="11">
        <v>3780</v>
      </c>
    </row>
    <row r="12" spans="1:11">
      <c r="A12" s="150" t="s">
        <v>8</v>
      </c>
      <c r="B12">
        <v>1</v>
      </c>
      <c r="C12">
        <v>0</v>
      </c>
      <c r="D12">
        <v>84.6</v>
      </c>
      <c r="E12">
        <v>13623</v>
      </c>
      <c r="F12" s="9">
        <v>6900</v>
      </c>
      <c r="G12" s="9">
        <v>45.625</v>
      </c>
      <c r="H12">
        <v>1500</v>
      </c>
      <c r="I12" s="9">
        <v>12750</v>
      </c>
      <c r="J12">
        <v>7504.0599999999995</v>
      </c>
      <c r="K12" s="11">
        <v>35767.06</v>
      </c>
    </row>
    <row r="13" spans="1:11">
      <c r="A13" s="150" t="s">
        <v>9</v>
      </c>
      <c r="B13">
        <v>7</v>
      </c>
      <c r="C13">
        <v>10.100000000000001</v>
      </c>
      <c r="D13">
        <v>333.9</v>
      </c>
      <c r="E13">
        <v>67505</v>
      </c>
      <c r="F13" s="9">
        <v>29440</v>
      </c>
      <c r="G13" s="9">
        <v>12871</v>
      </c>
      <c r="H13">
        <v>7425</v>
      </c>
      <c r="I13" s="9">
        <v>44650</v>
      </c>
      <c r="J13">
        <v>10934.640000000001</v>
      </c>
      <c r="K13" s="11">
        <v>130514.64</v>
      </c>
    </row>
    <row r="14" spans="1:11">
      <c r="A14" s="150" t="s">
        <v>11</v>
      </c>
      <c r="B14">
        <v>9</v>
      </c>
      <c r="C14">
        <v>748.99999999999989</v>
      </c>
      <c r="D14">
        <v>2.2999999999999998</v>
      </c>
      <c r="E14">
        <v>143015</v>
      </c>
      <c r="F14" s="9">
        <v>54280</v>
      </c>
      <c r="G14" s="9">
        <v>7471.5</v>
      </c>
      <c r="H14">
        <v>12200</v>
      </c>
      <c r="I14" s="9">
        <v>63910</v>
      </c>
      <c r="J14">
        <v>37761.280000000006</v>
      </c>
      <c r="K14" s="11">
        <v>256886.27999999997</v>
      </c>
    </row>
    <row r="15" spans="1:11">
      <c r="A15" s="150" t="s">
        <v>13</v>
      </c>
      <c r="C15">
        <v>0</v>
      </c>
      <c r="D15">
        <v>0</v>
      </c>
      <c r="E15">
        <v>0</v>
      </c>
      <c r="F15" s="9">
        <v>0</v>
      </c>
      <c r="G15" s="9">
        <v>0</v>
      </c>
      <c r="H15">
        <v>0</v>
      </c>
      <c r="I15" s="9">
        <v>0</v>
      </c>
      <c r="K15" s="11">
        <v>0</v>
      </c>
    </row>
    <row r="16" spans="1:11">
      <c r="A16" s="150" t="s">
        <v>15</v>
      </c>
      <c r="B16">
        <v>17</v>
      </c>
      <c r="C16">
        <v>759.09999999999991</v>
      </c>
      <c r="D16">
        <v>420.8</v>
      </c>
      <c r="E16">
        <v>224143</v>
      </c>
      <c r="F16" s="9">
        <v>90620</v>
      </c>
      <c r="G16" s="9">
        <v>24168.125</v>
      </c>
      <c r="H16">
        <v>21125</v>
      </c>
      <c r="I16" s="9">
        <v>125090</v>
      </c>
      <c r="J16">
        <v>56199.98000000001</v>
      </c>
      <c r="K16" s="11">
        <v>426947.98</v>
      </c>
    </row>
    <row r="17" spans="1:3">
      <c r="A17" s="149" t="s">
        <v>4</v>
      </c>
      <c r="B17" t="s">
        <v>106</v>
      </c>
      <c r="C17" t="s">
        <v>107</v>
      </c>
    </row>
    <row r="18" spans="1:3">
      <c r="A18" s="150" t="s">
        <v>108</v>
      </c>
      <c r="B18">
        <v>47</v>
      </c>
      <c r="C18">
        <v>4185</v>
      </c>
    </row>
    <row r="19" spans="1:3">
      <c r="A19" s="386" t="s">
        <v>109</v>
      </c>
      <c r="B19">
        <v>47</v>
      </c>
      <c r="C19">
        <v>4185</v>
      </c>
    </row>
    <row r="20" spans="1:3">
      <c r="A20" s="402" t="s">
        <v>1</v>
      </c>
      <c r="B20">
        <v>5</v>
      </c>
      <c r="C20">
        <v>450</v>
      </c>
    </row>
    <row r="21" spans="1:3">
      <c r="A21" s="402" t="s">
        <v>2</v>
      </c>
      <c r="B21">
        <v>42</v>
      </c>
      <c r="C21">
        <v>3735</v>
      </c>
    </row>
    <row r="22" spans="1:3">
      <c r="A22" s="150" t="s">
        <v>110</v>
      </c>
      <c r="B22">
        <v>24</v>
      </c>
      <c r="C22">
        <v>2045</v>
      </c>
    </row>
    <row r="23" spans="1:3">
      <c r="A23" s="386" t="s">
        <v>11</v>
      </c>
      <c r="B23">
        <v>24</v>
      </c>
      <c r="C23">
        <v>2045</v>
      </c>
    </row>
    <row r="24" spans="1:3">
      <c r="A24" s="402" t="s">
        <v>1</v>
      </c>
      <c r="B24">
        <v>24</v>
      </c>
      <c r="C24">
        <v>2045</v>
      </c>
    </row>
    <row r="25" spans="1:3">
      <c r="A25" s="150" t="s">
        <v>111</v>
      </c>
      <c r="B25">
        <v>7</v>
      </c>
      <c r="C25">
        <v>630</v>
      </c>
    </row>
    <row r="26" spans="1:3">
      <c r="A26" s="386" t="s">
        <v>112</v>
      </c>
      <c r="B26">
        <v>7</v>
      </c>
      <c r="C26">
        <v>630</v>
      </c>
    </row>
    <row r="27" spans="1:3">
      <c r="A27" s="402" t="s">
        <v>2</v>
      </c>
      <c r="B27">
        <v>7</v>
      </c>
      <c r="C27">
        <v>630</v>
      </c>
    </row>
    <row r="28" spans="1:3">
      <c r="A28" s="150" t="s">
        <v>113</v>
      </c>
      <c r="B28">
        <v>12</v>
      </c>
      <c r="C28">
        <v>1040</v>
      </c>
    </row>
    <row r="29" spans="1:3">
      <c r="A29" s="386" t="s">
        <v>9</v>
      </c>
      <c r="B29">
        <v>12</v>
      </c>
      <c r="C29">
        <v>1040</v>
      </c>
    </row>
    <row r="30" spans="1:3">
      <c r="A30" s="402" t="s">
        <v>1</v>
      </c>
      <c r="B30">
        <v>12</v>
      </c>
      <c r="C30">
        <v>1040</v>
      </c>
    </row>
    <row r="31" spans="1:3">
      <c r="A31" s="150" t="s">
        <v>114</v>
      </c>
      <c r="B31">
        <v>44</v>
      </c>
      <c r="C31">
        <v>5516</v>
      </c>
    </row>
    <row r="32" spans="1:3">
      <c r="A32" s="386" t="s">
        <v>109</v>
      </c>
      <c r="B32">
        <v>44</v>
      </c>
      <c r="C32">
        <v>5516</v>
      </c>
    </row>
    <row r="33" spans="1:3">
      <c r="A33" s="402" t="s">
        <v>1</v>
      </c>
      <c r="B33">
        <v>5</v>
      </c>
      <c r="C33">
        <v>581</v>
      </c>
    </row>
    <row r="34" spans="1:3">
      <c r="A34" s="402" t="s">
        <v>2</v>
      </c>
      <c r="B34">
        <v>39</v>
      </c>
      <c r="C34">
        <v>4935</v>
      </c>
    </row>
    <row r="35" spans="1:3">
      <c r="A35" s="150" t="s">
        <v>92</v>
      </c>
      <c r="B35">
        <v>163</v>
      </c>
      <c r="C35">
        <v>19285</v>
      </c>
    </row>
    <row r="36" spans="1:3">
      <c r="A36" s="386" t="s">
        <v>12</v>
      </c>
      <c r="B36">
        <v>163</v>
      </c>
      <c r="C36">
        <v>19285</v>
      </c>
    </row>
    <row r="37" spans="1:3">
      <c r="A37" s="402" t="s">
        <v>1</v>
      </c>
      <c r="B37">
        <v>8</v>
      </c>
      <c r="C37">
        <v>1260</v>
      </c>
    </row>
    <row r="38" spans="1:3">
      <c r="A38" s="402" t="s">
        <v>2</v>
      </c>
      <c r="B38">
        <v>155</v>
      </c>
      <c r="C38">
        <v>18025</v>
      </c>
    </row>
    <row r="39" spans="1:3">
      <c r="A39" s="150" t="s">
        <v>115</v>
      </c>
      <c r="B39">
        <v>10</v>
      </c>
      <c r="C39">
        <v>900</v>
      </c>
    </row>
    <row r="40" spans="1:3">
      <c r="A40" s="386" t="s">
        <v>112</v>
      </c>
      <c r="B40">
        <v>10</v>
      </c>
      <c r="C40">
        <v>900</v>
      </c>
    </row>
    <row r="41" spans="1:3">
      <c r="A41" s="402" t="s">
        <v>2</v>
      </c>
      <c r="B41">
        <v>10</v>
      </c>
      <c r="C41">
        <v>900</v>
      </c>
    </row>
    <row r="42" spans="1:3">
      <c r="A42" s="150" t="s">
        <v>13</v>
      </c>
    </row>
    <row r="43" spans="1:3">
      <c r="A43" s="150" t="s">
        <v>15</v>
      </c>
      <c r="B43">
        <v>307</v>
      </c>
      <c r="C43">
        <v>33601</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2C21F-ACEA-4507-A706-D07F4936E7F8}">
  <sheetPr codeName="Sheet5">
    <tabColor theme="5" tint="0.79998168889431442"/>
  </sheetPr>
  <dimension ref="A1:CK240"/>
  <sheetViews>
    <sheetView topLeftCell="A42" workbookViewId="0">
      <selection activeCell="M20" sqref="M20"/>
    </sheetView>
  </sheetViews>
  <sheetFormatPr defaultRowHeight="15"/>
  <cols>
    <col min="1" max="1" width="12.140625" style="12" customWidth="1"/>
    <col min="2" max="2" width="13.85546875" style="12" customWidth="1"/>
    <col min="3" max="3" width="10.42578125" customWidth="1"/>
    <col min="4" max="4" width="10.85546875" customWidth="1"/>
    <col min="5" max="5" width="16" style="7" customWidth="1"/>
    <col min="6" max="6" width="13.42578125" customWidth="1"/>
    <col min="7" max="7" width="22.5703125" customWidth="1"/>
    <col min="8" max="8" width="14.85546875" bestFit="1" customWidth="1"/>
    <col min="9" max="9" width="13.7109375" style="7" customWidth="1"/>
    <col min="10" max="10" width="11.28515625" customWidth="1"/>
    <col min="11" max="11" width="9.28515625" customWidth="1"/>
    <col min="12" max="12" width="14.7109375" style="7" customWidth="1"/>
    <col min="13" max="13" width="12.28515625" customWidth="1"/>
    <col min="14" max="14" width="10.28515625" style="8" customWidth="1"/>
    <col min="15" max="15" width="14.7109375" style="7" customWidth="1"/>
    <col min="16" max="16" width="12.28515625" customWidth="1"/>
    <col min="17" max="17" width="10.28515625" style="8" customWidth="1"/>
    <col min="18" max="18" width="14.7109375" customWidth="1"/>
    <col min="19" max="19" width="13.28515625" customWidth="1"/>
    <col min="20" max="20" width="11.28515625" style="8" customWidth="1"/>
    <col min="21" max="21" width="17.140625" customWidth="1"/>
    <col min="22" max="23" width="17.42578125" customWidth="1"/>
    <col min="24" max="24" width="14.42578125" customWidth="1"/>
    <col min="25" max="25" width="22.42578125" style="390" customWidth="1"/>
    <col min="26" max="28" width="14.42578125" customWidth="1"/>
    <col min="29" max="29" width="11.28515625" customWidth="1"/>
    <col min="30" max="30" width="16" customWidth="1"/>
    <col min="31" max="31" width="14.42578125" style="7" customWidth="1"/>
    <col min="32" max="32" width="32.42578125" style="8" customWidth="1"/>
    <col min="33" max="33" width="32.42578125" style="38" customWidth="1"/>
    <col min="34" max="34" width="40.7109375" style="7" customWidth="1"/>
    <col min="35" max="35" width="21.140625" customWidth="1"/>
    <col min="36" max="36" width="30" style="38" bestFit="1" customWidth="1"/>
    <col min="37" max="37" width="18.7109375" style="7" customWidth="1"/>
    <col min="38" max="38" width="18.7109375" style="8" customWidth="1"/>
    <col min="39" max="39" width="18.7109375" customWidth="1"/>
    <col min="40" max="40" width="25.28515625" style="395" customWidth="1"/>
    <col min="41" max="41" width="38.28515625" style="43" customWidth="1"/>
    <col min="42" max="42" width="33.5703125" style="395" customWidth="1"/>
    <col min="43" max="43" width="22.5703125" style="400" customWidth="1"/>
    <col min="44" max="44" width="24.7109375" style="12" customWidth="1"/>
    <col min="45" max="45" width="22.5703125" style="12" customWidth="1"/>
    <col min="46" max="47" width="9.140625" customWidth="1"/>
    <col min="48" max="48" width="17.140625" customWidth="1"/>
  </cols>
  <sheetData>
    <row r="1" spans="1:48" s="179" customFormat="1">
      <c r="A1" s="187" t="s">
        <v>116</v>
      </c>
      <c r="B1" s="4"/>
      <c r="E1" s="178"/>
      <c r="G1" s="179" t="s">
        <v>117</v>
      </c>
      <c r="H1" s="180">
        <v>130</v>
      </c>
      <c r="I1" s="178" t="s">
        <v>118</v>
      </c>
      <c r="K1" s="181">
        <v>175</v>
      </c>
      <c r="L1" s="178"/>
      <c r="N1" s="182">
        <v>135</v>
      </c>
      <c r="O1" s="178" t="s">
        <v>119</v>
      </c>
      <c r="Q1" s="182">
        <v>175</v>
      </c>
      <c r="T1" s="182">
        <v>135</v>
      </c>
      <c r="U1" s="181"/>
      <c r="V1" s="181"/>
      <c r="W1" s="181"/>
      <c r="Y1" s="387"/>
      <c r="Z1" s="181">
        <v>175</v>
      </c>
      <c r="AA1" s="181">
        <v>155</v>
      </c>
      <c r="AB1" s="181">
        <v>420</v>
      </c>
      <c r="AE1" s="183">
        <v>460</v>
      </c>
      <c r="AF1" s="182">
        <v>460</v>
      </c>
      <c r="AG1" s="391"/>
      <c r="AH1" s="183">
        <v>360</v>
      </c>
      <c r="AI1" s="181">
        <v>360</v>
      </c>
      <c r="AJ1" s="393"/>
      <c r="AK1" s="178"/>
      <c r="AL1" s="328"/>
      <c r="AN1" s="394"/>
      <c r="AO1" s="184"/>
      <c r="AP1" s="394"/>
      <c r="AQ1" s="399"/>
      <c r="AR1" s="186"/>
      <c r="AS1" s="186"/>
    </row>
    <row r="2" spans="1:48" s="4" customFormat="1">
      <c r="A2" s="187"/>
      <c r="E2" s="187" t="s">
        <v>118</v>
      </c>
      <c r="F2" s="4" t="s">
        <v>119</v>
      </c>
      <c r="I2" s="187" t="s">
        <v>120</v>
      </c>
      <c r="L2" s="187" t="s">
        <v>121</v>
      </c>
      <c r="N2" s="188"/>
      <c r="O2" s="187" t="s">
        <v>120</v>
      </c>
      <c r="Q2" s="188"/>
      <c r="R2" s="4" t="s">
        <v>121</v>
      </c>
      <c r="X2" s="122"/>
      <c r="Y2" s="388" t="s">
        <v>122</v>
      </c>
      <c r="AE2" s="187"/>
      <c r="AF2" s="188"/>
      <c r="AG2" s="38"/>
      <c r="AH2" s="187"/>
      <c r="AJ2" s="38"/>
      <c r="AK2" s="189">
        <v>0</v>
      </c>
      <c r="AL2" s="190">
        <v>0</v>
      </c>
      <c r="AM2" s="122"/>
      <c r="AN2" s="395"/>
      <c r="AO2" s="191"/>
      <c r="AP2" s="395"/>
      <c r="AQ2" s="400"/>
      <c r="AR2" s="13"/>
      <c r="AS2" s="13"/>
    </row>
    <row r="3" spans="1:48" s="407" customFormat="1" ht="15.75" thickBot="1">
      <c r="A3" s="406" t="s">
        <v>123</v>
      </c>
      <c r="B3" s="407" t="s">
        <v>124</v>
      </c>
      <c r="C3" s="407" t="s">
        <v>125</v>
      </c>
      <c r="D3" s="407" t="s">
        <v>126</v>
      </c>
      <c r="E3" s="406" t="s">
        <v>127</v>
      </c>
      <c r="F3" s="407" t="s">
        <v>128</v>
      </c>
      <c r="G3" s="407" t="s">
        <v>129</v>
      </c>
      <c r="H3" s="407" t="s">
        <v>130</v>
      </c>
      <c r="I3" s="406" t="s">
        <v>131</v>
      </c>
      <c r="J3" s="407" t="s">
        <v>132</v>
      </c>
      <c r="K3" s="407" t="s">
        <v>133</v>
      </c>
      <c r="L3" s="406" t="s">
        <v>134</v>
      </c>
      <c r="M3" s="407" t="s">
        <v>135</v>
      </c>
      <c r="N3" s="408" t="s">
        <v>136</v>
      </c>
      <c r="O3" s="406" t="s">
        <v>137</v>
      </c>
      <c r="P3" s="407" t="s">
        <v>138</v>
      </c>
      <c r="Q3" s="408" t="s">
        <v>139</v>
      </c>
      <c r="R3" s="407" t="s">
        <v>140</v>
      </c>
      <c r="S3" s="407" t="s">
        <v>141</v>
      </c>
      <c r="T3" s="408" t="s">
        <v>142</v>
      </c>
      <c r="U3" s="407" t="s">
        <v>143</v>
      </c>
      <c r="V3" s="407" t="s">
        <v>144</v>
      </c>
      <c r="W3" s="407" t="s">
        <v>145</v>
      </c>
      <c r="X3" s="407" t="s">
        <v>146</v>
      </c>
      <c r="Y3" s="409" t="s">
        <v>147</v>
      </c>
      <c r="Z3" s="407" t="s">
        <v>148</v>
      </c>
      <c r="AA3" s="407" t="s">
        <v>149</v>
      </c>
      <c r="AB3" s="407" t="s">
        <v>150</v>
      </c>
      <c r="AC3" s="407" t="s">
        <v>151</v>
      </c>
      <c r="AD3" s="407" t="s">
        <v>152</v>
      </c>
      <c r="AE3" s="406" t="s">
        <v>153</v>
      </c>
      <c r="AF3" s="408" t="s">
        <v>154</v>
      </c>
      <c r="AG3" s="410" t="s">
        <v>155</v>
      </c>
      <c r="AH3" s="411" t="s">
        <v>156</v>
      </c>
      <c r="AI3" s="407" t="s">
        <v>157</v>
      </c>
      <c r="AJ3" s="410" t="s">
        <v>158</v>
      </c>
      <c r="AK3" s="406" t="s">
        <v>159</v>
      </c>
      <c r="AL3" s="408" t="s">
        <v>160</v>
      </c>
      <c r="AM3" s="407" t="s">
        <v>161</v>
      </c>
      <c r="AN3" s="412" t="s">
        <v>162</v>
      </c>
      <c r="AO3" s="413" t="s">
        <v>163</v>
      </c>
      <c r="AP3" s="412" t="s">
        <v>164</v>
      </c>
      <c r="AQ3" s="414" t="s">
        <v>165</v>
      </c>
      <c r="AR3" s="415" t="s">
        <v>166</v>
      </c>
      <c r="AS3" s="415" t="s">
        <v>167</v>
      </c>
      <c r="AT3" s="407" t="s">
        <v>168</v>
      </c>
      <c r="AU3" s="407" t="s">
        <v>169</v>
      </c>
      <c r="AV3" s="407" t="s">
        <v>170</v>
      </c>
    </row>
    <row r="4" spans="1:48" s="16" customFormat="1">
      <c r="A4" s="152" t="str">
        <f t="shared" ref="A4:A5" si="0">IFERROR(IF(FIND("MET",E4),"MET",IF(FIND("GT",E4),"GT",)),"")</f>
        <v/>
      </c>
      <c r="B4" s="152"/>
      <c r="C4" s="1">
        <f>45843.21</f>
        <v>45843.21</v>
      </c>
      <c r="D4" t="s">
        <v>171</v>
      </c>
      <c r="E4" s="7"/>
      <c r="F4"/>
      <c r="G4" s="4"/>
      <c r="H4" s="5" t="str">
        <f t="shared" ref="H4:H35" si="1">IF(ISBLANK(G4),"",G4*$H$1)</f>
        <v/>
      </c>
      <c r="I4" s="21"/>
      <c r="J4" s="28"/>
      <c r="K4" s="28" t="str">
        <f t="shared" ref="K4:K34" si="2">IF(ISBLANK(I4),"",J4-I4)</f>
        <v/>
      </c>
      <c r="L4" s="30"/>
      <c r="M4" s="26"/>
      <c r="N4" s="31">
        <f t="shared" ref="N4:N67" si="3">IF(ISBLANK(L4),,M4-L4)</f>
        <v>0</v>
      </c>
      <c r="O4" s="21"/>
      <c r="P4" s="28"/>
      <c r="Q4" s="22">
        <f t="shared" ref="Q4:Q67" si="4">IF(ISBLANK(O4),,P4-O4)</f>
        <v>0</v>
      </c>
      <c r="R4" s="26"/>
      <c r="S4" s="26"/>
      <c r="T4" s="31">
        <f t="shared" ref="T4:T67" si="5">IF(ISBLANK(R4),,S4-R4)</f>
        <v>0</v>
      </c>
      <c r="U4" s="26">
        <f>SUM(K4,Q4)</f>
        <v>0</v>
      </c>
      <c r="V4" s="26">
        <f>SUM(N4,T4)</f>
        <v>0</v>
      </c>
      <c r="W4" s="26" t="str">
        <f t="shared" ref="W4:W67" si="6">IFERROR(K4+N4+Q4+T4,"")</f>
        <v/>
      </c>
      <c r="X4" s="36" t="str">
        <f t="shared" ref="X4:X67" si="7">IFERROR((K4*$K$1)+(N4*$N$1)+(Q4*$Q$1)+(T4*$T$1),"")</f>
        <v/>
      </c>
      <c r="Y4" s="389" t="str">
        <f t="shared" ref="Y4:Y67" si="8">IF(E4&lt;&gt;"",IF(X4&lt;(AE4*$AE$1),(AE4*$AE$1),X4),"")</f>
        <v/>
      </c>
      <c r="Z4" s="38"/>
      <c r="AA4" s="38">
        <v>1</v>
      </c>
      <c r="AB4" s="38">
        <v>1</v>
      </c>
      <c r="AC4" s="38"/>
      <c r="AD4" s="38"/>
      <c r="AE4" s="34">
        <v>0</v>
      </c>
      <c r="AF4" s="35">
        <v>0</v>
      </c>
      <c r="AG4" s="392">
        <f>Table3[[#This Row],[Active hours (Other than drilling)]]*$AF$1</f>
        <v>0</v>
      </c>
      <c r="AH4" s="44">
        <v>3.5</v>
      </c>
      <c r="AI4" s="13"/>
      <c r="AJ4" s="392" cm="1">
        <f t="array" ref="AJ4">SUM(Table3[[#This Row],[Inactive Hours (Other than client standby)]:[Standby Total Hours]]*$AI$1)</f>
        <v>1260</v>
      </c>
      <c r="AK4" s="45">
        <v>8.5</v>
      </c>
      <c r="AL4" s="23"/>
      <c r="AM4" s="25">
        <f t="shared" ref="AM4:AM35" si="9">IF(ISBLANK(AE4),"",SUM(AE4:AF4,AH4:AI4,AK4:AL4))</f>
        <v>12</v>
      </c>
      <c r="AN4" s="396">
        <f t="shared" ref="AN4:AN35" si="10">(AF4*$AF$1)+(AH4*$AH$1)+(AI4*$AI$1)</f>
        <v>1260</v>
      </c>
      <c r="AO4" s="53"/>
      <c r="AP4" s="398"/>
      <c r="AQ4" s="401">
        <f t="shared" ref="AQ4:AQ35" si="11">SUM(Y4,AN4,AP4,H4)+AD4</f>
        <v>1260</v>
      </c>
      <c r="AR4" s="298"/>
      <c r="AS4" s="18">
        <f>SUM($AQ4:AQ$6)</f>
        <v>3780</v>
      </c>
      <c r="AT4" t="str">
        <f t="shared" ref="AT4:AT35" si="12">_xlfn.TEXTJOIN(,TRUE,"0",MONTH(C4))</f>
        <v>07</v>
      </c>
      <c r="AU4">
        <f t="shared" ref="AU4:AU35" si="13">DAY(C4)</f>
        <v>5</v>
      </c>
      <c r="AV4" t="str">
        <f t="shared" ref="AV4:AV35" si="14">LEFT(D4,1)</f>
        <v>D</v>
      </c>
    </row>
    <row r="5" spans="1:48" s="16" customFormat="1">
      <c r="A5" s="152" t="str">
        <f t="shared" si="0"/>
        <v/>
      </c>
      <c r="B5" s="152"/>
      <c r="C5" s="1">
        <f>45843</f>
        <v>45843</v>
      </c>
      <c r="D5" t="s">
        <v>172</v>
      </c>
      <c r="E5" s="7"/>
      <c r="F5"/>
      <c r="G5" s="4"/>
      <c r="H5" s="5" t="str">
        <f t="shared" si="1"/>
        <v/>
      </c>
      <c r="I5" s="21"/>
      <c r="J5" s="28"/>
      <c r="K5" s="28" t="str">
        <f t="shared" si="2"/>
        <v/>
      </c>
      <c r="L5" s="30"/>
      <c r="M5" s="26"/>
      <c r="N5" s="31">
        <f t="shared" si="3"/>
        <v>0</v>
      </c>
      <c r="O5" s="21"/>
      <c r="P5" s="28"/>
      <c r="Q5" s="22">
        <f t="shared" si="4"/>
        <v>0</v>
      </c>
      <c r="R5" s="26"/>
      <c r="S5" s="26"/>
      <c r="T5" s="31">
        <f t="shared" si="5"/>
        <v>0</v>
      </c>
      <c r="U5" s="26">
        <f t="shared" ref="U5:U68" si="15">SUM(K5,Q5)</f>
        <v>0</v>
      </c>
      <c r="V5" s="26">
        <f t="shared" ref="V5:V68" si="16">SUM(N5,T5)</f>
        <v>0</v>
      </c>
      <c r="W5" s="26" t="str">
        <f t="shared" si="6"/>
        <v/>
      </c>
      <c r="X5" s="36" t="str">
        <f t="shared" si="7"/>
        <v/>
      </c>
      <c r="Y5" s="389" t="str">
        <f t="shared" si="8"/>
        <v/>
      </c>
      <c r="Z5" s="38"/>
      <c r="AA5" s="38"/>
      <c r="AB5" s="38"/>
      <c r="AC5" s="38"/>
      <c r="AD5" s="38"/>
      <c r="AE5" s="34">
        <v>0</v>
      </c>
      <c r="AF5" s="35">
        <v>0</v>
      </c>
      <c r="AG5" s="392">
        <f>Table3[[#This Row],[Active hours (Other than drilling)]]*$AF$1</f>
        <v>0</v>
      </c>
      <c r="AH5" s="44">
        <v>3.5</v>
      </c>
      <c r="AI5" s="13"/>
      <c r="AJ5" s="392" cm="1">
        <f t="array" ref="AJ5">SUM(Table3[[#This Row],[Inactive Hours (Other than client standby)]:[Standby Total Hours]]*$AI$1)</f>
        <v>1260</v>
      </c>
      <c r="AK5" s="45">
        <v>7.5</v>
      </c>
      <c r="AL5" s="23"/>
      <c r="AM5" s="25">
        <f t="shared" si="9"/>
        <v>11</v>
      </c>
      <c r="AN5" s="396">
        <f t="shared" si="10"/>
        <v>1260</v>
      </c>
      <c r="AO5" s="53"/>
      <c r="AP5" s="398"/>
      <c r="AQ5" s="401">
        <f t="shared" si="11"/>
        <v>1260</v>
      </c>
      <c r="AR5" s="298"/>
      <c r="AS5" s="18">
        <f>SUM($AQ5:AQ$6)</f>
        <v>2520</v>
      </c>
      <c r="AT5" t="str">
        <f t="shared" si="12"/>
        <v>07</v>
      </c>
      <c r="AU5">
        <f t="shared" si="13"/>
        <v>5</v>
      </c>
      <c r="AV5" t="str">
        <f t="shared" si="14"/>
        <v>N</v>
      </c>
    </row>
    <row r="6" spans="1:48">
      <c r="A6" s="152" t="str">
        <f>IFERROR(IF(FIND("MET",E6),"MET",IF(FIND("GT",E6),"GT",)),"")</f>
        <v/>
      </c>
      <c r="B6" s="152"/>
      <c r="C6" s="1">
        <f>45843.21+1</f>
        <v>45844.21</v>
      </c>
      <c r="D6" t="s">
        <v>171</v>
      </c>
      <c r="G6" s="4"/>
      <c r="H6" s="5" t="str">
        <f t="shared" si="1"/>
        <v/>
      </c>
      <c r="I6" s="21"/>
      <c r="J6" s="28"/>
      <c r="K6" s="28" t="str">
        <f t="shared" si="2"/>
        <v/>
      </c>
      <c r="L6" s="30"/>
      <c r="M6" s="26"/>
      <c r="N6" s="31">
        <f t="shared" si="3"/>
        <v>0</v>
      </c>
      <c r="O6" s="21"/>
      <c r="P6" s="28"/>
      <c r="Q6" s="22">
        <f t="shared" si="4"/>
        <v>0</v>
      </c>
      <c r="R6" s="26"/>
      <c r="S6" s="26"/>
      <c r="T6" s="31">
        <f t="shared" si="5"/>
        <v>0</v>
      </c>
      <c r="U6" s="26">
        <f t="shared" si="15"/>
        <v>0</v>
      </c>
      <c r="V6" s="26">
        <f t="shared" si="16"/>
        <v>0</v>
      </c>
      <c r="W6" s="26" t="str">
        <f t="shared" si="6"/>
        <v/>
      </c>
      <c r="X6" s="36" t="str">
        <f t="shared" si="7"/>
        <v/>
      </c>
      <c r="Y6" s="389" t="str">
        <f t="shared" si="8"/>
        <v/>
      </c>
      <c r="Z6" s="38"/>
      <c r="AA6" s="38">
        <v>1</v>
      </c>
      <c r="AB6" s="38">
        <v>1</v>
      </c>
      <c r="AC6" s="38"/>
      <c r="AD6" s="38"/>
      <c r="AE6" s="34">
        <v>0</v>
      </c>
      <c r="AF6" s="35">
        <v>0</v>
      </c>
      <c r="AG6" s="392">
        <f>Table3[[#This Row],[Active hours (Other than drilling)]]*$AF$1</f>
        <v>0</v>
      </c>
      <c r="AH6" s="44">
        <v>3.5</v>
      </c>
      <c r="AI6" s="13"/>
      <c r="AJ6" s="392" cm="1">
        <f t="array" ref="AJ6">SUM(Table3[[#This Row],[Inactive Hours (Other than client standby)]:[Standby Total Hours]]*$AI$1)</f>
        <v>1260</v>
      </c>
      <c r="AK6" s="45">
        <v>8.5</v>
      </c>
      <c r="AL6" s="23"/>
      <c r="AM6" s="25">
        <f t="shared" si="9"/>
        <v>12</v>
      </c>
      <c r="AN6" s="396">
        <f t="shared" si="10"/>
        <v>1260</v>
      </c>
      <c r="AO6" s="53"/>
      <c r="AP6" s="398"/>
      <c r="AQ6" s="401">
        <f t="shared" si="11"/>
        <v>1260</v>
      </c>
      <c r="AR6" s="298">
        <v>1260</v>
      </c>
      <c r="AS6" s="18">
        <f>SUM($AQ$6:AQ6)</f>
        <v>1260</v>
      </c>
      <c r="AT6" t="str">
        <f t="shared" si="12"/>
        <v>07</v>
      </c>
      <c r="AU6">
        <f t="shared" si="13"/>
        <v>6</v>
      </c>
      <c r="AV6" t="str">
        <f t="shared" si="14"/>
        <v>D</v>
      </c>
    </row>
    <row r="7" spans="1:48">
      <c r="A7" s="152" t="str">
        <f t="shared" ref="A7" si="17">IFERROR(IF(FIND("MET",E7),"MET",IF(FIND("GT",E7),"GT",)),"")</f>
        <v/>
      </c>
      <c r="B7" s="152"/>
      <c r="C7" s="1">
        <f>45843.71+1</f>
        <v>45844.71</v>
      </c>
      <c r="D7" t="s">
        <v>172</v>
      </c>
      <c r="G7" s="4"/>
      <c r="H7" s="5" t="str">
        <f t="shared" si="1"/>
        <v/>
      </c>
      <c r="I7" s="21"/>
      <c r="J7" s="28"/>
      <c r="K7" s="28" t="str">
        <f t="shared" si="2"/>
        <v/>
      </c>
      <c r="L7" s="30"/>
      <c r="M7" s="26"/>
      <c r="N7" s="31">
        <f t="shared" si="3"/>
        <v>0</v>
      </c>
      <c r="O7" s="21"/>
      <c r="P7" s="28"/>
      <c r="Q7" s="22">
        <f t="shared" si="4"/>
        <v>0</v>
      </c>
      <c r="R7" s="26"/>
      <c r="S7" s="26"/>
      <c r="T7" s="31">
        <f t="shared" si="5"/>
        <v>0</v>
      </c>
      <c r="U7" s="26">
        <f t="shared" si="15"/>
        <v>0</v>
      </c>
      <c r="V7" s="26">
        <f t="shared" si="16"/>
        <v>0</v>
      </c>
      <c r="W7" s="26" t="str">
        <f t="shared" si="6"/>
        <v/>
      </c>
      <c r="X7" s="36" t="str">
        <f t="shared" si="7"/>
        <v/>
      </c>
      <c r="Y7" s="389" t="str">
        <f t="shared" si="8"/>
        <v/>
      </c>
      <c r="Z7" s="38"/>
      <c r="AA7" s="38"/>
      <c r="AB7" s="38"/>
      <c r="AC7" s="38"/>
      <c r="AD7" s="38"/>
      <c r="AE7" s="34"/>
      <c r="AF7" s="35"/>
      <c r="AG7" s="392">
        <f>Table3[[#This Row],[Active hours (Other than drilling)]]*$AF$1</f>
        <v>0</v>
      </c>
      <c r="AH7" s="44"/>
      <c r="AI7" s="13"/>
      <c r="AJ7" s="392" cm="1">
        <f t="array" ref="AJ7">SUM(Table3[[#This Row],[Inactive Hours (Other than client standby)]:[Standby Total Hours]]*$AI$1)</f>
        <v>0</v>
      </c>
      <c r="AK7" s="45"/>
      <c r="AL7" s="23"/>
      <c r="AM7" s="25" t="str">
        <f t="shared" si="9"/>
        <v/>
      </c>
      <c r="AN7" s="396">
        <f t="shared" si="10"/>
        <v>0</v>
      </c>
      <c r="AO7" s="53"/>
      <c r="AP7" s="398"/>
      <c r="AQ7" s="401">
        <f t="shared" si="11"/>
        <v>0</v>
      </c>
      <c r="AR7" s="298">
        <v>0</v>
      </c>
      <c r="AS7" s="18">
        <f>SUM($AQ$6:AQ7)</f>
        <v>1260</v>
      </c>
      <c r="AT7" t="str">
        <f t="shared" si="12"/>
        <v>07</v>
      </c>
      <c r="AU7">
        <f t="shared" si="13"/>
        <v>6</v>
      </c>
      <c r="AV7" t="str">
        <f t="shared" si="14"/>
        <v>N</v>
      </c>
    </row>
    <row r="8" spans="1:48">
      <c r="A8" s="152" t="s">
        <v>11</v>
      </c>
      <c r="B8" s="152"/>
      <c r="C8" s="1">
        <f t="shared" ref="C8:C71" si="18">C6+1</f>
        <v>45845.21</v>
      </c>
      <c r="D8" t="s">
        <v>171</v>
      </c>
      <c r="E8" s="7" t="s">
        <v>173</v>
      </c>
      <c r="G8" s="4">
        <v>6</v>
      </c>
      <c r="H8" s="5">
        <f t="shared" si="1"/>
        <v>780</v>
      </c>
      <c r="I8" s="21">
        <v>0</v>
      </c>
      <c r="J8" s="28">
        <v>0</v>
      </c>
      <c r="K8" s="28">
        <f t="shared" si="2"/>
        <v>0</v>
      </c>
      <c r="L8" s="30"/>
      <c r="M8" s="26"/>
      <c r="N8" s="31">
        <f t="shared" si="3"/>
        <v>0</v>
      </c>
      <c r="O8" s="21"/>
      <c r="P8" s="28"/>
      <c r="Q8" s="22">
        <f t="shared" si="4"/>
        <v>0</v>
      </c>
      <c r="R8" s="26"/>
      <c r="S8" s="26"/>
      <c r="T8" s="31">
        <f t="shared" si="5"/>
        <v>0</v>
      </c>
      <c r="U8" s="26">
        <f t="shared" si="15"/>
        <v>0</v>
      </c>
      <c r="V8" s="26">
        <f t="shared" si="16"/>
        <v>0</v>
      </c>
      <c r="W8" s="26">
        <f t="shared" si="6"/>
        <v>0</v>
      </c>
      <c r="X8" s="36">
        <f t="shared" si="7"/>
        <v>0</v>
      </c>
      <c r="Y8" s="389">
        <f t="shared" si="8"/>
        <v>0</v>
      </c>
      <c r="Z8" s="38"/>
      <c r="AA8" s="38">
        <v>1</v>
      </c>
      <c r="AB8" s="38">
        <v>1</v>
      </c>
      <c r="AC8" s="38">
        <v>13170</v>
      </c>
      <c r="AD8" s="157">
        <f>SUMPRODUCT(Z8:AB8,$Z$1:$AB$1)</f>
        <v>575</v>
      </c>
      <c r="AE8" s="34">
        <v>0</v>
      </c>
      <c r="AF8" s="35">
        <v>8.25</v>
      </c>
      <c r="AG8" s="392">
        <f>Table3[[#This Row],[Active hours (Other than drilling)]]*$AF$1</f>
        <v>3795</v>
      </c>
      <c r="AH8" s="44">
        <v>2</v>
      </c>
      <c r="AI8" s="13"/>
      <c r="AJ8" s="392" cm="1">
        <f t="array" ref="AJ8">SUM(Table3[[#This Row],[Inactive Hours (Other than client standby)]:[Standby Total Hours]]*$AI$1)</f>
        <v>720</v>
      </c>
      <c r="AK8" s="45">
        <v>1.75</v>
      </c>
      <c r="AL8" s="23"/>
      <c r="AM8" s="25">
        <f t="shared" si="9"/>
        <v>12</v>
      </c>
      <c r="AN8" s="396">
        <f t="shared" si="10"/>
        <v>4515</v>
      </c>
      <c r="AO8" s="53">
        <v>1541</v>
      </c>
      <c r="AP8" s="398">
        <v>761</v>
      </c>
      <c r="AQ8" s="401">
        <f t="shared" si="11"/>
        <v>6631</v>
      </c>
      <c r="AR8" s="298">
        <v>6631</v>
      </c>
      <c r="AS8" s="18">
        <f>SUM($AQ$6:AQ8)</f>
        <v>7891</v>
      </c>
      <c r="AT8" t="str">
        <f t="shared" si="12"/>
        <v>07</v>
      </c>
      <c r="AU8">
        <f t="shared" si="13"/>
        <v>7</v>
      </c>
      <c r="AV8" t="str">
        <f t="shared" si="14"/>
        <v>D</v>
      </c>
    </row>
    <row r="9" spans="1:48">
      <c r="A9" s="152"/>
      <c r="B9" s="152"/>
      <c r="C9" s="1">
        <f t="shared" si="18"/>
        <v>45845.71</v>
      </c>
      <c r="D9" t="s">
        <v>172</v>
      </c>
      <c r="G9" s="4"/>
      <c r="H9" s="5" t="str">
        <f t="shared" si="1"/>
        <v/>
      </c>
      <c r="I9" s="21"/>
      <c r="J9" s="28"/>
      <c r="K9" s="28" t="str">
        <f t="shared" si="2"/>
        <v/>
      </c>
      <c r="L9" s="30"/>
      <c r="M9" s="26"/>
      <c r="N9" s="31">
        <f t="shared" si="3"/>
        <v>0</v>
      </c>
      <c r="O9" s="21"/>
      <c r="P9" s="28"/>
      <c r="Q9" s="22">
        <f t="shared" si="4"/>
        <v>0</v>
      </c>
      <c r="R9" s="26"/>
      <c r="S9" s="26"/>
      <c r="T9" s="31">
        <f t="shared" si="5"/>
        <v>0</v>
      </c>
      <c r="U9" s="26">
        <f t="shared" si="15"/>
        <v>0</v>
      </c>
      <c r="V9" s="26">
        <f t="shared" si="16"/>
        <v>0</v>
      </c>
      <c r="W9" s="26" t="str">
        <f t="shared" si="6"/>
        <v/>
      </c>
      <c r="X9" s="36" t="str">
        <f t="shared" si="7"/>
        <v/>
      </c>
      <c r="Y9" s="389" t="str">
        <f t="shared" si="8"/>
        <v/>
      </c>
      <c r="Z9" s="38"/>
      <c r="AA9" s="38"/>
      <c r="AB9" s="38"/>
      <c r="AC9" s="38"/>
      <c r="AD9" s="157">
        <f t="shared" ref="AD9:AD72" si="19">SUMPRODUCT(Z9:AB9,$Z$1:$AB$1)</f>
        <v>0</v>
      </c>
      <c r="AE9" s="34"/>
      <c r="AF9" s="35"/>
      <c r="AG9" s="392">
        <f>Table3[[#This Row],[Active hours (Other than drilling)]]*$AF$1</f>
        <v>0</v>
      </c>
      <c r="AH9" s="44"/>
      <c r="AI9" s="13"/>
      <c r="AJ9" s="392" cm="1">
        <f t="array" ref="AJ9">SUM(Table3[[#This Row],[Inactive Hours (Other than client standby)]:[Standby Total Hours]]*$AI$1)</f>
        <v>0</v>
      </c>
      <c r="AK9" s="45"/>
      <c r="AL9" s="23"/>
      <c r="AM9" s="25" t="str">
        <f t="shared" si="9"/>
        <v/>
      </c>
      <c r="AN9" s="396">
        <f t="shared" si="10"/>
        <v>0</v>
      </c>
      <c r="AO9" s="53"/>
      <c r="AP9" s="398"/>
      <c r="AQ9" s="401">
        <f t="shared" si="11"/>
        <v>0</v>
      </c>
      <c r="AR9" s="298">
        <v>0</v>
      </c>
      <c r="AS9" s="18">
        <f>SUM($AQ$6:AQ9)</f>
        <v>7891</v>
      </c>
      <c r="AT9" t="str">
        <f t="shared" si="12"/>
        <v>07</v>
      </c>
      <c r="AU9">
        <f t="shared" si="13"/>
        <v>7</v>
      </c>
      <c r="AV9" t="str">
        <f t="shared" si="14"/>
        <v>N</v>
      </c>
    </row>
    <row r="10" spans="1:48">
      <c r="A10" s="152" t="s">
        <v>11</v>
      </c>
      <c r="B10" s="152"/>
      <c r="C10" s="1">
        <f t="shared" si="18"/>
        <v>45846.21</v>
      </c>
      <c r="D10" t="s">
        <v>171</v>
      </c>
      <c r="E10" s="7" t="s">
        <v>173</v>
      </c>
      <c r="G10" s="4">
        <v>3</v>
      </c>
      <c r="H10" s="5">
        <f t="shared" si="1"/>
        <v>390</v>
      </c>
      <c r="I10" s="21">
        <v>0</v>
      </c>
      <c r="J10" s="28">
        <v>11</v>
      </c>
      <c r="K10" s="28">
        <f t="shared" si="2"/>
        <v>11</v>
      </c>
      <c r="L10" s="30"/>
      <c r="M10" s="26"/>
      <c r="N10" s="31">
        <f t="shared" si="3"/>
        <v>0</v>
      </c>
      <c r="O10" s="21"/>
      <c r="P10" s="28"/>
      <c r="Q10" s="22">
        <f t="shared" si="4"/>
        <v>0</v>
      </c>
      <c r="R10" s="26"/>
      <c r="S10" s="26"/>
      <c r="T10" s="31">
        <f t="shared" si="5"/>
        <v>0</v>
      </c>
      <c r="U10" s="26">
        <f t="shared" si="15"/>
        <v>11</v>
      </c>
      <c r="V10" s="26">
        <f t="shared" si="16"/>
        <v>0</v>
      </c>
      <c r="W10" s="26">
        <f t="shared" si="6"/>
        <v>11</v>
      </c>
      <c r="X10" s="36">
        <f t="shared" si="7"/>
        <v>1925</v>
      </c>
      <c r="Y10" s="389">
        <f t="shared" si="8"/>
        <v>1955</v>
      </c>
      <c r="Z10" s="38"/>
      <c r="AA10" s="38">
        <v>1</v>
      </c>
      <c r="AB10" s="38">
        <v>1</v>
      </c>
      <c r="AC10" s="38">
        <v>13170</v>
      </c>
      <c r="AD10" s="157">
        <f t="shared" si="19"/>
        <v>575</v>
      </c>
      <c r="AE10" s="34">
        <v>4.25</v>
      </c>
      <c r="AF10" s="35">
        <v>7</v>
      </c>
      <c r="AG10" s="392">
        <f>Table3[[#This Row],[Active hours (Other than drilling)]]*$AF$1</f>
        <v>3220</v>
      </c>
      <c r="AH10" s="44">
        <v>0.75</v>
      </c>
      <c r="AI10" s="13"/>
      <c r="AJ10" s="392" cm="1">
        <f t="array" ref="AJ10">SUM(Table3[[#This Row],[Inactive Hours (Other than client standby)]:[Standby Total Hours]]*$AI$1)</f>
        <v>270</v>
      </c>
      <c r="AK10" s="45"/>
      <c r="AL10" s="23"/>
      <c r="AM10" s="25">
        <f t="shared" si="9"/>
        <v>12</v>
      </c>
      <c r="AN10" s="396">
        <f t="shared" si="10"/>
        <v>3490</v>
      </c>
      <c r="AO10" s="53">
        <v>1076.3399999999999</v>
      </c>
      <c r="AP10" s="398">
        <f>1076.34-390</f>
        <v>686.33999999999992</v>
      </c>
      <c r="AQ10" s="401">
        <f t="shared" si="11"/>
        <v>7096.34</v>
      </c>
      <c r="AR10" s="298">
        <v>7096.34</v>
      </c>
      <c r="AS10" s="18">
        <f>SUM($AQ$6:AQ10)</f>
        <v>14987.34</v>
      </c>
      <c r="AT10" t="str">
        <f t="shared" si="12"/>
        <v>07</v>
      </c>
      <c r="AU10">
        <f t="shared" si="13"/>
        <v>8</v>
      </c>
      <c r="AV10" t="str">
        <f t="shared" si="14"/>
        <v>D</v>
      </c>
    </row>
    <row r="11" spans="1:48">
      <c r="A11" s="152" t="s">
        <v>11</v>
      </c>
      <c r="B11" s="152"/>
      <c r="C11" s="1">
        <f t="shared" si="18"/>
        <v>45846.71</v>
      </c>
      <c r="D11" t="s">
        <v>172</v>
      </c>
      <c r="E11" s="7" t="s">
        <v>173</v>
      </c>
      <c r="G11" s="4">
        <v>3</v>
      </c>
      <c r="H11" s="5">
        <f t="shared" si="1"/>
        <v>390</v>
      </c>
      <c r="I11" s="21">
        <v>11</v>
      </c>
      <c r="J11" s="28">
        <v>26.6</v>
      </c>
      <c r="K11" s="28">
        <f t="shared" si="2"/>
        <v>15.600000000000001</v>
      </c>
      <c r="L11" s="30"/>
      <c r="M11" s="26"/>
      <c r="N11" s="31">
        <f t="shared" si="3"/>
        <v>0</v>
      </c>
      <c r="O11" s="21"/>
      <c r="P11" s="28"/>
      <c r="Q11" s="22">
        <f t="shared" si="4"/>
        <v>0</v>
      </c>
      <c r="R11" s="26"/>
      <c r="S11" s="26"/>
      <c r="T11" s="31">
        <f t="shared" si="5"/>
        <v>0</v>
      </c>
      <c r="U11" s="26">
        <f t="shared" si="15"/>
        <v>15.600000000000001</v>
      </c>
      <c r="V11" s="26">
        <f t="shared" si="16"/>
        <v>0</v>
      </c>
      <c r="W11" s="26">
        <f t="shared" si="6"/>
        <v>15.600000000000001</v>
      </c>
      <c r="X11" s="36">
        <f t="shared" si="7"/>
        <v>2730.0000000000005</v>
      </c>
      <c r="Y11" s="389">
        <f t="shared" si="8"/>
        <v>3335</v>
      </c>
      <c r="Z11" s="38"/>
      <c r="AA11" s="38"/>
      <c r="AB11" s="38"/>
      <c r="AC11" s="38"/>
      <c r="AD11" s="157">
        <f t="shared" si="19"/>
        <v>0</v>
      </c>
      <c r="AE11" s="34">
        <v>7.25</v>
      </c>
      <c r="AF11" s="35">
        <v>1.5</v>
      </c>
      <c r="AG11" s="392">
        <f>Table3[[#This Row],[Active hours (Other than drilling)]]*$AF$1</f>
        <v>690</v>
      </c>
      <c r="AH11" s="44">
        <v>0.25</v>
      </c>
      <c r="AI11" s="13"/>
      <c r="AJ11" s="392" cm="1">
        <f t="array" ref="AJ11">SUM(Table3[[#This Row],[Inactive Hours (Other than client standby)]:[Standby Total Hours]]*$AI$1)</f>
        <v>90</v>
      </c>
      <c r="AK11" s="45">
        <v>3</v>
      </c>
      <c r="AL11" s="23"/>
      <c r="AM11" s="25">
        <f t="shared" si="9"/>
        <v>12</v>
      </c>
      <c r="AN11" s="396">
        <f t="shared" si="10"/>
        <v>780</v>
      </c>
      <c r="AO11" s="53">
        <v>507.93</v>
      </c>
      <c r="AP11" s="398">
        <v>117.93</v>
      </c>
      <c r="AQ11" s="401">
        <f t="shared" si="11"/>
        <v>4622.93</v>
      </c>
      <c r="AR11" s="298">
        <v>4622.93</v>
      </c>
      <c r="AS11" s="18">
        <f>SUM($AQ$6:AQ11)</f>
        <v>19610.27</v>
      </c>
      <c r="AT11" t="str">
        <f t="shared" si="12"/>
        <v>07</v>
      </c>
      <c r="AU11">
        <f t="shared" si="13"/>
        <v>8</v>
      </c>
      <c r="AV11" t="str">
        <f t="shared" si="14"/>
        <v>N</v>
      </c>
    </row>
    <row r="12" spans="1:48">
      <c r="A12" s="152" t="s">
        <v>11</v>
      </c>
      <c r="B12" s="152"/>
      <c r="C12" s="1">
        <f t="shared" si="18"/>
        <v>45847.21</v>
      </c>
      <c r="D12" t="s">
        <v>171</v>
      </c>
      <c r="E12" s="7" t="s">
        <v>173</v>
      </c>
      <c r="G12" s="4">
        <v>3</v>
      </c>
      <c r="H12" s="5">
        <f t="shared" si="1"/>
        <v>390</v>
      </c>
      <c r="I12" s="21">
        <v>26.6</v>
      </c>
      <c r="J12" s="28">
        <v>33.700000000000003</v>
      </c>
      <c r="K12" s="28">
        <f t="shared" si="2"/>
        <v>7.1000000000000014</v>
      </c>
      <c r="L12" s="30"/>
      <c r="M12" s="26"/>
      <c r="N12" s="31">
        <f t="shared" si="3"/>
        <v>0</v>
      </c>
      <c r="O12" s="21"/>
      <c r="P12" s="28"/>
      <c r="Q12" s="22">
        <f t="shared" si="4"/>
        <v>0</v>
      </c>
      <c r="R12" s="26"/>
      <c r="S12" s="26"/>
      <c r="T12" s="31">
        <f t="shared" si="5"/>
        <v>0</v>
      </c>
      <c r="U12" s="26">
        <f t="shared" si="15"/>
        <v>7.1000000000000014</v>
      </c>
      <c r="V12" s="26">
        <f t="shared" si="16"/>
        <v>0</v>
      </c>
      <c r="W12" s="26">
        <f t="shared" si="6"/>
        <v>7.1000000000000014</v>
      </c>
      <c r="X12" s="36">
        <f t="shared" si="7"/>
        <v>1242.5000000000002</v>
      </c>
      <c r="Y12" s="389">
        <f t="shared" si="8"/>
        <v>1380</v>
      </c>
      <c r="Z12" s="38"/>
      <c r="AA12" s="38">
        <v>1</v>
      </c>
      <c r="AB12" s="38">
        <v>1</v>
      </c>
      <c r="AC12" s="38">
        <v>13170</v>
      </c>
      <c r="AD12" s="157">
        <f t="shared" si="19"/>
        <v>575</v>
      </c>
      <c r="AE12" s="34">
        <v>3</v>
      </c>
      <c r="AF12" s="35">
        <v>0.25</v>
      </c>
      <c r="AG12" s="392">
        <f>Table3[[#This Row],[Active hours (Other than drilling)]]*$AF$1</f>
        <v>115</v>
      </c>
      <c r="AH12" s="44">
        <v>0.25</v>
      </c>
      <c r="AI12" s="13"/>
      <c r="AJ12" s="392" cm="1">
        <f t="array" ref="AJ12">SUM(Table3[[#This Row],[Inactive Hours (Other than client standby)]:[Standby Total Hours]]*$AI$1)</f>
        <v>90</v>
      </c>
      <c r="AK12" s="45">
        <v>8.5</v>
      </c>
      <c r="AL12" s="23"/>
      <c r="AM12" s="25">
        <f t="shared" si="9"/>
        <v>12</v>
      </c>
      <c r="AN12" s="396">
        <f t="shared" si="10"/>
        <v>205</v>
      </c>
      <c r="AO12" s="53">
        <v>390</v>
      </c>
      <c r="AP12" s="398">
        <v>0</v>
      </c>
      <c r="AQ12" s="401">
        <f t="shared" si="11"/>
        <v>2550</v>
      </c>
      <c r="AR12" s="298">
        <v>2550</v>
      </c>
      <c r="AS12" s="18">
        <f>SUM($AQ$6:AQ12)</f>
        <v>22160.27</v>
      </c>
      <c r="AT12" t="str">
        <f t="shared" si="12"/>
        <v>07</v>
      </c>
      <c r="AU12">
        <f t="shared" si="13"/>
        <v>9</v>
      </c>
      <c r="AV12" t="str">
        <f t="shared" si="14"/>
        <v>D</v>
      </c>
    </row>
    <row r="13" spans="1:48">
      <c r="A13" s="152" t="s">
        <v>11</v>
      </c>
      <c r="B13" s="152"/>
      <c r="C13" s="1">
        <f t="shared" si="18"/>
        <v>45847.71</v>
      </c>
      <c r="D13" t="s">
        <v>172</v>
      </c>
      <c r="E13" s="7" t="s">
        <v>173</v>
      </c>
      <c r="G13" s="4">
        <v>3</v>
      </c>
      <c r="H13" s="5">
        <f t="shared" si="1"/>
        <v>390</v>
      </c>
      <c r="I13" s="21">
        <v>33.700000000000003</v>
      </c>
      <c r="J13" s="28">
        <v>63.7</v>
      </c>
      <c r="K13" s="28">
        <f t="shared" si="2"/>
        <v>30</v>
      </c>
      <c r="L13" s="30"/>
      <c r="M13" s="26"/>
      <c r="N13" s="31">
        <f t="shared" si="3"/>
        <v>0</v>
      </c>
      <c r="O13" s="21"/>
      <c r="P13" s="28"/>
      <c r="Q13" s="22">
        <f t="shared" si="4"/>
        <v>0</v>
      </c>
      <c r="R13" s="26"/>
      <c r="S13" s="26"/>
      <c r="T13" s="31">
        <f t="shared" si="5"/>
        <v>0</v>
      </c>
      <c r="U13" s="26">
        <f t="shared" si="15"/>
        <v>30</v>
      </c>
      <c r="V13" s="26">
        <f t="shared" si="16"/>
        <v>0</v>
      </c>
      <c r="W13" s="26">
        <f t="shared" si="6"/>
        <v>30</v>
      </c>
      <c r="X13" s="36">
        <f t="shared" si="7"/>
        <v>5250</v>
      </c>
      <c r="Y13" s="389">
        <f t="shared" si="8"/>
        <v>5250</v>
      </c>
      <c r="Z13" s="38"/>
      <c r="AA13" s="38"/>
      <c r="AB13" s="38"/>
      <c r="AC13" s="38"/>
      <c r="AD13" s="157">
        <f t="shared" si="19"/>
        <v>0</v>
      </c>
      <c r="AE13" s="34">
        <v>10.75</v>
      </c>
      <c r="AF13" s="35">
        <v>0.75</v>
      </c>
      <c r="AG13" s="392">
        <f>Table3[[#This Row],[Active hours (Other than drilling)]]*$AF$1</f>
        <v>345</v>
      </c>
      <c r="AH13" s="44">
        <v>0.5</v>
      </c>
      <c r="AI13" s="13"/>
      <c r="AJ13" s="392" cm="1">
        <f t="array" ref="AJ13">SUM(Table3[[#This Row],[Inactive Hours (Other than client standby)]:[Standby Total Hours]]*$AI$1)</f>
        <v>180</v>
      </c>
      <c r="AK13" s="45"/>
      <c r="AL13" s="23"/>
      <c r="AM13" s="25">
        <f t="shared" si="9"/>
        <v>12</v>
      </c>
      <c r="AN13" s="396">
        <f t="shared" si="10"/>
        <v>525</v>
      </c>
      <c r="AO13" s="53">
        <v>507.93</v>
      </c>
      <c r="AP13" s="398">
        <v>117.93</v>
      </c>
      <c r="AQ13" s="401">
        <f t="shared" si="11"/>
        <v>6282.93</v>
      </c>
      <c r="AR13" s="298">
        <v>6282.93</v>
      </c>
      <c r="AS13" s="18">
        <f>SUM($AQ$6:AQ13)</f>
        <v>28443.200000000001</v>
      </c>
      <c r="AT13" t="str">
        <f t="shared" si="12"/>
        <v>07</v>
      </c>
      <c r="AU13">
        <f t="shared" si="13"/>
        <v>9</v>
      </c>
      <c r="AV13" t="str">
        <f t="shared" si="14"/>
        <v>N</v>
      </c>
    </row>
    <row r="14" spans="1:48">
      <c r="A14" s="152" t="s">
        <v>11</v>
      </c>
      <c r="B14" s="152"/>
      <c r="C14" s="1">
        <f t="shared" si="18"/>
        <v>45848.21</v>
      </c>
      <c r="D14" t="s">
        <v>171</v>
      </c>
      <c r="E14" s="7" t="s">
        <v>173</v>
      </c>
      <c r="G14" s="4">
        <v>3</v>
      </c>
      <c r="H14" s="5">
        <f t="shared" si="1"/>
        <v>390</v>
      </c>
      <c r="I14" s="21">
        <v>63.7</v>
      </c>
      <c r="J14" s="28">
        <v>84.1</v>
      </c>
      <c r="K14" s="28">
        <f t="shared" si="2"/>
        <v>20.399999999999991</v>
      </c>
      <c r="L14" s="30"/>
      <c r="M14" s="26"/>
      <c r="N14" s="31">
        <f t="shared" si="3"/>
        <v>0</v>
      </c>
      <c r="O14" s="21"/>
      <c r="P14" s="28"/>
      <c r="Q14" s="22">
        <f t="shared" si="4"/>
        <v>0</v>
      </c>
      <c r="R14" s="26"/>
      <c r="S14" s="26"/>
      <c r="T14" s="31">
        <f t="shared" si="5"/>
        <v>0</v>
      </c>
      <c r="U14" s="26">
        <f t="shared" si="15"/>
        <v>20.399999999999991</v>
      </c>
      <c r="V14" s="26">
        <f t="shared" si="16"/>
        <v>0</v>
      </c>
      <c r="W14" s="26">
        <f t="shared" si="6"/>
        <v>20.399999999999991</v>
      </c>
      <c r="X14" s="36">
        <f t="shared" si="7"/>
        <v>3569.9999999999986</v>
      </c>
      <c r="Y14" s="389">
        <f t="shared" si="8"/>
        <v>5060</v>
      </c>
      <c r="Z14" s="38"/>
      <c r="AA14" s="38">
        <v>1</v>
      </c>
      <c r="AB14" s="38">
        <v>1</v>
      </c>
      <c r="AC14" s="38">
        <v>13170</v>
      </c>
      <c r="AD14" s="157">
        <f t="shared" si="19"/>
        <v>575</v>
      </c>
      <c r="AE14" s="34">
        <v>11</v>
      </c>
      <c r="AF14" s="35">
        <v>0.5</v>
      </c>
      <c r="AG14" s="392">
        <f>Table3[[#This Row],[Active hours (Other than drilling)]]*$AF$1</f>
        <v>230</v>
      </c>
      <c r="AH14" s="44">
        <v>0.5</v>
      </c>
      <c r="AI14" s="13"/>
      <c r="AJ14" s="392" cm="1">
        <f t="array" ref="AJ14">SUM(Table3[[#This Row],[Inactive Hours (Other than client standby)]:[Standby Total Hours]]*$AI$1)</f>
        <v>180</v>
      </c>
      <c r="AK14" s="45"/>
      <c r="AL14" s="23"/>
      <c r="AM14" s="25">
        <f t="shared" si="9"/>
        <v>12</v>
      </c>
      <c r="AN14" s="396">
        <f t="shared" si="10"/>
        <v>410</v>
      </c>
      <c r="AO14" s="53">
        <v>817.99</v>
      </c>
      <c r="AP14" s="398">
        <f>817.99-390</f>
        <v>427.99</v>
      </c>
      <c r="AQ14" s="401">
        <f t="shared" si="11"/>
        <v>6862.99</v>
      </c>
      <c r="AR14" s="298">
        <v>6862.99</v>
      </c>
      <c r="AS14" s="18">
        <f>SUM($AQ$6:AQ14)</f>
        <v>35306.19</v>
      </c>
      <c r="AT14" t="str">
        <f t="shared" si="12"/>
        <v>07</v>
      </c>
      <c r="AU14">
        <f t="shared" si="13"/>
        <v>10</v>
      </c>
      <c r="AV14" t="str">
        <f t="shared" si="14"/>
        <v>D</v>
      </c>
    </row>
    <row r="15" spans="1:48">
      <c r="A15" s="152" t="s">
        <v>11</v>
      </c>
      <c r="B15" s="152"/>
      <c r="C15" s="1">
        <f t="shared" si="18"/>
        <v>45848.71</v>
      </c>
      <c r="D15" t="s">
        <v>172</v>
      </c>
      <c r="E15" s="7" t="s">
        <v>173</v>
      </c>
      <c r="G15" s="4">
        <v>3</v>
      </c>
      <c r="H15" s="5">
        <f t="shared" si="1"/>
        <v>390</v>
      </c>
      <c r="I15" s="21">
        <v>84.1</v>
      </c>
      <c r="J15" s="28">
        <v>99.7</v>
      </c>
      <c r="K15" s="28">
        <f t="shared" si="2"/>
        <v>15.600000000000009</v>
      </c>
      <c r="L15" s="30"/>
      <c r="M15" s="26"/>
      <c r="N15" s="31">
        <f t="shared" si="3"/>
        <v>0</v>
      </c>
      <c r="O15" s="21"/>
      <c r="P15" s="28"/>
      <c r="Q15" s="22">
        <f t="shared" si="4"/>
        <v>0</v>
      </c>
      <c r="R15" s="26"/>
      <c r="S15" s="26"/>
      <c r="T15" s="31">
        <f t="shared" si="5"/>
        <v>0</v>
      </c>
      <c r="U15" s="26">
        <f t="shared" si="15"/>
        <v>15.600000000000009</v>
      </c>
      <c r="V15" s="26">
        <f t="shared" si="16"/>
        <v>0</v>
      </c>
      <c r="W15" s="26">
        <f t="shared" si="6"/>
        <v>15.600000000000009</v>
      </c>
      <c r="X15" s="36">
        <f t="shared" si="7"/>
        <v>2730.0000000000014</v>
      </c>
      <c r="Y15" s="389">
        <f t="shared" si="8"/>
        <v>3105</v>
      </c>
      <c r="Z15" s="38"/>
      <c r="AA15" s="38"/>
      <c r="AB15" s="38"/>
      <c r="AC15" s="38"/>
      <c r="AD15" s="157">
        <f t="shared" si="19"/>
        <v>0</v>
      </c>
      <c r="AE15" s="34">
        <v>6.75</v>
      </c>
      <c r="AF15" s="35">
        <v>4.75</v>
      </c>
      <c r="AG15" s="392">
        <f>Table3[[#This Row],[Active hours (Other than drilling)]]*$AF$1</f>
        <v>2185</v>
      </c>
      <c r="AH15" s="44">
        <v>0.5</v>
      </c>
      <c r="AI15" s="13"/>
      <c r="AJ15" s="392" cm="1">
        <f t="array" ref="AJ15">SUM(Table3[[#This Row],[Inactive Hours (Other than client standby)]:[Standby Total Hours]]*$AI$1)</f>
        <v>180</v>
      </c>
      <c r="AK15" s="45"/>
      <c r="AL15" s="23"/>
      <c r="AM15" s="25">
        <f t="shared" si="9"/>
        <v>12</v>
      </c>
      <c r="AN15" s="396">
        <f t="shared" si="10"/>
        <v>2365</v>
      </c>
      <c r="AO15" s="53">
        <v>1166.68</v>
      </c>
      <c r="AP15" s="398">
        <f>1166.68-390</f>
        <v>776.68000000000006</v>
      </c>
      <c r="AQ15" s="401">
        <f t="shared" si="11"/>
        <v>6636.68</v>
      </c>
      <c r="AR15" s="18">
        <v>6636.68</v>
      </c>
      <c r="AS15" s="18">
        <f>SUM($AQ$6:AQ15)</f>
        <v>41942.870000000003</v>
      </c>
      <c r="AT15" t="str">
        <f t="shared" si="12"/>
        <v>07</v>
      </c>
      <c r="AU15">
        <f t="shared" si="13"/>
        <v>10</v>
      </c>
      <c r="AV15" t="str">
        <f t="shared" si="14"/>
        <v>N</v>
      </c>
    </row>
    <row r="16" spans="1:48">
      <c r="A16" s="152" t="s">
        <v>11</v>
      </c>
      <c r="B16" s="152">
        <v>1</v>
      </c>
      <c r="C16" s="1">
        <f t="shared" si="18"/>
        <v>45849.21</v>
      </c>
      <c r="D16" t="s">
        <v>171</v>
      </c>
      <c r="E16" s="7" t="s">
        <v>173</v>
      </c>
      <c r="G16" s="4">
        <v>3</v>
      </c>
      <c r="H16" s="5">
        <f t="shared" si="1"/>
        <v>390</v>
      </c>
      <c r="I16" s="21">
        <v>99.7</v>
      </c>
      <c r="J16" s="28">
        <v>118.7</v>
      </c>
      <c r="K16" s="28">
        <f t="shared" si="2"/>
        <v>19</v>
      </c>
      <c r="L16" s="30"/>
      <c r="M16" s="26"/>
      <c r="N16" s="31">
        <f t="shared" si="3"/>
        <v>0</v>
      </c>
      <c r="O16" s="21"/>
      <c r="P16" s="28"/>
      <c r="Q16" s="22">
        <f t="shared" si="4"/>
        <v>0</v>
      </c>
      <c r="R16" s="26"/>
      <c r="S16" s="26"/>
      <c r="T16" s="31">
        <f t="shared" si="5"/>
        <v>0</v>
      </c>
      <c r="U16" s="26">
        <f t="shared" si="15"/>
        <v>19</v>
      </c>
      <c r="V16" s="26">
        <f t="shared" si="16"/>
        <v>0</v>
      </c>
      <c r="W16" s="26">
        <f t="shared" si="6"/>
        <v>19</v>
      </c>
      <c r="X16" s="36">
        <f t="shared" si="7"/>
        <v>3325</v>
      </c>
      <c r="Y16" s="389">
        <f t="shared" si="8"/>
        <v>3910</v>
      </c>
      <c r="Z16" s="38"/>
      <c r="AA16" s="38">
        <v>1</v>
      </c>
      <c r="AB16" s="38">
        <v>1</v>
      </c>
      <c r="AC16" s="38">
        <v>13170</v>
      </c>
      <c r="AD16" s="157">
        <f t="shared" si="19"/>
        <v>575</v>
      </c>
      <c r="AE16" s="34">
        <v>8.5</v>
      </c>
      <c r="AF16" s="35">
        <v>3</v>
      </c>
      <c r="AG16" s="392">
        <f>Table3[[#This Row],[Active hours (Other than drilling)]]*$AF$1</f>
        <v>1380</v>
      </c>
      <c r="AH16" s="44">
        <v>0.5</v>
      </c>
      <c r="AI16" s="13"/>
      <c r="AJ16" s="392" cm="1">
        <f t="array" ref="AJ16">SUM(Table3[[#This Row],[Inactive Hours (Other than client standby)]:[Standby Total Hours]]*$AI$1)</f>
        <v>180</v>
      </c>
      <c r="AK16" s="45"/>
      <c r="AL16" s="23"/>
      <c r="AM16" s="25">
        <f t="shared" si="9"/>
        <v>12</v>
      </c>
      <c r="AN16" s="396">
        <f t="shared" si="10"/>
        <v>1560</v>
      </c>
      <c r="AO16" s="53">
        <v>390</v>
      </c>
      <c r="AP16" s="398"/>
      <c r="AQ16" s="401">
        <f t="shared" si="11"/>
        <v>6435</v>
      </c>
      <c r="AR16" s="298">
        <v>6435</v>
      </c>
      <c r="AS16" s="18">
        <f>SUM($AQ$6:AQ16)</f>
        <v>48377.87</v>
      </c>
      <c r="AT16" t="str">
        <f t="shared" si="12"/>
        <v>07</v>
      </c>
      <c r="AU16">
        <f t="shared" si="13"/>
        <v>11</v>
      </c>
      <c r="AV16" t="str">
        <f t="shared" si="14"/>
        <v>D</v>
      </c>
    </row>
    <row r="17" spans="1:48">
      <c r="A17" s="152" t="s">
        <v>11</v>
      </c>
      <c r="B17" s="152"/>
      <c r="C17" s="1">
        <f t="shared" si="18"/>
        <v>45849.71</v>
      </c>
      <c r="D17" t="s">
        <v>172</v>
      </c>
      <c r="E17" s="7" t="s">
        <v>174</v>
      </c>
      <c r="G17" s="4">
        <v>3</v>
      </c>
      <c r="H17" s="5">
        <f t="shared" si="1"/>
        <v>390</v>
      </c>
      <c r="I17" s="21">
        <v>0</v>
      </c>
      <c r="J17" s="28">
        <v>16.5</v>
      </c>
      <c r="K17" s="28">
        <f t="shared" si="2"/>
        <v>16.5</v>
      </c>
      <c r="L17" s="30"/>
      <c r="M17" s="26"/>
      <c r="N17" s="31">
        <f t="shared" si="3"/>
        <v>0</v>
      </c>
      <c r="O17" s="21"/>
      <c r="P17" s="28"/>
      <c r="Q17" s="22">
        <f t="shared" si="4"/>
        <v>0</v>
      </c>
      <c r="R17" s="26"/>
      <c r="S17" s="26"/>
      <c r="T17" s="31">
        <f t="shared" si="5"/>
        <v>0</v>
      </c>
      <c r="U17" s="26">
        <f t="shared" si="15"/>
        <v>16.5</v>
      </c>
      <c r="V17" s="26">
        <f t="shared" si="16"/>
        <v>0</v>
      </c>
      <c r="W17" s="26">
        <f t="shared" si="6"/>
        <v>16.5</v>
      </c>
      <c r="X17" s="36">
        <f t="shared" si="7"/>
        <v>2887.5</v>
      </c>
      <c r="Y17" s="389">
        <f t="shared" si="8"/>
        <v>3335</v>
      </c>
      <c r="Z17" s="38"/>
      <c r="AA17" s="38"/>
      <c r="AB17" s="38"/>
      <c r="AC17" s="38"/>
      <c r="AD17" s="157">
        <f t="shared" si="19"/>
        <v>0</v>
      </c>
      <c r="AE17" s="34">
        <v>7.25</v>
      </c>
      <c r="AF17" s="35">
        <v>4.25</v>
      </c>
      <c r="AG17" s="392">
        <f>Table3[[#This Row],[Active hours (Other than drilling)]]*$AF$1</f>
        <v>1955</v>
      </c>
      <c r="AH17" s="44">
        <v>0.5</v>
      </c>
      <c r="AI17" s="13"/>
      <c r="AJ17" s="392" cm="1">
        <f t="array" ref="AJ17">SUM(Table3[[#This Row],[Inactive Hours (Other than client standby)]:[Standby Total Hours]]*$AI$1)</f>
        <v>180</v>
      </c>
      <c r="AK17" s="45"/>
      <c r="AL17" s="23"/>
      <c r="AM17" s="25">
        <f t="shared" si="9"/>
        <v>12</v>
      </c>
      <c r="AN17" s="396">
        <f t="shared" si="10"/>
        <v>2135</v>
      </c>
      <c r="AO17" s="53">
        <v>786.12</v>
      </c>
      <c r="AP17" s="398">
        <f>786.12-390</f>
        <v>396.12</v>
      </c>
      <c r="AQ17" s="401">
        <f t="shared" si="11"/>
        <v>6256.12</v>
      </c>
      <c r="AR17" s="298">
        <v>6256.12</v>
      </c>
      <c r="AS17" s="18">
        <f>SUM($AQ$6:AQ17)</f>
        <v>54633.990000000005</v>
      </c>
      <c r="AT17" t="str">
        <f t="shared" si="12"/>
        <v>07</v>
      </c>
      <c r="AU17">
        <f t="shared" si="13"/>
        <v>11</v>
      </c>
      <c r="AV17" t="str">
        <f t="shared" si="14"/>
        <v>N</v>
      </c>
    </row>
    <row r="18" spans="1:48">
      <c r="A18" s="152" t="s">
        <v>11</v>
      </c>
      <c r="B18" s="152"/>
      <c r="C18" s="1">
        <f t="shared" si="18"/>
        <v>45850.21</v>
      </c>
      <c r="D18" t="s">
        <v>171</v>
      </c>
      <c r="E18" s="7" t="s">
        <v>174</v>
      </c>
      <c r="G18" s="4">
        <v>3</v>
      </c>
      <c r="H18" s="5">
        <f t="shared" si="1"/>
        <v>390</v>
      </c>
      <c r="I18" s="21">
        <v>16.5</v>
      </c>
      <c r="J18" s="28">
        <v>39.4</v>
      </c>
      <c r="K18" s="28">
        <f t="shared" si="2"/>
        <v>22.9</v>
      </c>
      <c r="L18" s="30"/>
      <c r="M18" s="26"/>
      <c r="N18" s="31">
        <f t="shared" si="3"/>
        <v>0</v>
      </c>
      <c r="O18" s="21"/>
      <c r="P18" s="28"/>
      <c r="Q18" s="22">
        <f t="shared" si="4"/>
        <v>0</v>
      </c>
      <c r="R18" s="26"/>
      <c r="S18" s="26"/>
      <c r="T18" s="31">
        <f t="shared" si="5"/>
        <v>0</v>
      </c>
      <c r="U18" s="26">
        <f t="shared" si="15"/>
        <v>22.9</v>
      </c>
      <c r="V18" s="26">
        <f t="shared" si="16"/>
        <v>0</v>
      </c>
      <c r="W18" s="26">
        <f t="shared" si="6"/>
        <v>22.9</v>
      </c>
      <c r="X18" s="36">
        <f t="shared" si="7"/>
        <v>4007.4999999999995</v>
      </c>
      <c r="Y18" s="389">
        <f t="shared" si="8"/>
        <v>4945</v>
      </c>
      <c r="Z18" s="38"/>
      <c r="AA18" s="38">
        <v>1</v>
      </c>
      <c r="AB18" s="38">
        <v>1</v>
      </c>
      <c r="AC18" s="38">
        <v>13170</v>
      </c>
      <c r="AD18" s="157">
        <f t="shared" si="19"/>
        <v>575</v>
      </c>
      <c r="AE18" s="34">
        <v>10.75</v>
      </c>
      <c r="AF18" s="35">
        <v>0.25</v>
      </c>
      <c r="AG18" s="392">
        <f>Table3[[#This Row],[Active hours (Other than drilling)]]*$AF$1</f>
        <v>115</v>
      </c>
      <c r="AH18" s="44">
        <v>0.5</v>
      </c>
      <c r="AI18" s="13"/>
      <c r="AJ18" s="392" cm="1">
        <f t="array" ref="AJ18">SUM(Table3[[#This Row],[Inactive Hours (Other than client standby)]:[Standby Total Hours]]*$AI$1)</f>
        <v>180</v>
      </c>
      <c r="AK18" s="45">
        <v>0.5</v>
      </c>
      <c r="AL18" s="23"/>
      <c r="AM18" s="25">
        <f t="shared" si="9"/>
        <v>12</v>
      </c>
      <c r="AN18" s="396">
        <f t="shared" si="10"/>
        <v>295</v>
      </c>
      <c r="AO18" s="53">
        <v>541.79</v>
      </c>
      <c r="AP18" s="398">
        <v>151.79</v>
      </c>
      <c r="AQ18" s="401">
        <f t="shared" si="11"/>
        <v>6356.79</v>
      </c>
      <c r="AR18" s="298">
        <v>6356.79</v>
      </c>
      <c r="AS18" s="18">
        <f>SUM($AQ$6:AQ18)</f>
        <v>60990.780000000006</v>
      </c>
      <c r="AT18" t="str">
        <f t="shared" si="12"/>
        <v>07</v>
      </c>
      <c r="AU18">
        <f t="shared" si="13"/>
        <v>12</v>
      </c>
      <c r="AV18" t="str">
        <f t="shared" si="14"/>
        <v>D</v>
      </c>
    </row>
    <row r="19" spans="1:48">
      <c r="A19" s="152" t="s">
        <v>11</v>
      </c>
      <c r="B19" s="152"/>
      <c r="C19" s="1">
        <f t="shared" si="18"/>
        <v>45850.71</v>
      </c>
      <c r="D19" t="s">
        <v>172</v>
      </c>
      <c r="E19" s="7" t="s">
        <v>174</v>
      </c>
      <c r="G19" s="4">
        <v>3</v>
      </c>
      <c r="H19" s="5">
        <f t="shared" si="1"/>
        <v>390</v>
      </c>
      <c r="I19" s="21">
        <v>39.4</v>
      </c>
      <c r="J19" s="28">
        <v>60.6</v>
      </c>
      <c r="K19" s="28">
        <f t="shared" si="2"/>
        <v>21.200000000000003</v>
      </c>
      <c r="L19" s="30"/>
      <c r="M19" s="26"/>
      <c r="N19" s="31">
        <f t="shared" si="3"/>
        <v>0</v>
      </c>
      <c r="O19" s="21"/>
      <c r="P19" s="28"/>
      <c r="Q19" s="22">
        <f t="shared" si="4"/>
        <v>0</v>
      </c>
      <c r="R19" s="26"/>
      <c r="S19" s="26"/>
      <c r="T19" s="31">
        <f t="shared" si="5"/>
        <v>0</v>
      </c>
      <c r="U19" s="26">
        <f t="shared" si="15"/>
        <v>21.200000000000003</v>
      </c>
      <c r="V19" s="26">
        <f t="shared" si="16"/>
        <v>0</v>
      </c>
      <c r="W19" s="26">
        <f t="shared" si="6"/>
        <v>21.200000000000003</v>
      </c>
      <c r="X19" s="36">
        <f t="shared" si="7"/>
        <v>3710.0000000000005</v>
      </c>
      <c r="Y19" s="389">
        <f t="shared" si="8"/>
        <v>3910</v>
      </c>
      <c r="Z19" s="38"/>
      <c r="AA19" s="38"/>
      <c r="AB19" s="38"/>
      <c r="AC19" s="38"/>
      <c r="AD19" s="157">
        <f t="shared" si="19"/>
        <v>0</v>
      </c>
      <c r="AE19" s="34">
        <v>8.5</v>
      </c>
      <c r="AF19" s="35">
        <v>2.5</v>
      </c>
      <c r="AG19" s="392">
        <f>Table3[[#This Row],[Active hours (Other than drilling)]]*$AF$1</f>
        <v>1150</v>
      </c>
      <c r="AH19" s="44">
        <v>0.5</v>
      </c>
      <c r="AI19" s="13"/>
      <c r="AJ19" s="392" cm="1">
        <f t="array" ref="AJ19">SUM(Table3[[#This Row],[Inactive Hours (Other than client standby)]:[Standby Total Hours]]*$AI$1)</f>
        <v>180</v>
      </c>
      <c r="AK19" s="45">
        <v>0.5</v>
      </c>
      <c r="AL19" s="23"/>
      <c r="AM19" s="25">
        <f t="shared" si="9"/>
        <v>12</v>
      </c>
      <c r="AN19" s="396">
        <f t="shared" si="10"/>
        <v>1330</v>
      </c>
      <c r="AO19" s="53">
        <v>507.93</v>
      </c>
      <c r="AP19" s="398">
        <v>117.93</v>
      </c>
      <c r="AQ19" s="401">
        <f t="shared" si="11"/>
        <v>5747.93</v>
      </c>
      <c r="AR19" s="298">
        <v>5747.93</v>
      </c>
      <c r="AS19" s="18">
        <f>SUM($AQ$6:AQ19)</f>
        <v>66738.710000000006</v>
      </c>
      <c r="AT19" t="str">
        <f t="shared" si="12"/>
        <v>07</v>
      </c>
      <c r="AU19">
        <f t="shared" si="13"/>
        <v>12</v>
      </c>
      <c r="AV19" t="str">
        <f t="shared" si="14"/>
        <v>N</v>
      </c>
    </row>
    <row r="20" spans="1:48">
      <c r="A20" s="152" t="s">
        <v>11</v>
      </c>
      <c r="B20" s="152"/>
      <c r="C20" s="1">
        <f t="shared" si="18"/>
        <v>45851.21</v>
      </c>
      <c r="D20" t="s">
        <v>171</v>
      </c>
      <c r="E20" s="7" t="s">
        <v>174</v>
      </c>
      <c r="G20" s="4">
        <v>3</v>
      </c>
      <c r="H20" s="5">
        <f t="shared" si="1"/>
        <v>390</v>
      </c>
      <c r="I20" s="21">
        <v>60.6</v>
      </c>
      <c r="J20" s="28">
        <v>73.8</v>
      </c>
      <c r="K20" s="28">
        <f t="shared" si="2"/>
        <v>13.199999999999996</v>
      </c>
      <c r="L20" s="30"/>
      <c r="M20" s="26"/>
      <c r="N20" s="31">
        <f t="shared" si="3"/>
        <v>0</v>
      </c>
      <c r="O20" s="21"/>
      <c r="P20" s="28"/>
      <c r="Q20" s="22">
        <f t="shared" si="4"/>
        <v>0</v>
      </c>
      <c r="R20" s="26"/>
      <c r="S20" s="26"/>
      <c r="T20" s="31">
        <f t="shared" si="5"/>
        <v>0</v>
      </c>
      <c r="U20" s="26">
        <f t="shared" si="15"/>
        <v>13.199999999999996</v>
      </c>
      <c r="V20" s="26">
        <f t="shared" si="16"/>
        <v>0</v>
      </c>
      <c r="W20" s="26">
        <f t="shared" si="6"/>
        <v>13.199999999999996</v>
      </c>
      <c r="X20" s="36">
        <f t="shared" si="7"/>
        <v>2309.9999999999991</v>
      </c>
      <c r="Y20" s="389">
        <f t="shared" si="8"/>
        <v>4025</v>
      </c>
      <c r="Z20" s="38"/>
      <c r="AA20" s="38">
        <v>1</v>
      </c>
      <c r="AB20" s="38">
        <v>1</v>
      </c>
      <c r="AC20" s="38">
        <v>13170</v>
      </c>
      <c r="AD20" s="157">
        <f t="shared" si="19"/>
        <v>575</v>
      </c>
      <c r="AE20" s="34">
        <v>8.75</v>
      </c>
      <c r="AF20" s="35">
        <v>2.75</v>
      </c>
      <c r="AG20" s="392">
        <f>Table3[[#This Row],[Active hours (Other than drilling)]]*$AF$1</f>
        <v>1265</v>
      </c>
      <c r="AH20" s="44">
        <v>0.5</v>
      </c>
      <c r="AI20" s="13"/>
      <c r="AJ20" s="392" cm="1">
        <f t="array" ref="AJ20">SUM(Table3[[#This Row],[Inactive Hours (Other than client standby)]:[Standby Total Hours]]*$AI$1)</f>
        <v>180</v>
      </c>
      <c r="AK20" s="45"/>
      <c r="AL20" s="23"/>
      <c r="AM20" s="25">
        <f t="shared" si="9"/>
        <v>12</v>
      </c>
      <c r="AN20" s="396">
        <f t="shared" si="10"/>
        <v>1445</v>
      </c>
      <c r="AO20" s="53">
        <v>443.23</v>
      </c>
      <c r="AP20" s="398">
        <v>53.23</v>
      </c>
      <c r="AQ20" s="401">
        <f t="shared" si="11"/>
        <v>6488.23</v>
      </c>
      <c r="AR20" s="298">
        <v>6488.23</v>
      </c>
      <c r="AS20" s="18">
        <f>SUM($AQ$6:AQ20)</f>
        <v>73226.94</v>
      </c>
      <c r="AT20" t="str">
        <f t="shared" si="12"/>
        <v>07</v>
      </c>
      <c r="AU20">
        <f t="shared" si="13"/>
        <v>13</v>
      </c>
      <c r="AV20" t="str">
        <f t="shared" si="14"/>
        <v>D</v>
      </c>
    </row>
    <row r="21" spans="1:48">
      <c r="A21" s="152" t="s">
        <v>11</v>
      </c>
      <c r="B21" s="152"/>
      <c r="C21" s="1">
        <f t="shared" si="18"/>
        <v>45851.71</v>
      </c>
      <c r="D21" t="s">
        <v>172</v>
      </c>
      <c r="E21" s="7" t="s">
        <v>174</v>
      </c>
      <c r="G21" s="4">
        <v>3</v>
      </c>
      <c r="H21" s="5">
        <f t="shared" si="1"/>
        <v>390</v>
      </c>
      <c r="I21" s="21">
        <v>73.8</v>
      </c>
      <c r="J21" s="28">
        <v>101.1</v>
      </c>
      <c r="K21" s="28">
        <f t="shared" si="2"/>
        <v>27.299999999999997</v>
      </c>
      <c r="L21" s="30"/>
      <c r="M21" s="26"/>
      <c r="N21" s="31">
        <f t="shared" si="3"/>
        <v>0</v>
      </c>
      <c r="O21" s="21"/>
      <c r="P21" s="28"/>
      <c r="Q21" s="22">
        <f t="shared" si="4"/>
        <v>0</v>
      </c>
      <c r="R21" s="26"/>
      <c r="S21" s="26"/>
      <c r="T21" s="31">
        <f t="shared" si="5"/>
        <v>0</v>
      </c>
      <c r="U21" s="26">
        <f t="shared" si="15"/>
        <v>27.299999999999997</v>
      </c>
      <c r="V21" s="26">
        <f t="shared" si="16"/>
        <v>0</v>
      </c>
      <c r="W21" s="26">
        <f t="shared" si="6"/>
        <v>27.299999999999997</v>
      </c>
      <c r="X21" s="36">
        <f t="shared" si="7"/>
        <v>4777.4999999999991</v>
      </c>
      <c r="Y21" s="389">
        <f t="shared" si="8"/>
        <v>5060</v>
      </c>
      <c r="Z21" s="38"/>
      <c r="AA21" s="38"/>
      <c r="AB21" s="38"/>
      <c r="AC21" s="38"/>
      <c r="AD21" s="157">
        <f t="shared" si="19"/>
        <v>0</v>
      </c>
      <c r="AE21" s="34">
        <v>11</v>
      </c>
      <c r="AF21" s="35">
        <v>0.5</v>
      </c>
      <c r="AG21" s="392">
        <f>Table3[[#This Row],[Active hours (Other than drilling)]]*$AF$1</f>
        <v>230</v>
      </c>
      <c r="AH21" s="44">
        <v>0.5</v>
      </c>
      <c r="AI21" s="13"/>
      <c r="AJ21" s="392" cm="1">
        <f t="array" ref="AJ21">SUM(Table3[[#This Row],[Inactive Hours (Other than client standby)]:[Standby Total Hours]]*$AI$1)</f>
        <v>180</v>
      </c>
      <c r="AK21" s="45"/>
      <c r="AL21" s="23"/>
      <c r="AM21" s="25">
        <f t="shared" si="9"/>
        <v>12</v>
      </c>
      <c r="AN21" s="396">
        <f t="shared" si="10"/>
        <v>410</v>
      </c>
      <c r="AO21" s="53">
        <v>507.93</v>
      </c>
      <c r="AP21" s="398">
        <v>117.93</v>
      </c>
      <c r="AQ21" s="401">
        <f t="shared" si="11"/>
        <v>5977.93</v>
      </c>
      <c r="AR21" s="298">
        <v>5977.93</v>
      </c>
      <c r="AS21" s="18">
        <f>SUM($AQ$6:AQ21)</f>
        <v>79204.87</v>
      </c>
      <c r="AT21" t="str">
        <f t="shared" si="12"/>
        <v>07</v>
      </c>
      <c r="AU21">
        <f t="shared" si="13"/>
        <v>13</v>
      </c>
      <c r="AV21" t="str">
        <f t="shared" si="14"/>
        <v>N</v>
      </c>
    </row>
    <row r="22" spans="1:48">
      <c r="A22" s="152" t="s">
        <v>11</v>
      </c>
      <c r="B22" s="152">
        <v>1</v>
      </c>
      <c r="C22" s="1">
        <f t="shared" si="18"/>
        <v>45852.21</v>
      </c>
      <c r="D22" t="s">
        <v>171</v>
      </c>
      <c r="E22" s="7" t="s">
        <v>174</v>
      </c>
      <c r="G22" s="4">
        <v>3</v>
      </c>
      <c r="H22" s="5">
        <f t="shared" si="1"/>
        <v>390</v>
      </c>
      <c r="I22" s="21">
        <v>101.1</v>
      </c>
      <c r="J22" s="28">
        <v>120.7</v>
      </c>
      <c r="K22" s="28">
        <f t="shared" si="2"/>
        <v>19.600000000000009</v>
      </c>
      <c r="L22" s="30"/>
      <c r="M22" s="26"/>
      <c r="N22" s="31">
        <f t="shared" si="3"/>
        <v>0</v>
      </c>
      <c r="O22" s="21"/>
      <c r="P22" s="28"/>
      <c r="Q22" s="22">
        <f t="shared" si="4"/>
        <v>0</v>
      </c>
      <c r="R22" s="26"/>
      <c r="S22" s="26"/>
      <c r="T22" s="31">
        <f t="shared" si="5"/>
        <v>0</v>
      </c>
      <c r="U22" s="26">
        <f t="shared" si="15"/>
        <v>19.600000000000009</v>
      </c>
      <c r="V22" s="26">
        <f t="shared" si="16"/>
        <v>0</v>
      </c>
      <c r="W22" s="26">
        <f t="shared" si="6"/>
        <v>19.600000000000009</v>
      </c>
      <c r="X22" s="36">
        <f t="shared" si="7"/>
        <v>3430.0000000000014</v>
      </c>
      <c r="Y22" s="389">
        <f t="shared" si="8"/>
        <v>3680</v>
      </c>
      <c r="Z22" s="38"/>
      <c r="AA22" s="38">
        <v>1</v>
      </c>
      <c r="AB22" s="38">
        <v>1</v>
      </c>
      <c r="AC22" s="38">
        <v>13170</v>
      </c>
      <c r="AD22" s="157">
        <f t="shared" si="19"/>
        <v>575</v>
      </c>
      <c r="AE22" s="34">
        <v>8</v>
      </c>
      <c r="AF22" s="35">
        <v>3.5</v>
      </c>
      <c r="AG22" s="392">
        <f>Table3[[#This Row],[Active hours (Other than drilling)]]*$AF$1</f>
        <v>1610</v>
      </c>
      <c r="AH22" s="44">
        <v>0.5</v>
      </c>
      <c r="AI22" s="13"/>
      <c r="AJ22" s="392" cm="1">
        <f t="array" ref="AJ22">SUM(Table3[[#This Row],[Inactive Hours (Other than client standby)]:[Standby Total Hours]]*$AI$1)</f>
        <v>180</v>
      </c>
      <c r="AK22" s="45"/>
      <c r="AL22" s="23"/>
      <c r="AM22" s="25">
        <f t="shared" si="9"/>
        <v>12</v>
      </c>
      <c r="AN22" s="396">
        <f t="shared" si="10"/>
        <v>1790</v>
      </c>
      <c r="AO22" s="53">
        <v>390</v>
      </c>
      <c r="AP22" s="398"/>
      <c r="AQ22" s="401">
        <f t="shared" si="11"/>
        <v>6435</v>
      </c>
      <c r="AR22" s="298">
        <v>6435</v>
      </c>
      <c r="AS22" s="18">
        <f>SUM($AQ$6:AQ22)</f>
        <v>85639.87</v>
      </c>
      <c r="AT22" t="str">
        <f t="shared" si="12"/>
        <v>07</v>
      </c>
      <c r="AU22">
        <f t="shared" si="13"/>
        <v>14</v>
      </c>
      <c r="AV22" t="str">
        <f t="shared" si="14"/>
        <v>D</v>
      </c>
    </row>
    <row r="23" spans="1:48">
      <c r="A23" s="152" t="s">
        <v>11</v>
      </c>
      <c r="B23" s="152"/>
      <c r="C23" s="1">
        <f t="shared" si="18"/>
        <v>45852.71</v>
      </c>
      <c r="D23" t="s">
        <v>172</v>
      </c>
      <c r="E23" s="7" t="s">
        <v>175</v>
      </c>
      <c r="G23" s="4">
        <v>3</v>
      </c>
      <c r="H23" s="5">
        <f t="shared" si="1"/>
        <v>390</v>
      </c>
      <c r="I23" s="21">
        <v>0</v>
      </c>
      <c r="J23" s="28">
        <v>20.5</v>
      </c>
      <c r="K23" s="28">
        <f t="shared" si="2"/>
        <v>20.5</v>
      </c>
      <c r="L23" s="30"/>
      <c r="M23" s="26"/>
      <c r="N23" s="31">
        <f t="shared" si="3"/>
        <v>0</v>
      </c>
      <c r="O23" s="21"/>
      <c r="P23" s="28"/>
      <c r="Q23" s="22">
        <f t="shared" si="4"/>
        <v>0</v>
      </c>
      <c r="R23" s="26"/>
      <c r="S23" s="26"/>
      <c r="T23" s="31">
        <f t="shared" si="5"/>
        <v>0</v>
      </c>
      <c r="U23" s="26">
        <f t="shared" si="15"/>
        <v>20.5</v>
      </c>
      <c r="V23" s="26">
        <f t="shared" si="16"/>
        <v>0</v>
      </c>
      <c r="W23" s="26">
        <f t="shared" si="6"/>
        <v>20.5</v>
      </c>
      <c r="X23" s="36">
        <f t="shared" si="7"/>
        <v>3587.5</v>
      </c>
      <c r="Y23" s="389">
        <f t="shared" si="8"/>
        <v>3795</v>
      </c>
      <c r="Z23" s="38"/>
      <c r="AA23" s="38"/>
      <c r="AB23" s="38"/>
      <c r="AC23" s="38"/>
      <c r="AD23" s="157">
        <f t="shared" si="19"/>
        <v>0</v>
      </c>
      <c r="AE23" s="34">
        <v>8.25</v>
      </c>
      <c r="AF23" s="35">
        <v>3.25</v>
      </c>
      <c r="AG23" s="392">
        <f>Table3[[#This Row],[Active hours (Other than drilling)]]*$AF$1</f>
        <v>1495</v>
      </c>
      <c r="AH23" s="44">
        <v>0.5</v>
      </c>
      <c r="AI23" s="13"/>
      <c r="AJ23" s="392" cm="1">
        <f t="array" ref="AJ23">SUM(Table3[[#This Row],[Inactive Hours (Other than client standby)]:[Standby Total Hours]]*$AI$1)</f>
        <v>180</v>
      </c>
      <c r="AK23" s="45"/>
      <c r="AL23" s="23"/>
      <c r="AM23" s="25">
        <f t="shared" si="9"/>
        <v>12</v>
      </c>
      <c r="AN23" s="396">
        <f t="shared" si="10"/>
        <v>1675</v>
      </c>
      <c r="AO23" s="53">
        <v>625.86</v>
      </c>
      <c r="AP23" s="398">
        <v>235.86</v>
      </c>
      <c r="AQ23" s="401">
        <f t="shared" si="11"/>
        <v>6095.86</v>
      </c>
      <c r="AR23" s="298">
        <v>6095.86</v>
      </c>
      <c r="AS23" s="18">
        <f>SUM($AQ$6:AQ23)</f>
        <v>91735.73</v>
      </c>
      <c r="AT23" t="str">
        <f t="shared" si="12"/>
        <v>07</v>
      </c>
      <c r="AU23">
        <f t="shared" si="13"/>
        <v>14</v>
      </c>
      <c r="AV23" t="str">
        <f t="shared" si="14"/>
        <v>N</v>
      </c>
    </row>
    <row r="24" spans="1:48">
      <c r="A24" s="152" t="s">
        <v>11</v>
      </c>
      <c r="B24" s="152"/>
      <c r="C24" s="1">
        <f t="shared" si="18"/>
        <v>45853.21</v>
      </c>
      <c r="D24" t="s">
        <v>171</v>
      </c>
      <c r="E24" s="7" t="s">
        <v>175</v>
      </c>
      <c r="G24" s="4">
        <v>3</v>
      </c>
      <c r="H24" s="5">
        <f t="shared" si="1"/>
        <v>390</v>
      </c>
      <c r="I24" s="21">
        <v>20.5</v>
      </c>
      <c r="J24" s="28">
        <v>50.5</v>
      </c>
      <c r="K24" s="28">
        <f t="shared" si="2"/>
        <v>30</v>
      </c>
      <c r="L24" s="30"/>
      <c r="M24" s="26"/>
      <c r="N24" s="31">
        <f t="shared" si="3"/>
        <v>0</v>
      </c>
      <c r="O24" s="21"/>
      <c r="P24" s="28"/>
      <c r="Q24" s="22">
        <f t="shared" si="4"/>
        <v>0</v>
      </c>
      <c r="R24" s="26"/>
      <c r="S24" s="26"/>
      <c r="T24" s="31">
        <f t="shared" si="5"/>
        <v>0</v>
      </c>
      <c r="U24" s="26">
        <f t="shared" si="15"/>
        <v>30</v>
      </c>
      <c r="V24" s="26">
        <f t="shared" si="16"/>
        <v>0</v>
      </c>
      <c r="W24" s="26">
        <f t="shared" si="6"/>
        <v>30</v>
      </c>
      <c r="X24" s="36">
        <f t="shared" si="7"/>
        <v>5250</v>
      </c>
      <c r="Y24" s="389">
        <f t="shared" si="8"/>
        <v>5250</v>
      </c>
      <c r="Z24" s="38"/>
      <c r="AA24" s="38">
        <v>1</v>
      </c>
      <c r="AB24" s="38">
        <v>1</v>
      </c>
      <c r="AC24" s="38">
        <v>13170</v>
      </c>
      <c r="AD24" s="157">
        <f t="shared" si="19"/>
        <v>575</v>
      </c>
      <c r="AE24" s="34">
        <v>10.5</v>
      </c>
      <c r="AF24" s="35">
        <v>1</v>
      </c>
      <c r="AG24" s="392">
        <f>Table3[[#This Row],[Active hours (Other than drilling)]]*$AF$1</f>
        <v>460</v>
      </c>
      <c r="AH24" s="44">
        <v>0.5</v>
      </c>
      <c r="AI24" s="13"/>
      <c r="AJ24" s="392" cm="1">
        <f t="array" ref="AJ24">SUM(Table3[[#This Row],[Inactive Hours (Other than client standby)]:[Standby Total Hours]]*$AI$1)</f>
        <v>180</v>
      </c>
      <c r="AK24" s="45"/>
      <c r="AL24" s="23"/>
      <c r="AM24" s="25">
        <f t="shared" si="9"/>
        <v>12</v>
      </c>
      <c r="AN24" s="396">
        <f t="shared" si="10"/>
        <v>640</v>
      </c>
      <c r="AO24" s="53">
        <v>1269.56</v>
      </c>
      <c r="AP24" s="398">
        <v>879.56</v>
      </c>
      <c r="AQ24" s="401">
        <f t="shared" si="11"/>
        <v>7734.5599999999995</v>
      </c>
      <c r="AR24" s="298">
        <v>7734.56</v>
      </c>
      <c r="AS24" s="18">
        <f>SUM($AQ$6:AQ24)</f>
        <v>99470.29</v>
      </c>
      <c r="AT24" t="str">
        <f t="shared" si="12"/>
        <v>07</v>
      </c>
      <c r="AU24">
        <f t="shared" si="13"/>
        <v>15</v>
      </c>
      <c r="AV24" t="str">
        <f t="shared" si="14"/>
        <v>D</v>
      </c>
    </row>
    <row r="25" spans="1:48">
      <c r="A25" s="152" t="s">
        <v>11</v>
      </c>
      <c r="B25" s="152"/>
      <c r="C25" s="1">
        <f t="shared" si="18"/>
        <v>45853.71</v>
      </c>
      <c r="D25" t="s">
        <v>172</v>
      </c>
      <c r="E25" s="7" t="s">
        <v>175</v>
      </c>
      <c r="G25" s="4">
        <v>3</v>
      </c>
      <c r="H25" s="5">
        <f t="shared" si="1"/>
        <v>390</v>
      </c>
      <c r="I25" s="21">
        <v>50.5</v>
      </c>
      <c r="J25" s="28">
        <v>80.599999999999994</v>
      </c>
      <c r="K25" s="28">
        <f t="shared" si="2"/>
        <v>30.099999999999994</v>
      </c>
      <c r="L25" s="30"/>
      <c r="M25" s="26"/>
      <c r="N25" s="31">
        <f t="shared" si="3"/>
        <v>0</v>
      </c>
      <c r="O25" s="21"/>
      <c r="P25" s="28"/>
      <c r="Q25" s="22">
        <f t="shared" si="4"/>
        <v>0</v>
      </c>
      <c r="R25" s="26"/>
      <c r="S25" s="26"/>
      <c r="T25" s="31">
        <f t="shared" si="5"/>
        <v>0</v>
      </c>
      <c r="U25" s="26">
        <f t="shared" si="15"/>
        <v>30.099999999999994</v>
      </c>
      <c r="V25" s="26">
        <f t="shared" si="16"/>
        <v>0</v>
      </c>
      <c r="W25" s="26">
        <f t="shared" si="6"/>
        <v>30.099999999999994</v>
      </c>
      <c r="X25" s="36">
        <f t="shared" si="7"/>
        <v>5267.4999999999991</v>
      </c>
      <c r="Y25" s="389">
        <f t="shared" si="8"/>
        <v>5267.4999999999991</v>
      </c>
      <c r="Z25" s="38"/>
      <c r="AA25" s="38"/>
      <c r="AB25" s="38"/>
      <c r="AC25" s="38"/>
      <c r="AD25" s="157">
        <f t="shared" si="19"/>
        <v>0</v>
      </c>
      <c r="AE25" s="34">
        <v>10.25</v>
      </c>
      <c r="AF25" s="35">
        <v>1.25</v>
      </c>
      <c r="AG25" s="392">
        <f>Table3[[#This Row],[Active hours (Other than drilling)]]*$AF$1</f>
        <v>575</v>
      </c>
      <c r="AH25" s="44">
        <v>0.5</v>
      </c>
      <c r="AI25" s="13"/>
      <c r="AJ25" s="392" cm="1">
        <f t="array" ref="AJ25">SUM(Table3[[#This Row],[Inactive Hours (Other than client standby)]:[Standby Total Hours]]*$AI$1)</f>
        <v>180</v>
      </c>
      <c r="AK25" s="45"/>
      <c r="AL25" s="23"/>
      <c r="AM25" s="25">
        <f t="shared" si="9"/>
        <v>12</v>
      </c>
      <c r="AN25" s="396">
        <f t="shared" si="10"/>
        <v>755</v>
      </c>
      <c r="AO25" s="53">
        <v>626.49</v>
      </c>
      <c r="AP25" s="398">
        <v>236.49</v>
      </c>
      <c r="AQ25" s="401">
        <f t="shared" si="11"/>
        <v>6648.9899999999989</v>
      </c>
      <c r="AR25" s="298">
        <v>6648.99</v>
      </c>
      <c r="AS25" s="18">
        <f>SUM($AQ$6:AQ25)</f>
        <v>106119.28</v>
      </c>
      <c r="AT25" t="str">
        <f t="shared" si="12"/>
        <v>07</v>
      </c>
      <c r="AU25">
        <f t="shared" si="13"/>
        <v>15</v>
      </c>
      <c r="AV25" t="str">
        <f t="shared" si="14"/>
        <v>N</v>
      </c>
    </row>
    <row r="26" spans="1:48">
      <c r="A26" s="152" t="s">
        <v>11</v>
      </c>
      <c r="B26" s="152">
        <v>1</v>
      </c>
      <c r="C26" s="1">
        <f t="shared" si="18"/>
        <v>45854.21</v>
      </c>
      <c r="D26" t="s">
        <v>171</v>
      </c>
      <c r="E26" s="7" t="s">
        <v>175</v>
      </c>
      <c r="F26" t="s">
        <v>176</v>
      </c>
      <c r="G26" s="4">
        <v>3</v>
      </c>
      <c r="H26" s="5">
        <f t="shared" si="1"/>
        <v>390</v>
      </c>
      <c r="I26" s="21">
        <v>80.599999999999994</v>
      </c>
      <c r="J26" s="28">
        <v>90.6</v>
      </c>
      <c r="K26" s="28">
        <f t="shared" si="2"/>
        <v>10</v>
      </c>
      <c r="L26" s="30"/>
      <c r="M26" s="26"/>
      <c r="N26" s="31">
        <f t="shared" si="3"/>
        <v>0</v>
      </c>
      <c r="O26" s="21">
        <v>0</v>
      </c>
      <c r="P26" s="28">
        <v>9</v>
      </c>
      <c r="Q26" s="22">
        <f t="shared" si="4"/>
        <v>9</v>
      </c>
      <c r="R26" s="26"/>
      <c r="S26" s="26"/>
      <c r="T26" s="31">
        <f t="shared" si="5"/>
        <v>0</v>
      </c>
      <c r="U26" s="26">
        <f t="shared" si="15"/>
        <v>19</v>
      </c>
      <c r="V26" s="26">
        <f t="shared" si="16"/>
        <v>0</v>
      </c>
      <c r="W26" s="26">
        <f t="shared" si="6"/>
        <v>19</v>
      </c>
      <c r="X26" s="36">
        <f t="shared" si="7"/>
        <v>3325</v>
      </c>
      <c r="Y26" s="389">
        <f t="shared" si="8"/>
        <v>3325</v>
      </c>
      <c r="Z26" s="38"/>
      <c r="AA26" s="38">
        <v>1</v>
      </c>
      <c r="AB26" s="38">
        <v>1</v>
      </c>
      <c r="AC26" s="38">
        <v>13170</v>
      </c>
      <c r="AD26" s="157">
        <f t="shared" si="19"/>
        <v>575</v>
      </c>
      <c r="AE26" s="34">
        <v>6.5</v>
      </c>
      <c r="AF26" s="35">
        <v>4.5</v>
      </c>
      <c r="AG26" s="392">
        <f>Table3[[#This Row],[Active hours (Other than drilling)]]*$AF$1</f>
        <v>2070</v>
      </c>
      <c r="AH26" s="44">
        <v>1</v>
      </c>
      <c r="AI26" s="13"/>
      <c r="AJ26" s="392" cm="1">
        <f t="array" ref="AJ26">SUM(Table3[[#This Row],[Inactive Hours (Other than client standby)]:[Standby Total Hours]]*$AI$1)</f>
        <v>360</v>
      </c>
      <c r="AK26" s="45"/>
      <c r="AL26" s="23"/>
      <c r="AM26" s="25">
        <f t="shared" si="9"/>
        <v>12</v>
      </c>
      <c r="AN26" s="396">
        <f t="shared" si="10"/>
        <v>2430</v>
      </c>
      <c r="AO26" s="53">
        <v>390</v>
      </c>
      <c r="AP26" s="398"/>
      <c r="AQ26" s="401">
        <f t="shared" si="11"/>
        <v>6720</v>
      </c>
      <c r="AR26" s="298">
        <v>6720</v>
      </c>
      <c r="AS26" s="18">
        <f>SUM($AQ$6:AQ26)</f>
        <v>112839.28</v>
      </c>
      <c r="AT26" t="str">
        <f t="shared" si="12"/>
        <v>07</v>
      </c>
      <c r="AU26">
        <f t="shared" si="13"/>
        <v>16</v>
      </c>
      <c r="AV26" t="str">
        <f t="shared" si="14"/>
        <v>D</v>
      </c>
    </row>
    <row r="27" spans="1:48">
      <c r="A27" s="152" t="s">
        <v>11</v>
      </c>
      <c r="B27" s="152"/>
      <c r="C27" s="1">
        <f t="shared" si="18"/>
        <v>45854.71</v>
      </c>
      <c r="D27" t="s">
        <v>172</v>
      </c>
      <c r="E27" s="7" t="s">
        <v>176</v>
      </c>
      <c r="G27" s="4">
        <v>3</v>
      </c>
      <c r="H27" s="5">
        <f t="shared" si="1"/>
        <v>390</v>
      </c>
      <c r="I27" s="21">
        <v>9</v>
      </c>
      <c r="J27" s="28">
        <v>30.8</v>
      </c>
      <c r="K27" s="28">
        <f t="shared" si="2"/>
        <v>21.8</v>
      </c>
      <c r="L27" s="30"/>
      <c r="M27" s="26"/>
      <c r="N27" s="31">
        <f t="shared" si="3"/>
        <v>0</v>
      </c>
      <c r="O27" s="21"/>
      <c r="P27" s="28"/>
      <c r="Q27" s="22">
        <f t="shared" si="4"/>
        <v>0</v>
      </c>
      <c r="R27" s="26"/>
      <c r="S27" s="26"/>
      <c r="T27" s="31">
        <f t="shared" si="5"/>
        <v>0</v>
      </c>
      <c r="U27" s="26">
        <f t="shared" si="15"/>
        <v>21.8</v>
      </c>
      <c r="V27" s="26">
        <f t="shared" si="16"/>
        <v>0</v>
      </c>
      <c r="W27" s="26">
        <f t="shared" si="6"/>
        <v>21.8</v>
      </c>
      <c r="X27" s="36">
        <f t="shared" si="7"/>
        <v>3815</v>
      </c>
      <c r="Y27" s="389">
        <f t="shared" si="8"/>
        <v>4025</v>
      </c>
      <c r="Z27" s="38"/>
      <c r="AA27" s="38"/>
      <c r="AB27" s="38"/>
      <c r="AC27" s="38"/>
      <c r="AD27" s="157">
        <f t="shared" si="19"/>
        <v>0</v>
      </c>
      <c r="AE27" s="34">
        <v>8.75</v>
      </c>
      <c r="AF27" s="35">
        <v>2.75</v>
      </c>
      <c r="AG27" s="392">
        <f>Table3[[#This Row],[Active hours (Other than drilling)]]*$AF$1</f>
        <v>1265</v>
      </c>
      <c r="AH27" s="44">
        <v>0.5</v>
      </c>
      <c r="AI27" s="13"/>
      <c r="AJ27" s="392" cm="1">
        <f t="array" ref="AJ27">SUM(Table3[[#This Row],[Inactive Hours (Other than client standby)]:[Standby Total Hours]]*$AI$1)</f>
        <v>180</v>
      </c>
      <c r="AK27" s="45"/>
      <c r="AL27" s="23"/>
      <c r="AM27" s="25">
        <f t="shared" si="9"/>
        <v>12</v>
      </c>
      <c r="AN27" s="396">
        <f t="shared" si="10"/>
        <v>1445</v>
      </c>
      <c r="AO27" s="53">
        <v>786.12</v>
      </c>
      <c r="AP27" s="398">
        <v>396.12</v>
      </c>
      <c r="AQ27" s="401">
        <f t="shared" si="11"/>
        <v>6256.12</v>
      </c>
      <c r="AR27" s="298">
        <v>6256.12</v>
      </c>
      <c r="AS27" s="18">
        <f>SUM($AQ$6:AQ27)</f>
        <v>119095.4</v>
      </c>
      <c r="AT27" t="str">
        <f t="shared" si="12"/>
        <v>07</v>
      </c>
      <c r="AU27">
        <f t="shared" si="13"/>
        <v>16</v>
      </c>
      <c r="AV27" t="str">
        <f t="shared" si="14"/>
        <v>N</v>
      </c>
    </row>
    <row r="28" spans="1:48">
      <c r="A28" s="152" t="s">
        <v>11</v>
      </c>
      <c r="B28" s="152"/>
      <c r="C28" s="1">
        <f t="shared" si="18"/>
        <v>45855.21</v>
      </c>
      <c r="D28" t="s">
        <v>171</v>
      </c>
      <c r="E28" s="7" t="s">
        <v>176</v>
      </c>
      <c r="G28" s="4">
        <v>3</v>
      </c>
      <c r="H28" s="5">
        <f t="shared" si="1"/>
        <v>390</v>
      </c>
      <c r="I28" s="21">
        <v>30.8</v>
      </c>
      <c r="J28" s="28">
        <v>57</v>
      </c>
      <c r="K28" s="28">
        <f t="shared" si="2"/>
        <v>26.2</v>
      </c>
      <c r="L28" s="30"/>
      <c r="M28" s="26"/>
      <c r="N28" s="31">
        <f t="shared" si="3"/>
        <v>0</v>
      </c>
      <c r="O28" s="21"/>
      <c r="P28" s="28"/>
      <c r="Q28" s="22">
        <f t="shared" si="4"/>
        <v>0</v>
      </c>
      <c r="R28" s="26"/>
      <c r="S28" s="26"/>
      <c r="T28" s="31">
        <f t="shared" si="5"/>
        <v>0</v>
      </c>
      <c r="U28" s="26">
        <f t="shared" si="15"/>
        <v>26.2</v>
      </c>
      <c r="V28" s="26">
        <f t="shared" si="16"/>
        <v>0</v>
      </c>
      <c r="W28" s="26">
        <f t="shared" si="6"/>
        <v>26.2</v>
      </c>
      <c r="X28" s="36">
        <f t="shared" si="7"/>
        <v>4585</v>
      </c>
      <c r="Y28" s="389">
        <f t="shared" si="8"/>
        <v>4715</v>
      </c>
      <c r="Z28" s="38"/>
      <c r="AA28" s="38">
        <v>1</v>
      </c>
      <c r="AB28" s="38">
        <v>1</v>
      </c>
      <c r="AC28" s="38">
        <v>13170</v>
      </c>
      <c r="AD28" s="157">
        <f t="shared" si="19"/>
        <v>575</v>
      </c>
      <c r="AE28" s="34">
        <v>10.25</v>
      </c>
      <c r="AF28" s="35">
        <v>1.25</v>
      </c>
      <c r="AG28" s="392">
        <f>Table3[[#This Row],[Active hours (Other than drilling)]]*$AF$1</f>
        <v>575</v>
      </c>
      <c r="AH28" s="44">
        <v>0.5</v>
      </c>
      <c r="AI28" s="13"/>
      <c r="AJ28" s="392" cm="1">
        <f t="array" ref="AJ28">SUM(Table3[[#This Row],[Inactive Hours (Other than client standby)]:[Standby Total Hours]]*$AI$1)</f>
        <v>180</v>
      </c>
      <c r="AK28" s="45"/>
      <c r="AL28" s="23"/>
      <c r="AM28" s="25">
        <f t="shared" si="9"/>
        <v>12</v>
      </c>
      <c r="AN28" s="396">
        <f t="shared" si="10"/>
        <v>755</v>
      </c>
      <c r="AO28" s="53">
        <v>390</v>
      </c>
      <c r="AP28" s="398"/>
      <c r="AQ28" s="401">
        <f t="shared" si="11"/>
        <v>6435</v>
      </c>
      <c r="AR28" s="298">
        <v>6435</v>
      </c>
      <c r="AS28" s="18">
        <f>SUM($AQ$6:AQ28)</f>
        <v>125530.4</v>
      </c>
      <c r="AT28" t="str">
        <f t="shared" si="12"/>
        <v>07</v>
      </c>
      <c r="AU28">
        <f t="shared" si="13"/>
        <v>17</v>
      </c>
      <c r="AV28" t="str">
        <f t="shared" si="14"/>
        <v>D</v>
      </c>
    </row>
    <row r="29" spans="1:48">
      <c r="A29" s="152" t="s">
        <v>11</v>
      </c>
      <c r="B29" s="152"/>
      <c r="C29" s="1">
        <f t="shared" si="18"/>
        <v>45855.71</v>
      </c>
      <c r="D29" t="s">
        <v>172</v>
      </c>
      <c r="E29" s="7" t="s">
        <v>176</v>
      </c>
      <c r="G29" s="4">
        <v>3</v>
      </c>
      <c r="H29" s="5">
        <f t="shared" si="1"/>
        <v>390</v>
      </c>
      <c r="I29" s="21">
        <v>57</v>
      </c>
      <c r="J29" s="28">
        <v>84.7</v>
      </c>
      <c r="K29" s="28">
        <f t="shared" si="2"/>
        <v>27.700000000000003</v>
      </c>
      <c r="L29" s="30"/>
      <c r="M29" s="26"/>
      <c r="N29" s="31">
        <f t="shared" si="3"/>
        <v>0</v>
      </c>
      <c r="O29" s="21"/>
      <c r="P29" s="28"/>
      <c r="Q29" s="22">
        <f t="shared" si="4"/>
        <v>0</v>
      </c>
      <c r="R29" s="26"/>
      <c r="S29" s="26"/>
      <c r="T29" s="31">
        <f t="shared" si="5"/>
        <v>0</v>
      </c>
      <c r="U29" s="26">
        <f t="shared" si="15"/>
        <v>27.700000000000003</v>
      </c>
      <c r="V29" s="26">
        <f t="shared" si="16"/>
        <v>0</v>
      </c>
      <c r="W29" s="26">
        <f t="shared" si="6"/>
        <v>27.700000000000003</v>
      </c>
      <c r="X29" s="36">
        <f t="shared" si="7"/>
        <v>4847.5000000000009</v>
      </c>
      <c r="Y29" s="389">
        <f t="shared" si="8"/>
        <v>4847.5000000000009</v>
      </c>
      <c r="Z29" s="38"/>
      <c r="AA29" s="38"/>
      <c r="AB29" s="38"/>
      <c r="AC29" s="38"/>
      <c r="AD29" s="157">
        <f t="shared" si="19"/>
        <v>0</v>
      </c>
      <c r="AE29" s="34">
        <v>10</v>
      </c>
      <c r="AF29" s="35">
        <v>1.5</v>
      </c>
      <c r="AG29" s="392">
        <f>Table3[[#This Row],[Active hours (Other than drilling)]]*$AF$1</f>
        <v>690</v>
      </c>
      <c r="AH29" s="44">
        <v>0.5</v>
      </c>
      <c r="AI29" s="13"/>
      <c r="AJ29" s="392" cm="1">
        <f t="array" ref="AJ29">SUM(Table3[[#This Row],[Inactive Hours (Other than client standby)]:[Standby Total Hours]]*$AI$1)</f>
        <v>180</v>
      </c>
      <c r="AK29" s="45"/>
      <c r="AL29" s="23"/>
      <c r="AM29" s="25">
        <f t="shared" si="9"/>
        <v>12</v>
      </c>
      <c r="AN29" s="396">
        <f t="shared" si="10"/>
        <v>870</v>
      </c>
      <c r="AO29" s="53">
        <v>507.93</v>
      </c>
      <c r="AP29" s="398">
        <v>117.93</v>
      </c>
      <c r="AQ29" s="401">
        <f t="shared" si="11"/>
        <v>6225.4300000000012</v>
      </c>
      <c r="AR29" s="298">
        <v>6225.43</v>
      </c>
      <c r="AS29" s="18">
        <f>SUM($AQ$6:AQ29)</f>
        <v>131755.82999999999</v>
      </c>
      <c r="AT29" t="str">
        <f t="shared" si="12"/>
        <v>07</v>
      </c>
      <c r="AU29">
        <f t="shared" si="13"/>
        <v>17</v>
      </c>
      <c r="AV29" t="str">
        <f t="shared" si="14"/>
        <v>N</v>
      </c>
    </row>
    <row r="30" spans="1:48">
      <c r="A30" s="152" t="s">
        <v>11</v>
      </c>
      <c r="B30" s="152">
        <v>1</v>
      </c>
      <c r="C30" s="1">
        <f t="shared" si="18"/>
        <v>45856.21</v>
      </c>
      <c r="D30" t="s">
        <v>171</v>
      </c>
      <c r="E30" s="7" t="s">
        <v>176</v>
      </c>
      <c r="G30" s="4">
        <v>3</v>
      </c>
      <c r="H30" s="5">
        <f t="shared" si="1"/>
        <v>390</v>
      </c>
      <c r="I30" s="21">
        <v>84.7</v>
      </c>
      <c r="J30" s="28">
        <v>90.7</v>
      </c>
      <c r="K30" s="28">
        <f t="shared" si="2"/>
        <v>6</v>
      </c>
      <c r="L30" s="30"/>
      <c r="M30" s="26"/>
      <c r="N30" s="31">
        <f t="shared" si="3"/>
        <v>0</v>
      </c>
      <c r="O30" s="21"/>
      <c r="P30" s="28"/>
      <c r="Q30" s="22">
        <f t="shared" si="4"/>
        <v>0</v>
      </c>
      <c r="R30" s="26"/>
      <c r="S30" s="26"/>
      <c r="T30" s="31">
        <f t="shared" si="5"/>
        <v>0</v>
      </c>
      <c r="U30" s="26">
        <f t="shared" si="15"/>
        <v>6</v>
      </c>
      <c r="V30" s="26">
        <f t="shared" si="16"/>
        <v>0</v>
      </c>
      <c r="W30" s="26">
        <f t="shared" si="6"/>
        <v>6</v>
      </c>
      <c r="X30" s="36">
        <f t="shared" si="7"/>
        <v>1050</v>
      </c>
      <c r="Y30" s="389">
        <f t="shared" si="8"/>
        <v>1610</v>
      </c>
      <c r="Z30" s="38"/>
      <c r="AA30" s="38">
        <v>1</v>
      </c>
      <c r="AB30" s="38">
        <v>1</v>
      </c>
      <c r="AC30" s="38">
        <v>13170</v>
      </c>
      <c r="AD30" s="157">
        <f t="shared" si="19"/>
        <v>575</v>
      </c>
      <c r="AE30" s="34">
        <v>3.5</v>
      </c>
      <c r="AF30" s="35">
        <v>7.5</v>
      </c>
      <c r="AG30" s="392">
        <f>Table3[[#This Row],[Active hours (Other than drilling)]]*$AF$1</f>
        <v>3450</v>
      </c>
      <c r="AH30" s="44">
        <v>1</v>
      </c>
      <c r="AI30" s="13"/>
      <c r="AJ30" s="392" cm="1">
        <f t="array" ref="AJ30">SUM(Table3[[#This Row],[Inactive Hours (Other than client standby)]:[Standby Total Hours]]*$AI$1)</f>
        <v>360</v>
      </c>
      <c r="AK30" s="45"/>
      <c r="AL30" s="23"/>
      <c r="AM30" s="25">
        <f t="shared" si="9"/>
        <v>12</v>
      </c>
      <c r="AN30" s="396">
        <f t="shared" si="10"/>
        <v>3810</v>
      </c>
      <c r="AO30" s="53">
        <v>390</v>
      </c>
      <c r="AP30" s="398"/>
      <c r="AQ30" s="401">
        <f t="shared" si="11"/>
        <v>6385</v>
      </c>
      <c r="AR30" s="298">
        <v>6385</v>
      </c>
      <c r="AS30" s="18">
        <f>SUM($AQ$6:AQ30)</f>
        <v>138140.82999999999</v>
      </c>
      <c r="AT30" t="str">
        <f t="shared" si="12"/>
        <v>07</v>
      </c>
      <c r="AU30">
        <f t="shared" si="13"/>
        <v>18</v>
      </c>
      <c r="AV30" t="str">
        <f t="shared" si="14"/>
        <v>D</v>
      </c>
    </row>
    <row r="31" spans="1:48">
      <c r="A31" s="152" t="s">
        <v>11</v>
      </c>
      <c r="B31" s="152"/>
      <c r="C31" s="1">
        <f t="shared" si="18"/>
        <v>45856.71</v>
      </c>
      <c r="D31" t="s">
        <v>172</v>
      </c>
      <c r="E31" s="7" t="s">
        <v>177</v>
      </c>
      <c r="G31" s="4">
        <v>3</v>
      </c>
      <c r="H31" s="5">
        <f t="shared" si="1"/>
        <v>390</v>
      </c>
      <c r="I31" s="21">
        <v>0</v>
      </c>
      <c r="J31" s="28">
        <v>14.9</v>
      </c>
      <c r="K31" s="28">
        <f t="shared" si="2"/>
        <v>14.9</v>
      </c>
      <c r="L31" s="30"/>
      <c r="M31" s="26"/>
      <c r="N31" s="31">
        <f t="shared" si="3"/>
        <v>0</v>
      </c>
      <c r="O31" s="21"/>
      <c r="P31" s="28"/>
      <c r="Q31" s="22">
        <f t="shared" si="4"/>
        <v>0</v>
      </c>
      <c r="R31" s="26"/>
      <c r="S31" s="26"/>
      <c r="T31" s="31">
        <f t="shared" si="5"/>
        <v>0</v>
      </c>
      <c r="U31" s="26">
        <f t="shared" si="15"/>
        <v>14.9</v>
      </c>
      <c r="V31" s="26">
        <f t="shared" si="16"/>
        <v>0</v>
      </c>
      <c r="W31" s="26">
        <f t="shared" si="6"/>
        <v>14.9</v>
      </c>
      <c r="X31" s="36">
        <f t="shared" si="7"/>
        <v>2607.5</v>
      </c>
      <c r="Y31" s="389">
        <f t="shared" si="8"/>
        <v>2607.5</v>
      </c>
      <c r="Z31" s="38"/>
      <c r="AA31" s="38"/>
      <c r="AB31" s="38"/>
      <c r="AC31" s="38"/>
      <c r="AD31" s="157">
        <f t="shared" si="19"/>
        <v>0</v>
      </c>
      <c r="AE31" s="34">
        <v>5.25</v>
      </c>
      <c r="AF31" s="35">
        <v>3.75</v>
      </c>
      <c r="AG31" s="392">
        <f>Table3[[#This Row],[Active hours (Other than drilling)]]*$AF$1</f>
        <v>1725</v>
      </c>
      <c r="AH31" s="44">
        <v>0.5</v>
      </c>
      <c r="AI31" s="13">
        <v>2.5</v>
      </c>
      <c r="AJ31" s="392" cm="1">
        <f t="array" ref="AJ31">SUM(Table3[[#This Row],[Inactive Hours (Other than client standby)]:[Standby Total Hours]]*$AI$1)</f>
        <v>1080</v>
      </c>
      <c r="AK31" s="45"/>
      <c r="AL31" s="23"/>
      <c r="AM31" s="25">
        <f t="shared" si="9"/>
        <v>12</v>
      </c>
      <c r="AN31" s="396">
        <f t="shared" si="10"/>
        <v>2805</v>
      </c>
      <c r="AO31" s="53">
        <v>904.05</v>
      </c>
      <c r="AP31" s="398">
        <v>514.04999999999995</v>
      </c>
      <c r="AQ31" s="401">
        <f t="shared" si="11"/>
        <v>6316.55</v>
      </c>
      <c r="AR31" s="298">
        <v>6316.55</v>
      </c>
      <c r="AS31" s="18">
        <f>SUM($AQ$6:AQ31)</f>
        <v>144457.37999999998</v>
      </c>
      <c r="AT31" t="str">
        <f t="shared" si="12"/>
        <v>07</v>
      </c>
      <c r="AU31">
        <f t="shared" si="13"/>
        <v>18</v>
      </c>
      <c r="AV31" t="str">
        <f t="shared" si="14"/>
        <v>N</v>
      </c>
    </row>
    <row r="32" spans="1:48">
      <c r="A32" s="152" t="s">
        <v>11</v>
      </c>
      <c r="B32" s="152"/>
      <c r="C32" s="1">
        <f t="shared" si="18"/>
        <v>45857.21</v>
      </c>
      <c r="D32" t="s">
        <v>171</v>
      </c>
      <c r="E32" s="7" t="s">
        <v>177</v>
      </c>
      <c r="G32" s="4">
        <v>3</v>
      </c>
      <c r="H32" s="5">
        <f t="shared" si="1"/>
        <v>390</v>
      </c>
      <c r="I32" s="21">
        <v>14.9</v>
      </c>
      <c r="J32" s="28">
        <v>45.6</v>
      </c>
      <c r="K32" s="28">
        <f t="shared" si="2"/>
        <v>30.700000000000003</v>
      </c>
      <c r="L32" s="30"/>
      <c r="M32" s="26"/>
      <c r="N32" s="31">
        <f t="shared" si="3"/>
        <v>0</v>
      </c>
      <c r="O32" s="21"/>
      <c r="P32" s="28"/>
      <c r="Q32" s="22">
        <f t="shared" si="4"/>
        <v>0</v>
      </c>
      <c r="R32" s="26"/>
      <c r="S32" s="26"/>
      <c r="T32" s="31">
        <f t="shared" si="5"/>
        <v>0</v>
      </c>
      <c r="U32" s="26">
        <f t="shared" si="15"/>
        <v>30.700000000000003</v>
      </c>
      <c r="V32" s="26">
        <f t="shared" si="16"/>
        <v>0</v>
      </c>
      <c r="W32" s="26">
        <f t="shared" si="6"/>
        <v>30.700000000000003</v>
      </c>
      <c r="X32" s="36">
        <f t="shared" si="7"/>
        <v>5372.5000000000009</v>
      </c>
      <c r="Y32" s="389">
        <f t="shared" si="8"/>
        <v>5372.5000000000009</v>
      </c>
      <c r="Z32" s="38"/>
      <c r="AA32" s="38">
        <v>1</v>
      </c>
      <c r="AB32" s="38">
        <v>1</v>
      </c>
      <c r="AC32" s="38">
        <v>13170</v>
      </c>
      <c r="AD32" s="157">
        <f t="shared" si="19"/>
        <v>575</v>
      </c>
      <c r="AE32" s="34">
        <v>10.75</v>
      </c>
      <c r="AF32" s="35">
        <v>0.75</v>
      </c>
      <c r="AG32" s="392">
        <f>Table3[[#This Row],[Active hours (Other than drilling)]]*$AF$1</f>
        <v>345</v>
      </c>
      <c r="AH32" s="44">
        <v>0.5</v>
      </c>
      <c r="AI32" s="13"/>
      <c r="AJ32" s="392" cm="1">
        <f t="array" ref="AJ32">SUM(Table3[[#This Row],[Inactive Hours (Other than client standby)]:[Standby Total Hours]]*$AI$1)</f>
        <v>180</v>
      </c>
      <c r="AK32" s="45"/>
      <c r="AL32" s="23"/>
      <c r="AM32" s="25">
        <f t="shared" si="9"/>
        <v>12</v>
      </c>
      <c r="AN32" s="396">
        <f t="shared" si="10"/>
        <v>525</v>
      </c>
      <c r="AO32" s="53">
        <v>390</v>
      </c>
      <c r="AP32" s="398"/>
      <c r="AQ32" s="401">
        <f t="shared" si="11"/>
        <v>6862.5000000000009</v>
      </c>
      <c r="AR32" s="298">
        <v>6862.5</v>
      </c>
      <c r="AS32" s="18">
        <f>SUM($AQ$6:AQ32)</f>
        <v>151319.87999999998</v>
      </c>
      <c r="AT32" t="str">
        <f t="shared" si="12"/>
        <v>07</v>
      </c>
      <c r="AU32">
        <f t="shared" si="13"/>
        <v>19</v>
      </c>
      <c r="AV32" t="str">
        <f t="shared" si="14"/>
        <v>D</v>
      </c>
    </row>
    <row r="33" spans="1:48">
      <c r="A33" s="152" t="s">
        <v>11</v>
      </c>
      <c r="B33" s="152"/>
      <c r="C33" s="1">
        <f t="shared" si="18"/>
        <v>45857.71</v>
      </c>
      <c r="D33" t="s">
        <v>172</v>
      </c>
      <c r="E33" s="7" t="s">
        <v>177</v>
      </c>
      <c r="G33" s="4">
        <v>3</v>
      </c>
      <c r="H33" s="5">
        <f t="shared" si="1"/>
        <v>390</v>
      </c>
      <c r="I33" s="21">
        <v>45.6</v>
      </c>
      <c r="J33" s="28">
        <v>75.599999999999994</v>
      </c>
      <c r="K33" s="28">
        <f t="shared" si="2"/>
        <v>29.999999999999993</v>
      </c>
      <c r="L33" s="30"/>
      <c r="M33" s="26"/>
      <c r="N33" s="31">
        <f t="shared" si="3"/>
        <v>0</v>
      </c>
      <c r="O33" s="21"/>
      <c r="P33" s="28"/>
      <c r="Q33" s="22">
        <f t="shared" si="4"/>
        <v>0</v>
      </c>
      <c r="R33" s="26"/>
      <c r="S33" s="26"/>
      <c r="T33" s="31">
        <f t="shared" si="5"/>
        <v>0</v>
      </c>
      <c r="U33" s="26">
        <f t="shared" si="15"/>
        <v>29.999999999999993</v>
      </c>
      <c r="V33" s="26">
        <f t="shared" si="16"/>
        <v>0</v>
      </c>
      <c r="W33" s="26">
        <f t="shared" si="6"/>
        <v>29.999999999999993</v>
      </c>
      <c r="X33" s="36">
        <f t="shared" si="7"/>
        <v>5249.9999999999991</v>
      </c>
      <c r="Y33" s="389">
        <f t="shared" si="8"/>
        <v>5249.9999999999991</v>
      </c>
      <c r="Z33" s="38"/>
      <c r="AA33" s="38"/>
      <c r="AB33" s="38"/>
      <c r="AC33" s="38"/>
      <c r="AD33" s="157">
        <f t="shared" si="19"/>
        <v>0</v>
      </c>
      <c r="AE33" s="34">
        <v>10.5</v>
      </c>
      <c r="AF33" s="35">
        <v>1</v>
      </c>
      <c r="AG33" s="392">
        <f>Table3[[#This Row],[Active hours (Other than drilling)]]*$AF$1</f>
        <v>460</v>
      </c>
      <c r="AH33" s="44">
        <v>0.5</v>
      </c>
      <c r="AI33" s="13"/>
      <c r="AJ33" s="392" cm="1">
        <f t="array" ref="AJ33">SUM(Table3[[#This Row],[Inactive Hours (Other than client standby)]:[Standby Total Hours]]*$AI$1)</f>
        <v>180</v>
      </c>
      <c r="AK33" s="45"/>
      <c r="AL33" s="23"/>
      <c r="AM33" s="25">
        <f t="shared" si="9"/>
        <v>12</v>
      </c>
      <c r="AN33" s="396">
        <f t="shared" si="10"/>
        <v>640</v>
      </c>
      <c r="AO33" s="53">
        <v>507.93</v>
      </c>
      <c r="AP33" s="398">
        <v>117.93</v>
      </c>
      <c r="AQ33" s="401">
        <f t="shared" si="11"/>
        <v>6397.9299999999994</v>
      </c>
      <c r="AR33" s="298">
        <v>6397.93</v>
      </c>
      <c r="AS33" s="18">
        <f>SUM($AQ$6:AQ33)</f>
        <v>157717.80999999997</v>
      </c>
      <c r="AT33" t="str">
        <f t="shared" si="12"/>
        <v>07</v>
      </c>
      <c r="AU33">
        <f t="shared" si="13"/>
        <v>19</v>
      </c>
      <c r="AV33" t="str">
        <f t="shared" si="14"/>
        <v>N</v>
      </c>
    </row>
    <row r="34" spans="1:48">
      <c r="A34" s="152" t="s">
        <v>11</v>
      </c>
      <c r="B34" s="152">
        <v>1</v>
      </c>
      <c r="C34" s="1">
        <f t="shared" si="18"/>
        <v>45858.21</v>
      </c>
      <c r="D34" t="s">
        <v>171</v>
      </c>
      <c r="E34" s="7" t="s">
        <v>177</v>
      </c>
      <c r="F34" t="s">
        <v>178</v>
      </c>
      <c r="G34" s="4">
        <v>3</v>
      </c>
      <c r="H34" s="5">
        <f t="shared" si="1"/>
        <v>390</v>
      </c>
      <c r="I34" s="21">
        <v>75.599999999999994</v>
      </c>
      <c r="J34" s="28">
        <v>81.599999999999994</v>
      </c>
      <c r="K34" s="28">
        <f t="shared" si="2"/>
        <v>6</v>
      </c>
      <c r="L34" s="30">
        <v>0</v>
      </c>
      <c r="M34" s="26">
        <v>2.2999999999999998</v>
      </c>
      <c r="N34" s="31">
        <f t="shared" si="3"/>
        <v>2.2999999999999998</v>
      </c>
      <c r="O34" s="21"/>
      <c r="P34" s="28"/>
      <c r="Q34" s="22">
        <f t="shared" si="4"/>
        <v>0</v>
      </c>
      <c r="R34" s="26"/>
      <c r="S34" s="26"/>
      <c r="T34" s="31">
        <f t="shared" si="5"/>
        <v>0</v>
      </c>
      <c r="U34" s="26">
        <f t="shared" si="15"/>
        <v>6</v>
      </c>
      <c r="V34" s="26">
        <f t="shared" si="16"/>
        <v>2.2999999999999998</v>
      </c>
      <c r="W34" s="26">
        <f t="shared" si="6"/>
        <v>8.3000000000000007</v>
      </c>
      <c r="X34" s="36">
        <f t="shared" si="7"/>
        <v>1360.5</v>
      </c>
      <c r="Y34" s="389">
        <f t="shared" si="8"/>
        <v>1495</v>
      </c>
      <c r="Z34" s="38"/>
      <c r="AA34" s="38">
        <v>1</v>
      </c>
      <c r="AB34" s="38">
        <v>1</v>
      </c>
      <c r="AC34" s="38">
        <v>13170</v>
      </c>
      <c r="AD34" s="157">
        <f t="shared" si="19"/>
        <v>575</v>
      </c>
      <c r="AE34" s="34">
        <v>3.25</v>
      </c>
      <c r="AF34" s="35">
        <v>7.75</v>
      </c>
      <c r="AG34" s="392">
        <f>Table3[[#This Row],[Active hours (Other than drilling)]]*$AF$1</f>
        <v>3565</v>
      </c>
      <c r="AH34" s="44">
        <v>0.5</v>
      </c>
      <c r="AI34" s="13"/>
      <c r="AJ34" s="392" cm="1">
        <f t="array" ref="AJ34">SUM(Table3[[#This Row],[Inactive Hours (Other than client standby)]:[Standby Total Hours]]*$AI$1)</f>
        <v>180</v>
      </c>
      <c r="AK34" s="45">
        <v>0.5</v>
      </c>
      <c r="AL34" s="23"/>
      <c r="AM34" s="25">
        <f t="shared" si="9"/>
        <v>12</v>
      </c>
      <c r="AN34" s="396">
        <f t="shared" si="10"/>
        <v>3745</v>
      </c>
      <c r="AO34" s="53">
        <v>390</v>
      </c>
      <c r="AP34" s="398"/>
      <c r="AQ34" s="401">
        <f t="shared" si="11"/>
        <v>6205</v>
      </c>
      <c r="AR34" s="298">
        <v>6205</v>
      </c>
      <c r="AS34" s="18">
        <f>SUM($AQ$6:AQ34)</f>
        <v>163922.80999999997</v>
      </c>
      <c r="AT34" t="str">
        <f t="shared" si="12"/>
        <v>07</v>
      </c>
      <c r="AU34">
        <f t="shared" si="13"/>
        <v>20</v>
      </c>
      <c r="AV34" t="str">
        <f t="shared" si="14"/>
        <v>D</v>
      </c>
    </row>
    <row r="35" spans="1:48">
      <c r="A35" s="152" t="s">
        <v>9</v>
      </c>
      <c r="B35" s="152"/>
      <c r="C35" s="1">
        <f t="shared" si="18"/>
        <v>45858.71</v>
      </c>
      <c r="D35" t="s">
        <v>172</v>
      </c>
      <c r="E35" t="s">
        <v>178</v>
      </c>
      <c r="G35" s="4">
        <v>3</v>
      </c>
      <c r="H35" s="5">
        <f t="shared" si="1"/>
        <v>390</v>
      </c>
      <c r="I35" s="21"/>
      <c r="J35" s="28"/>
      <c r="K35" s="28">
        <v>0</v>
      </c>
      <c r="L35" s="30">
        <v>2.2999999999999998</v>
      </c>
      <c r="M35" s="26">
        <v>19.8</v>
      </c>
      <c r="N35" s="31">
        <f t="shared" si="3"/>
        <v>17.5</v>
      </c>
      <c r="O35" s="21"/>
      <c r="P35" s="28"/>
      <c r="Q35" s="22">
        <f t="shared" si="4"/>
        <v>0</v>
      </c>
      <c r="R35" s="26"/>
      <c r="S35" s="26"/>
      <c r="T35" s="31">
        <f t="shared" si="5"/>
        <v>0</v>
      </c>
      <c r="U35" s="26">
        <f t="shared" si="15"/>
        <v>0</v>
      </c>
      <c r="V35" s="26">
        <f t="shared" si="16"/>
        <v>17.5</v>
      </c>
      <c r="W35" s="26">
        <f t="shared" si="6"/>
        <v>17.5</v>
      </c>
      <c r="X35" s="36">
        <f t="shared" si="7"/>
        <v>2362.5</v>
      </c>
      <c r="Y35" s="389">
        <f t="shared" si="8"/>
        <v>3335</v>
      </c>
      <c r="Z35" s="38"/>
      <c r="AA35" s="38"/>
      <c r="AB35" s="38"/>
      <c r="AC35" s="38"/>
      <c r="AD35" s="157">
        <f t="shared" si="19"/>
        <v>0</v>
      </c>
      <c r="AE35" s="34">
        <v>7.25</v>
      </c>
      <c r="AF35" s="35">
        <v>3.75</v>
      </c>
      <c r="AG35" s="392">
        <f>Table3[[#This Row],[Active hours (Other than drilling)]]*$AF$1</f>
        <v>1725</v>
      </c>
      <c r="AH35" s="44">
        <v>0.5</v>
      </c>
      <c r="AI35" s="13"/>
      <c r="AJ35" s="392" cm="1">
        <f t="array" ref="AJ35">SUM(Table3[[#This Row],[Inactive Hours (Other than client standby)]:[Standby Total Hours]]*$AI$1)</f>
        <v>180</v>
      </c>
      <c r="AK35" s="45">
        <v>0.5</v>
      </c>
      <c r="AL35" s="23"/>
      <c r="AM35" s="25">
        <f t="shared" si="9"/>
        <v>12</v>
      </c>
      <c r="AN35" s="396">
        <f t="shared" si="10"/>
        <v>1905</v>
      </c>
      <c r="AO35" s="53">
        <v>904.05</v>
      </c>
      <c r="AP35" s="398">
        <v>514.04999999999995</v>
      </c>
      <c r="AQ35" s="401">
        <f t="shared" si="11"/>
        <v>6144.05</v>
      </c>
      <c r="AR35" s="298">
        <v>6144.05</v>
      </c>
      <c r="AS35" s="18">
        <f>SUM($AQ$6:AQ35)</f>
        <v>170066.85999999996</v>
      </c>
      <c r="AT35" t="str">
        <f t="shared" si="12"/>
        <v>07</v>
      </c>
      <c r="AU35">
        <f t="shared" si="13"/>
        <v>20</v>
      </c>
      <c r="AV35" t="str">
        <f t="shared" si="14"/>
        <v>N</v>
      </c>
    </row>
    <row r="36" spans="1:48">
      <c r="A36" s="152" t="s">
        <v>9</v>
      </c>
      <c r="B36" s="152"/>
      <c r="C36" s="1">
        <f t="shared" si="18"/>
        <v>45859.21</v>
      </c>
      <c r="D36" t="s">
        <v>171</v>
      </c>
      <c r="E36" t="s">
        <v>178</v>
      </c>
      <c r="G36" s="4">
        <v>3</v>
      </c>
      <c r="H36" s="5">
        <f t="shared" ref="H36:H67" si="20">IF(ISBLANK(G36),"",G36*$H$1)</f>
        <v>390</v>
      </c>
      <c r="I36" s="21"/>
      <c r="J36" s="28"/>
      <c r="K36" s="28">
        <v>0</v>
      </c>
      <c r="L36" s="30">
        <v>19.8</v>
      </c>
      <c r="M36" s="26">
        <v>41.3</v>
      </c>
      <c r="N36" s="31">
        <f t="shared" si="3"/>
        <v>21.499999999999996</v>
      </c>
      <c r="O36" s="21"/>
      <c r="P36" s="28"/>
      <c r="Q36" s="22">
        <f t="shared" si="4"/>
        <v>0</v>
      </c>
      <c r="R36" s="26"/>
      <c r="S36" s="26"/>
      <c r="T36" s="31">
        <f t="shared" si="5"/>
        <v>0</v>
      </c>
      <c r="U36" s="26">
        <f t="shared" si="15"/>
        <v>0</v>
      </c>
      <c r="V36" s="26">
        <f t="shared" si="16"/>
        <v>21.499999999999996</v>
      </c>
      <c r="W36" s="26">
        <v>21.5</v>
      </c>
      <c r="X36" s="36">
        <f t="shared" si="7"/>
        <v>2902.4999999999995</v>
      </c>
      <c r="Y36" s="389">
        <f t="shared" si="8"/>
        <v>4945</v>
      </c>
      <c r="Z36" s="38"/>
      <c r="AA36" s="38">
        <v>1</v>
      </c>
      <c r="AB36" s="38">
        <v>1</v>
      </c>
      <c r="AC36" s="38">
        <v>13170</v>
      </c>
      <c r="AD36" s="157">
        <f t="shared" si="19"/>
        <v>575</v>
      </c>
      <c r="AE36" s="34">
        <v>10.75</v>
      </c>
      <c r="AF36" s="35">
        <v>0.75</v>
      </c>
      <c r="AG36" s="392">
        <f>Table3[[#This Row],[Active hours (Other than drilling)]]*$AF$1</f>
        <v>345</v>
      </c>
      <c r="AH36" s="44">
        <v>0.5</v>
      </c>
      <c r="AI36" s="13"/>
      <c r="AJ36" s="392" cm="1">
        <f t="array" ref="AJ36">SUM(Table3[[#This Row],[Inactive Hours (Other than client standby)]:[Standby Total Hours]]*$AI$1)</f>
        <v>180</v>
      </c>
      <c r="AK36" s="45"/>
      <c r="AL36" s="23"/>
      <c r="AM36" s="25">
        <f t="shared" ref="AM36:AM67" si="21">IF(ISBLANK(AE36),"",SUM(AE36:AF36,AH36:AI36,AK36:AL36))</f>
        <v>12</v>
      </c>
      <c r="AN36" s="396">
        <f t="shared" ref="AN36:AN67" si="22">(AF36*$AF$1)+(AH36*$AH$1)+(AI36*$AI$1)</f>
        <v>525</v>
      </c>
      <c r="AO36" s="53">
        <v>541.79</v>
      </c>
      <c r="AP36" s="398">
        <v>151.79</v>
      </c>
      <c r="AQ36" s="401">
        <f t="shared" ref="AQ36:AQ67" si="23">SUM(Y36,AN36,AP36,H36)+AD36</f>
        <v>6586.79</v>
      </c>
      <c r="AR36" s="298">
        <v>6586.79</v>
      </c>
      <c r="AS36" s="18">
        <f>SUM($AQ$6:AQ36)</f>
        <v>176653.64999999997</v>
      </c>
      <c r="AT36" t="str">
        <f t="shared" ref="AT36:AT67" si="24">_xlfn.TEXTJOIN(,TRUE,"0",MONTH(C36))</f>
        <v>07</v>
      </c>
      <c r="AU36">
        <f t="shared" ref="AU36:AU67" si="25">DAY(C36)</f>
        <v>21</v>
      </c>
      <c r="AV36" t="str">
        <f t="shared" ref="AV36:AV67" si="26">LEFT(D36,1)</f>
        <v>D</v>
      </c>
    </row>
    <row r="37" spans="1:48">
      <c r="A37" s="152" t="s">
        <v>9</v>
      </c>
      <c r="B37" s="152"/>
      <c r="C37" s="1">
        <f t="shared" si="18"/>
        <v>45859.71</v>
      </c>
      <c r="D37" t="s">
        <v>172</v>
      </c>
      <c r="E37" t="s">
        <v>178</v>
      </c>
      <c r="G37" s="4">
        <v>3</v>
      </c>
      <c r="H37" s="5">
        <f t="shared" si="20"/>
        <v>390</v>
      </c>
      <c r="I37" s="21"/>
      <c r="J37" s="28"/>
      <c r="K37" s="28">
        <f t="shared" ref="K37:K42" si="27">IF(ISBLANK(I37),0,J37-I37)</f>
        <v>0</v>
      </c>
      <c r="L37" s="30">
        <v>41.3</v>
      </c>
      <c r="M37" s="26">
        <v>63.2</v>
      </c>
      <c r="N37" s="31">
        <f t="shared" si="3"/>
        <v>21.900000000000006</v>
      </c>
      <c r="O37" s="21"/>
      <c r="P37" s="28"/>
      <c r="Q37" s="22">
        <f t="shared" si="4"/>
        <v>0</v>
      </c>
      <c r="R37" s="26"/>
      <c r="S37" s="26"/>
      <c r="T37" s="31">
        <f t="shared" si="5"/>
        <v>0</v>
      </c>
      <c r="U37" s="26">
        <f t="shared" si="15"/>
        <v>0</v>
      </c>
      <c r="V37" s="26">
        <f t="shared" si="16"/>
        <v>21.900000000000006</v>
      </c>
      <c r="W37" s="26">
        <f t="shared" si="6"/>
        <v>21.900000000000006</v>
      </c>
      <c r="X37" s="36">
        <f t="shared" si="7"/>
        <v>2956.5000000000009</v>
      </c>
      <c r="Y37" s="389">
        <f t="shared" si="8"/>
        <v>4945</v>
      </c>
      <c r="Z37" s="38"/>
      <c r="AA37" s="38"/>
      <c r="AB37" s="38"/>
      <c r="AC37" s="38"/>
      <c r="AD37" s="157">
        <f t="shared" si="19"/>
        <v>0</v>
      </c>
      <c r="AE37" s="34">
        <v>10.75</v>
      </c>
      <c r="AF37" s="35">
        <v>0.75</v>
      </c>
      <c r="AG37" s="392">
        <f>Table3[[#This Row],[Active hours (Other than drilling)]]*$AF$1</f>
        <v>345</v>
      </c>
      <c r="AH37" s="44">
        <v>0.5</v>
      </c>
      <c r="AI37" s="13"/>
      <c r="AJ37" s="392" cm="1">
        <f t="array" ref="AJ37">SUM(Table3[[#This Row],[Inactive Hours (Other than client standby)]:[Standby Total Hours]]*$AI$1)</f>
        <v>180</v>
      </c>
      <c r="AK37" s="45"/>
      <c r="AL37" s="23"/>
      <c r="AM37" s="25">
        <f t="shared" si="21"/>
        <v>12</v>
      </c>
      <c r="AN37" s="396">
        <f t="shared" si="22"/>
        <v>525</v>
      </c>
      <c r="AO37" s="53">
        <v>507.93</v>
      </c>
      <c r="AP37" s="398">
        <v>117.93</v>
      </c>
      <c r="AQ37" s="401">
        <f t="shared" si="23"/>
        <v>5977.93</v>
      </c>
      <c r="AR37" s="298">
        <v>5977.93</v>
      </c>
      <c r="AS37" s="18">
        <f>SUM($AQ$6:AQ37)</f>
        <v>182631.57999999996</v>
      </c>
      <c r="AT37" t="str">
        <f t="shared" si="24"/>
        <v>07</v>
      </c>
      <c r="AU37">
        <f t="shared" si="25"/>
        <v>21</v>
      </c>
      <c r="AV37" t="str">
        <f t="shared" si="26"/>
        <v>N</v>
      </c>
    </row>
    <row r="38" spans="1:48">
      <c r="A38" s="152" t="s">
        <v>9</v>
      </c>
      <c r="B38" s="152">
        <v>1</v>
      </c>
      <c r="C38" s="1">
        <f t="shared" si="18"/>
        <v>45860.21</v>
      </c>
      <c r="D38" t="s">
        <v>171</v>
      </c>
      <c r="E38" t="s">
        <v>178</v>
      </c>
      <c r="F38" t="s">
        <v>179</v>
      </c>
      <c r="G38" s="4">
        <v>3</v>
      </c>
      <c r="H38" s="5">
        <f t="shared" si="20"/>
        <v>390</v>
      </c>
      <c r="I38" s="21">
        <v>0</v>
      </c>
      <c r="J38" s="28">
        <v>3.7</v>
      </c>
      <c r="K38" s="28">
        <f t="shared" si="27"/>
        <v>3.7</v>
      </c>
      <c r="L38" s="30">
        <v>63.2</v>
      </c>
      <c r="M38" s="26">
        <v>70.5</v>
      </c>
      <c r="N38" s="31">
        <f t="shared" si="3"/>
        <v>7.2999999999999972</v>
      </c>
      <c r="O38" s="21"/>
      <c r="P38" s="28"/>
      <c r="Q38" s="22">
        <f t="shared" si="4"/>
        <v>0</v>
      </c>
      <c r="R38" s="26"/>
      <c r="S38" s="26"/>
      <c r="T38" s="31">
        <f t="shared" si="5"/>
        <v>0</v>
      </c>
      <c r="U38" s="26">
        <f t="shared" si="15"/>
        <v>3.7</v>
      </c>
      <c r="V38" s="26">
        <f t="shared" si="16"/>
        <v>7.2999999999999972</v>
      </c>
      <c r="W38" s="26">
        <f t="shared" si="6"/>
        <v>10.999999999999996</v>
      </c>
      <c r="X38" s="36">
        <f t="shared" si="7"/>
        <v>1632.9999999999995</v>
      </c>
      <c r="Y38" s="389">
        <f t="shared" si="8"/>
        <v>2875</v>
      </c>
      <c r="Z38" s="38"/>
      <c r="AA38" s="38">
        <v>1</v>
      </c>
      <c r="AB38" s="38">
        <v>1</v>
      </c>
      <c r="AC38" s="38">
        <v>13170</v>
      </c>
      <c r="AD38" s="157">
        <f t="shared" si="19"/>
        <v>575</v>
      </c>
      <c r="AE38" s="34">
        <v>6.25</v>
      </c>
      <c r="AF38" s="35">
        <v>5.25</v>
      </c>
      <c r="AG38" s="392">
        <f>Table3[[#This Row],[Active hours (Other than drilling)]]*$AF$1</f>
        <v>2415</v>
      </c>
      <c r="AH38" s="44">
        <v>0.5</v>
      </c>
      <c r="AI38" s="13"/>
      <c r="AJ38" s="392" cm="1">
        <f t="array" ref="AJ38">SUM(Table3[[#This Row],[Inactive Hours (Other than client standby)]:[Standby Total Hours]]*$AI$1)</f>
        <v>180</v>
      </c>
      <c r="AK38" s="45"/>
      <c r="AL38" s="23"/>
      <c r="AM38" s="25">
        <f t="shared" si="21"/>
        <v>12</v>
      </c>
      <c r="AN38" s="396">
        <f t="shared" si="22"/>
        <v>2595</v>
      </c>
      <c r="AO38" s="53">
        <v>390</v>
      </c>
      <c r="AP38" s="398"/>
      <c r="AQ38" s="401">
        <f t="shared" si="23"/>
        <v>6435</v>
      </c>
      <c r="AR38" s="298">
        <v>6435</v>
      </c>
      <c r="AS38" s="18">
        <f>SUM($AQ$6:AQ38)</f>
        <v>189066.57999999996</v>
      </c>
      <c r="AT38" t="str">
        <f t="shared" si="24"/>
        <v>07</v>
      </c>
      <c r="AU38">
        <f t="shared" si="25"/>
        <v>22</v>
      </c>
      <c r="AV38" t="str">
        <f t="shared" si="26"/>
        <v>D</v>
      </c>
    </row>
    <row r="39" spans="1:48">
      <c r="A39" s="152" t="str">
        <f t="shared" ref="A39:A43" si="28">IFERROR(IF(FIND("MET",E39),"MET",IF(FIND("GT",E39),"GT",)),"")</f>
        <v>MET</v>
      </c>
      <c r="B39" s="152"/>
      <c r="C39" s="1">
        <f t="shared" si="18"/>
        <v>45860.71</v>
      </c>
      <c r="D39" t="s">
        <v>172</v>
      </c>
      <c r="E39" t="s">
        <v>179</v>
      </c>
      <c r="G39" s="4">
        <v>3</v>
      </c>
      <c r="H39" s="5">
        <f t="shared" si="20"/>
        <v>390</v>
      </c>
      <c r="I39" s="21">
        <v>3.7</v>
      </c>
      <c r="J39" s="28">
        <v>20.100000000000001</v>
      </c>
      <c r="K39" s="28">
        <f t="shared" si="27"/>
        <v>16.400000000000002</v>
      </c>
      <c r="L39" s="30"/>
      <c r="M39" s="26"/>
      <c r="N39" s="31">
        <f t="shared" si="3"/>
        <v>0</v>
      </c>
      <c r="O39" s="21"/>
      <c r="P39" s="28"/>
      <c r="Q39" s="22">
        <f t="shared" si="4"/>
        <v>0</v>
      </c>
      <c r="R39" s="26"/>
      <c r="S39" s="26"/>
      <c r="T39" s="31">
        <f t="shared" si="5"/>
        <v>0</v>
      </c>
      <c r="U39" s="26">
        <f t="shared" si="15"/>
        <v>16.400000000000002</v>
      </c>
      <c r="V39" s="26">
        <f t="shared" si="16"/>
        <v>0</v>
      </c>
      <c r="W39" s="26">
        <f t="shared" si="6"/>
        <v>16.400000000000002</v>
      </c>
      <c r="X39" s="36">
        <f t="shared" si="7"/>
        <v>2870.0000000000005</v>
      </c>
      <c r="Y39" s="389">
        <f t="shared" si="8"/>
        <v>2870.0000000000005</v>
      </c>
      <c r="Z39" s="38"/>
      <c r="AA39" s="38"/>
      <c r="AB39" s="38"/>
      <c r="AC39" s="38"/>
      <c r="AD39" s="157">
        <f t="shared" si="19"/>
        <v>0</v>
      </c>
      <c r="AE39" s="34">
        <v>5.75</v>
      </c>
      <c r="AF39" s="35">
        <v>2.75</v>
      </c>
      <c r="AG39" s="392">
        <f>Table3[[#This Row],[Active hours (Other than drilling)]]*$AF$1</f>
        <v>1265</v>
      </c>
      <c r="AH39" s="44">
        <v>0.5</v>
      </c>
      <c r="AI39" s="13"/>
      <c r="AJ39" s="392" cm="1">
        <f t="array" ref="AJ39">SUM(Table3[[#This Row],[Inactive Hours (Other than client standby)]:[Standby Total Hours]]*$AI$1)</f>
        <v>180</v>
      </c>
      <c r="AK39" s="45">
        <v>3</v>
      </c>
      <c r="AL39" s="23"/>
      <c r="AM39" s="25">
        <f t="shared" si="21"/>
        <v>12</v>
      </c>
      <c r="AN39" s="396">
        <f t="shared" si="22"/>
        <v>1445</v>
      </c>
      <c r="AO39" s="53">
        <v>904.05</v>
      </c>
      <c r="AP39" s="398">
        <v>514.04999999999995</v>
      </c>
      <c r="AQ39" s="401">
        <f t="shared" si="23"/>
        <v>5219.05</v>
      </c>
      <c r="AR39" s="298">
        <v>5219.05</v>
      </c>
      <c r="AS39" s="18">
        <f>SUM($AQ$6:AQ39)</f>
        <v>194285.62999999995</v>
      </c>
      <c r="AT39" t="str">
        <f t="shared" si="24"/>
        <v>07</v>
      </c>
      <c r="AU39">
        <f t="shared" si="25"/>
        <v>22</v>
      </c>
      <c r="AV39" t="str">
        <f t="shared" si="26"/>
        <v>N</v>
      </c>
    </row>
    <row r="40" spans="1:48">
      <c r="A40" s="152" t="str">
        <f t="shared" si="28"/>
        <v>MET</v>
      </c>
      <c r="B40" s="152"/>
      <c r="C40" s="1">
        <f t="shared" si="18"/>
        <v>45861.21</v>
      </c>
      <c r="D40" t="s">
        <v>171</v>
      </c>
      <c r="E40" t="s">
        <v>179</v>
      </c>
      <c r="G40" s="4">
        <v>3</v>
      </c>
      <c r="H40" s="5">
        <f t="shared" si="20"/>
        <v>390</v>
      </c>
      <c r="I40" s="21">
        <v>20.100000000000001</v>
      </c>
      <c r="J40" s="28">
        <v>27.7</v>
      </c>
      <c r="K40" s="28">
        <f t="shared" si="27"/>
        <v>7.5999999999999979</v>
      </c>
      <c r="L40" s="30"/>
      <c r="M40" s="26"/>
      <c r="N40" s="31">
        <f t="shared" si="3"/>
        <v>0</v>
      </c>
      <c r="O40" s="21"/>
      <c r="P40" s="28"/>
      <c r="Q40" s="22">
        <f t="shared" si="4"/>
        <v>0</v>
      </c>
      <c r="R40" s="26"/>
      <c r="S40" s="26"/>
      <c r="T40" s="31">
        <f t="shared" si="5"/>
        <v>0</v>
      </c>
      <c r="U40" s="26">
        <f t="shared" si="15"/>
        <v>7.5999999999999979</v>
      </c>
      <c r="V40" s="26">
        <f t="shared" si="16"/>
        <v>0</v>
      </c>
      <c r="W40" s="26">
        <f t="shared" si="6"/>
        <v>7.5999999999999979</v>
      </c>
      <c r="X40" s="36">
        <f t="shared" si="7"/>
        <v>1329.9999999999995</v>
      </c>
      <c r="Y40" s="389">
        <f t="shared" si="8"/>
        <v>1610</v>
      </c>
      <c r="Z40" s="38"/>
      <c r="AA40" s="38">
        <v>1</v>
      </c>
      <c r="AB40" s="38">
        <v>1</v>
      </c>
      <c r="AC40" s="38">
        <v>13170</v>
      </c>
      <c r="AD40" s="157">
        <f t="shared" si="19"/>
        <v>575</v>
      </c>
      <c r="AE40" s="34">
        <v>3.5</v>
      </c>
      <c r="AF40" s="35">
        <v>0.75</v>
      </c>
      <c r="AG40" s="392">
        <f>Table3[[#This Row],[Active hours (Other than drilling)]]*$AF$1</f>
        <v>345</v>
      </c>
      <c r="AH40" s="44">
        <v>0.5</v>
      </c>
      <c r="AI40" s="13"/>
      <c r="AJ40" s="392" cm="1">
        <f t="array" ref="AJ40">SUM(Table3[[#This Row],[Inactive Hours (Other than client standby)]:[Standby Total Hours]]*$AI$1)</f>
        <v>180</v>
      </c>
      <c r="AK40" s="45">
        <v>7.25</v>
      </c>
      <c r="AL40" s="23"/>
      <c r="AM40" s="25">
        <f t="shared" si="21"/>
        <v>12</v>
      </c>
      <c r="AN40" s="396">
        <f t="shared" si="22"/>
        <v>525</v>
      </c>
      <c r="AO40" s="53">
        <v>390</v>
      </c>
      <c r="AP40" s="398"/>
      <c r="AQ40" s="401">
        <f t="shared" si="23"/>
        <v>3100</v>
      </c>
      <c r="AR40" s="298">
        <v>3100</v>
      </c>
      <c r="AS40" s="18">
        <f>SUM($AQ$6:AQ40)</f>
        <v>197385.62999999995</v>
      </c>
      <c r="AT40" t="str">
        <f t="shared" si="24"/>
        <v>07</v>
      </c>
      <c r="AU40">
        <f t="shared" si="25"/>
        <v>23</v>
      </c>
      <c r="AV40" t="str">
        <f t="shared" si="26"/>
        <v>D</v>
      </c>
    </row>
    <row r="41" spans="1:48">
      <c r="A41" s="152" t="str">
        <f t="shared" si="28"/>
        <v>MET</v>
      </c>
      <c r="B41" s="152"/>
      <c r="C41" s="1">
        <f t="shared" si="18"/>
        <v>45861.71</v>
      </c>
      <c r="D41" t="s">
        <v>172</v>
      </c>
      <c r="E41" t="s">
        <v>179</v>
      </c>
      <c r="G41" s="4">
        <v>3</v>
      </c>
      <c r="H41" s="5">
        <f t="shared" si="20"/>
        <v>390</v>
      </c>
      <c r="I41" s="21">
        <v>27.7</v>
      </c>
      <c r="J41" s="28">
        <v>55.1</v>
      </c>
      <c r="K41" s="28">
        <f t="shared" si="27"/>
        <v>27.400000000000002</v>
      </c>
      <c r="L41" s="30"/>
      <c r="M41" s="26"/>
      <c r="N41" s="31">
        <f t="shared" si="3"/>
        <v>0</v>
      </c>
      <c r="O41" s="21"/>
      <c r="P41" s="28"/>
      <c r="Q41" s="22">
        <f t="shared" si="4"/>
        <v>0</v>
      </c>
      <c r="R41" s="26"/>
      <c r="S41" s="26"/>
      <c r="T41" s="31">
        <f t="shared" si="5"/>
        <v>0</v>
      </c>
      <c r="U41" s="26">
        <f t="shared" si="15"/>
        <v>27.400000000000002</v>
      </c>
      <c r="V41" s="26">
        <f t="shared" si="16"/>
        <v>0</v>
      </c>
      <c r="W41" s="26">
        <f t="shared" si="6"/>
        <v>27.400000000000002</v>
      </c>
      <c r="X41" s="36">
        <f t="shared" si="7"/>
        <v>4795</v>
      </c>
      <c r="Y41" s="389">
        <f t="shared" si="8"/>
        <v>4830</v>
      </c>
      <c r="Z41" s="38"/>
      <c r="AA41" s="38"/>
      <c r="AB41" s="38"/>
      <c r="AC41" s="38"/>
      <c r="AD41" s="157">
        <f t="shared" si="19"/>
        <v>0</v>
      </c>
      <c r="AE41" s="34">
        <v>10.5</v>
      </c>
      <c r="AF41" s="35">
        <v>1</v>
      </c>
      <c r="AG41" s="392">
        <f>Table3[[#This Row],[Active hours (Other than drilling)]]*$AF$1</f>
        <v>460</v>
      </c>
      <c r="AH41" s="44">
        <v>0.5</v>
      </c>
      <c r="AI41" s="13"/>
      <c r="AJ41" s="392" cm="1">
        <f t="array" ref="AJ41">SUM(Table3[[#This Row],[Inactive Hours (Other than client standby)]:[Standby Total Hours]]*$AI$1)</f>
        <v>180</v>
      </c>
      <c r="AK41" s="45"/>
      <c r="AL41" s="23"/>
      <c r="AM41" s="25">
        <f t="shared" si="21"/>
        <v>12</v>
      </c>
      <c r="AN41" s="396">
        <f t="shared" si="22"/>
        <v>640</v>
      </c>
      <c r="AO41" s="53">
        <v>390</v>
      </c>
      <c r="AP41" s="398"/>
      <c r="AQ41" s="401">
        <f t="shared" si="23"/>
        <v>5860</v>
      </c>
      <c r="AR41" s="298">
        <v>5860</v>
      </c>
      <c r="AS41" s="18">
        <f>SUM($AQ$6:AQ41)</f>
        <v>203245.62999999995</v>
      </c>
      <c r="AT41" t="str">
        <f t="shared" si="24"/>
        <v>07</v>
      </c>
      <c r="AU41">
        <f t="shared" si="25"/>
        <v>23</v>
      </c>
      <c r="AV41" t="str">
        <f t="shared" si="26"/>
        <v>N</v>
      </c>
    </row>
    <row r="42" spans="1:48">
      <c r="A42" s="152" t="str">
        <f t="shared" si="28"/>
        <v>MET</v>
      </c>
      <c r="B42" s="152"/>
      <c r="C42" s="1">
        <f t="shared" si="18"/>
        <v>45862.21</v>
      </c>
      <c r="D42" t="s">
        <v>171</v>
      </c>
      <c r="E42" t="s">
        <v>179</v>
      </c>
      <c r="G42" s="4">
        <v>3</v>
      </c>
      <c r="H42" s="5">
        <f t="shared" si="20"/>
        <v>390</v>
      </c>
      <c r="I42" s="21">
        <v>55.1</v>
      </c>
      <c r="J42" s="28">
        <v>84.7</v>
      </c>
      <c r="K42" s="28">
        <f t="shared" si="27"/>
        <v>29.6</v>
      </c>
      <c r="L42" s="30"/>
      <c r="M42" s="26"/>
      <c r="N42" s="31">
        <f t="shared" si="3"/>
        <v>0</v>
      </c>
      <c r="O42" s="21"/>
      <c r="P42" s="28"/>
      <c r="Q42" s="22">
        <f t="shared" si="4"/>
        <v>0</v>
      </c>
      <c r="R42" s="26"/>
      <c r="S42" s="26"/>
      <c r="T42" s="31">
        <f t="shared" si="5"/>
        <v>0</v>
      </c>
      <c r="U42" s="26">
        <f t="shared" si="15"/>
        <v>29.6</v>
      </c>
      <c r="V42" s="26">
        <f t="shared" si="16"/>
        <v>0</v>
      </c>
      <c r="W42" s="26">
        <f t="shared" si="6"/>
        <v>29.6</v>
      </c>
      <c r="X42" s="36">
        <f t="shared" si="7"/>
        <v>5180</v>
      </c>
      <c r="Y42" s="389">
        <f t="shared" si="8"/>
        <v>5180</v>
      </c>
      <c r="Z42" s="38"/>
      <c r="AA42" s="38">
        <v>1</v>
      </c>
      <c r="AB42" s="38">
        <v>1</v>
      </c>
      <c r="AC42" s="38">
        <v>13170</v>
      </c>
      <c r="AD42" s="157">
        <f t="shared" si="19"/>
        <v>575</v>
      </c>
      <c r="AE42" s="34">
        <v>10.5</v>
      </c>
      <c r="AF42" s="35">
        <v>1</v>
      </c>
      <c r="AG42" s="392">
        <f>Table3[[#This Row],[Active hours (Other than drilling)]]*$AF$1</f>
        <v>460</v>
      </c>
      <c r="AH42" s="44">
        <v>0.5</v>
      </c>
      <c r="AI42" s="13"/>
      <c r="AJ42" s="392" cm="1">
        <f t="array" ref="AJ42">SUM(Table3[[#This Row],[Inactive Hours (Other than client standby)]:[Standby Total Hours]]*$AI$1)</f>
        <v>180</v>
      </c>
      <c r="AK42" s="45"/>
      <c r="AL42" s="23"/>
      <c r="AM42" s="25">
        <f t="shared" si="21"/>
        <v>12</v>
      </c>
      <c r="AN42" s="396">
        <f t="shared" si="22"/>
        <v>640</v>
      </c>
      <c r="AO42" s="53">
        <v>646.05999999999995</v>
      </c>
      <c r="AP42" s="398">
        <v>256.06</v>
      </c>
      <c r="AQ42" s="401">
        <f t="shared" si="23"/>
        <v>7041.06</v>
      </c>
      <c r="AR42" s="298">
        <v>7041.06</v>
      </c>
      <c r="AS42" s="18">
        <f>SUM($AQ$6:AQ42)</f>
        <v>210286.68999999994</v>
      </c>
      <c r="AT42" t="str">
        <f t="shared" si="24"/>
        <v>07</v>
      </c>
      <c r="AU42">
        <f t="shared" si="25"/>
        <v>24</v>
      </c>
      <c r="AV42" t="str">
        <f t="shared" si="26"/>
        <v>D</v>
      </c>
    </row>
    <row r="43" spans="1:48">
      <c r="A43" s="152" t="str">
        <f t="shared" si="28"/>
        <v>MET</v>
      </c>
      <c r="B43" s="152">
        <v>1</v>
      </c>
      <c r="C43" s="1">
        <f t="shared" si="18"/>
        <v>45862.71</v>
      </c>
      <c r="D43" t="s">
        <v>172</v>
      </c>
      <c r="E43" t="s">
        <v>179</v>
      </c>
      <c r="G43" s="4">
        <v>3</v>
      </c>
      <c r="H43" s="5">
        <f t="shared" si="20"/>
        <v>390</v>
      </c>
      <c r="I43" s="21">
        <v>84.7</v>
      </c>
      <c r="J43" s="28">
        <v>101.1</v>
      </c>
      <c r="K43" s="28">
        <f>IF(ISBLANK(I43),0,J43-I43)</f>
        <v>16.399999999999991</v>
      </c>
      <c r="L43" s="30"/>
      <c r="M43" s="26"/>
      <c r="N43" s="31">
        <f t="shared" si="3"/>
        <v>0</v>
      </c>
      <c r="O43" s="21"/>
      <c r="P43" s="28"/>
      <c r="Q43" s="22">
        <f t="shared" si="4"/>
        <v>0</v>
      </c>
      <c r="R43" s="26"/>
      <c r="S43" s="26"/>
      <c r="T43" s="31">
        <f t="shared" si="5"/>
        <v>0</v>
      </c>
      <c r="U43" s="26">
        <f t="shared" si="15"/>
        <v>16.399999999999991</v>
      </c>
      <c r="V43" s="26">
        <f t="shared" si="16"/>
        <v>0</v>
      </c>
      <c r="W43" s="26">
        <f t="shared" si="6"/>
        <v>16.399999999999991</v>
      </c>
      <c r="X43" s="36">
        <f t="shared" si="7"/>
        <v>2869.9999999999986</v>
      </c>
      <c r="Y43" s="389">
        <f t="shared" si="8"/>
        <v>3335</v>
      </c>
      <c r="Z43" s="38"/>
      <c r="AA43" s="38"/>
      <c r="AB43" s="38"/>
      <c r="AC43" s="38"/>
      <c r="AD43" s="157">
        <f t="shared" si="19"/>
        <v>0</v>
      </c>
      <c r="AE43" s="34">
        <v>7.25</v>
      </c>
      <c r="AF43" s="35">
        <v>4.25</v>
      </c>
      <c r="AG43" s="392">
        <f>Table3[[#This Row],[Active hours (Other than drilling)]]*$AF$1</f>
        <v>1955</v>
      </c>
      <c r="AH43" s="44">
        <v>0.5</v>
      </c>
      <c r="AI43" s="13"/>
      <c r="AJ43" s="392" cm="1">
        <f t="array" ref="AJ43">SUM(Table3[[#This Row],[Inactive Hours (Other than client standby)]:[Standby Total Hours]]*$AI$1)</f>
        <v>180</v>
      </c>
      <c r="AK43" s="45"/>
      <c r="AL43" s="23"/>
      <c r="AM43" s="25">
        <f t="shared" si="21"/>
        <v>12</v>
      </c>
      <c r="AN43" s="396">
        <f t="shared" si="22"/>
        <v>2135</v>
      </c>
      <c r="AO43" s="53">
        <v>390</v>
      </c>
      <c r="AP43" s="398"/>
      <c r="AQ43" s="401">
        <f t="shared" si="23"/>
        <v>5860</v>
      </c>
      <c r="AR43" s="298">
        <v>5860</v>
      </c>
      <c r="AS43" s="18">
        <f>SUM($AQ$6:AQ43)</f>
        <v>216146.68999999994</v>
      </c>
      <c r="AT43" t="str">
        <f t="shared" si="24"/>
        <v>07</v>
      </c>
      <c r="AU43">
        <f t="shared" si="25"/>
        <v>24</v>
      </c>
      <c r="AV43" t="str">
        <f t="shared" si="26"/>
        <v>N</v>
      </c>
    </row>
    <row r="44" spans="1:48">
      <c r="A44" s="152" t="s">
        <v>9</v>
      </c>
      <c r="B44" s="152"/>
      <c r="C44" s="1">
        <f t="shared" si="18"/>
        <v>45863.21</v>
      </c>
      <c r="D44" t="s">
        <v>171</v>
      </c>
      <c r="E44" t="s">
        <v>180</v>
      </c>
      <c r="G44" s="4">
        <v>3</v>
      </c>
      <c r="H44" s="5">
        <f t="shared" si="20"/>
        <v>390</v>
      </c>
      <c r="I44" s="21"/>
      <c r="J44" s="28"/>
      <c r="K44" s="28">
        <f t="shared" ref="K44:K107" si="29">IF(ISBLANK(I44),0,J44-I44)</f>
        <v>0</v>
      </c>
      <c r="L44" s="30"/>
      <c r="M44" s="26"/>
      <c r="N44" s="31">
        <f t="shared" si="3"/>
        <v>0</v>
      </c>
      <c r="O44" s="21"/>
      <c r="P44" s="28"/>
      <c r="Q44" s="22">
        <f t="shared" si="4"/>
        <v>0</v>
      </c>
      <c r="R44" s="26"/>
      <c r="S44" s="26"/>
      <c r="T44" s="31">
        <f t="shared" si="5"/>
        <v>0</v>
      </c>
      <c r="U44" s="26">
        <f t="shared" si="15"/>
        <v>0</v>
      </c>
      <c r="V44" s="26">
        <f t="shared" si="16"/>
        <v>0</v>
      </c>
      <c r="W44" s="26">
        <f t="shared" si="6"/>
        <v>0</v>
      </c>
      <c r="X44" s="36">
        <f t="shared" si="7"/>
        <v>0</v>
      </c>
      <c r="Y44" s="389">
        <f t="shared" si="8"/>
        <v>0</v>
      </c>
      <c r="Z44" s="38"/>
      <c r="AA44" s="38">
        <v>1</v>
      </c>
      <c r="AB44" s="38">
        <v>1</v>
      </c>
      <c r="AC44" s="38">
        <v>13170</v>
      </c>
      <c r="AD44" s="157">
        <f t="shared" si="19"/>
        <v>575</v>
      </c>
      <c r="AE44" s="34">
        <v>0</v>
      </c>
      <c r="AF44" s="35">
        <v>7.5</v>
      </c>
      <c r="AG44" s="392">
        <f>Table3[[#This Row],[Active hours (Other than drilling)]]*$AF$1</f>
        <v>3450</v>
      </c>
      <c r="AH44" s="44">
        <v>4.5</v>
      </c>
      <c r="AI44" s="13"/>
      <c r="AJ44" s="392" cm="1">
        <f t="array" ref="AJ44">SUM(Table3[[#This Row],[Inactive Hours (Other than client standby)]:[Standby Total Hours]]*$AI$1)</f>
        <v>1620</v>
      </c>
      <c r="AK44" s="45"/>
      <c r="AL44" s="23"/>
      <c r="AM44" s="25">
        <f t="shared" si="21"/>
        <v>12</v>
      </c>
      <c r="AN44" s="396">
        <f t="shared" si="22"/>
        <v>5070</v>
      </c>
      <c r="AO44" s="53">
        <v>646.05999999999995</v>
      </c>
      <c r="AP44" s="398">
        <v>256.06</v>
      </c>
      <c r="AQ44" s="401">
        <f t="shared" si="23"/>
        <v>6291.06</v>
      </c>
      <c r="AR44" s="298">
        <v>6291.06</v>
      </c>
      <c r="AS44" s="18">
        <f>SUM($AQ$6:AQ44)</f>
        <v>222437.74999999994</v>
      </c>
      <c r="AT44" t="str">
        <f t="shared" si="24"/>
        <v>07</v>
      </c>
      <c r="AU44">
        <f t="shared" si="25"/>
        <v>25</v>
      </c>
      <c r="AV44" t="str">
        <f t="shared" si="26"/>
        <v>D</v>
      </c>
    </row>
    <row r="45" spans="1:48">
      <c r="A45" s="152" t="s">
        <v>9</v>
      </c>
      <c r="B45" s="152"/>
      <c r="C45" s="1">
        <f t="shared" si="18"/>
        <v>45863.71</v>
      </c>
      <c r="D45" t="s">
        <v>172</v>
      </c>
      <c r="E45" t="s">
        <v>180</v>
      </c>
      <c r="G45" s="4">
        <v>3</v>
      </c>
      <c r="H45" s="5">
        <f t="shared" si="20"/>
        <v>390</v>
      </c>
      <c r="I45" s="21"/>
      <c r="J45" s="28"/>
      <c r="K45" s="28">
        <f t="shared" si="29"/>
        <v>0</v>
      </c>
      <c r="L45" s="30">
        <v>6</v>
      </c>
      <c r="M45" s="26">
        <v>13.8</v>
      </c>
      <c r="N45" s="31">
        <f t="shared" si="3"/>
        <v>7.8000000000000007</v>
      </c>
      <c r="O45" s="21"/>
      <c r="P45" s="28"/>
      <c r="Q45" s="22">
        <f t="shared" si="4"/>
        <v>0</v>
      </c>
      <c r="R45" s="26"/>
      <c r="S45" s="26"/>
      <c r="T45" s="31">
        <f t="shared" si="5"/>
        <v>0</v>
      </c>
      <c r="U45" s="26">
        <f t="shared" si="15"/>
        <v>0</v>
      </c>
      <c r="V45" s="26">
        <f t="shared" si="16"/>
        <v>7.8000000000000007</v>
      </c>
      <c r="W45" s="26">
        <f t="shared" si="6"/>
        <v>7.8000000000000007</v>
      </c>
      <c r="X45" s="36">
        <f t="shared" si="7"/>
        <v>1053</v>
      </c>
      <c r="Y45" s="389">
        <f t="shared" si="8"/>
        <v>1840</v>
      </c>
      <c r="Z45" s="38"/>
      <c r="AA45" s="38"/>
      <c r="AB45" s="38"/>
      <c r="AC45" s="38"/>
      <c r="AD45" s="157">
        <f t="shared" si="19"/>
        <v>0</v>
      </c>
      <c r="AE45" s="34">
        <v>4</v>
      </c>
      <c r="AF45" s="35">
        <v>3</v>
      </c>
      <c r="AG45" s="392">
        <f>Table3[[#This Row],[Active hours (Other than drilling)]]*$AF$1</f>
        <v>1380</v>
      </c>
      <c r="AH45" s="44">
        <v>5</v>
      </c>
      <c r="AI45" s="13"/>
      <c r="AJ45" s="392" cm="1">
        <f t="array" ref="AJ45">SUM(Table3[[#This Row],[Inactive Hours (Other than client standby)]:[Standby Total Hours]]*$AI$1)</f>
        <v>1800</v>
      </c>
      <c r="AK45" s="45"/>
      <c r="AL45" s="23"/>
      <c r="AM45" s="25">
        <f t="shared" si="21"/>
        <v>12</v>
      </c>
      <c r="AN45" s="396">
        <f t="shared" si="22"/>
        <v>3180</v>
      </c>
      <c r="AO45" s="53">
        <v>390</v>
      </c>
      <c r="AP45" s="398"/>
      <c r="AQ45" s="401">
        <f t="shared" si="23"/>
        <v>5410</v>
      </c>
      <c r="AR45" s="298">
        <v>5410</v>
      </c>
      <c r="AS45" s="18">
        <f>SUM($AQ$6:AQ45)</f>
        <v>227847.74999999994</v>
      </c>
      <c r="AT45" t="str">
        <f t="shared" si="24"/>
        <v>07</v>
      </c>
      <c r="AU45">
        <f t="shared" si="25"/>
        <v>25</v>
      </c>
      <c r="AV45" t="str">
        <f t="shared" si="26"/>
        <v>N</v>
      </c>
    </row>
    <row r="46" spans="1:48">
      <c r="A46" s="152" t="s">
        <v>9</v>
      </c>
      <c r="B46" s="152">
        <v>1</v>
      </c>
      <c r="C46" s="1">
        <f t="shared" si="18"/>
        <v>45864.21</v>
      </c>
      <c r="D46" t="s">
        <v>171</v>
      </c>
      <c r="E46" t="s">
        <v>180</v>
      </c>
      <c r="F46" t="s">
        <v>181</v>
      </c>
      <c r="G46" s="4">
        <v>3</v>
      </c>
      <c r="H46" s="5">
        <f t="shared" si="20"/>
        <v>390</v>
      </c>
      <c r="I46" s="21"/>
      <c r="J46" s="28"/>
      <c r="K46" s="28">
        <f t="shared" si="29"/>
        <v>0</v>
      </c>
      <c r="L46" s="30">
        <v>13.8</v>
      </c>
      <c r="M46" s="26">
        <v>15</v>
      </c>
      <c r="N46" s="31">
        <f t="shared" si="3"/>
        <v>1.1999999999999993</v>
      </c>
      <c r="O46" s="21"/>
      <c r="P46" s="28"/>
      <c r="Q46" s="22">
        <f t="shared" si="4"/>
        <v>0</v>
      </c>
      <c r="R46" s="26">
        <v>0</v>
      </c>
      <c r="S46" s="26">
        <v>2</v>
      </c>
      <c r="T46" s="31">
        <f t="shared" si="5"/>
        <v>2</v>
      </c>
      <c r="U46" s="26">
        <f t="shared" si="15"/>
        <v>0</v>
      </c>
      <c r="V46" s="26">
        <f t="shared" si="16"/>
        <v>3.1999999999999993</v>
      </c>
      <c r="W46" s="26">
        <f t="shared" si="6"/>
        <v>3.1999999999999993</v>
      </c>
      <c r="X46" s="36">
        <f t="shared" si="7"/>
        <v>431.99999999999989</v>
      </c>
      <c r="Y46" s="389">
        <f t="shared" si="8"/>
        <v>1265</v>
      </c>
      <c r="Z46" s="38"/>
      <c r="AA46" s="38">
        <v>1</v>
      </c>
      <c r="AB46" s="38">
        <v>1</v>
      </c>
      <c r="AC46" s="38">
        <v>13170</v>
      </c>
      <c r="AD46" s="157">
        <f t="shared" si="19"/>
        <v>575</v>
      </c>
      <c r="AE46" s="34">
        <v>2.75</v>
      </c>
      <c r="AF46" s="35">
        <v>6.75</v>
      </c>
      <c r="AG46" s="392">
        <f>Table3[[#This Row],[Active hours (Other than drilling)]]*$AF$1</f>
        <v>3105</v>
      </c>
      <c r="AH46" s="44">
        <v>2.5</v>
      </c>
      <c r="AI46" s="13"/>
      <c r="AJ46" s="392" cm="1">
        <f t="array" ref="AJ46">SUM(Table3[[#This Row],[Inactive Hours (Other than client standby)]:[Standby Total Hours]]*$AI$1)</f>
        <v>900</v>
      </c>
      <c r="AK46" s="45"/>
      <c r="AL46" s="23"/>
      <c r="AM46" s="25">
        <f t="shared" si="21"/>
        <v>12</v>
      </c>
      <c r="AN46" s="396">
        <f t="shared" si="22"/>
        <v>4005</v>
      </c>
      <c r="AO46" s="53">
        <v>390</v>
      </c>
      <c r="AP46" s="398"/>
      <c r="AQ46" s="401">
        <f t="shared" si="23"/>
        <v>6235</v>
      </c>
      <c r="AR46" s="298">
        <v>6235</v>
      </c>
      <c r="AS46" s="18">
        <f>SUM($AQ$6:AQ46)</f>
        <v>234082.74999999994</v>
      </c>
      <c r="AT46" t="str">
        <f t="shared" si="24"/>
        <v>07</v>
      </c>
      <c r="AU46">
        <f t="shared" si="25"/>
        <v>26</v>
      </c>
      <c r="AV46" t="str">
        <f t="shared" si="26"/>
        <v>D</v>
      </c>
    </row>
    <row r="47" spans="1:48">
      <c r="A47" s="152" t="s">
        <v>9</v>
      </c>
      <c r="B47" s="152">
        <v>1</v>
      </c>
      <c r="C47" s="1">
        <f t="shared" si="18"/>
        <v>45864.71</v>
      </c>
      <c r="D47" t="s">
        <v>172</v>
      </c>
      <c r="E47" t="s">
        <v>181</v>
      </c>
      <c r="G47" s="4">
        <v>3</v>
      </c>
      <c r="H47" s="5">
        <f t="shared" si="20"/>
        <v>390</v>
      </c>
      <c r="I47" s="21"/>
      <c r="J47" s="28"/>
      <c r="K47" s="28">
        <f t="shared" si="29"/>
        <v>0</v>
      </c>
      <c r="L47" s="30">
        <v>2</v>
      </c>
      <c r="M47" s="26">
        <v>15</v>
      </c>
      <c r="N47" s="31">
        <f t="shared" si="3"/>
        <v>13</v>
      </c>
      <c r="O47" s="21"/>
      <c r="P47" s="28"/>
      <c r="Q47" s="22">
        <f t="shared" si="4"/>
        <v>0</v>
      </c>
      <c r="R47" s="26"/>
      <c r="S47" s="26"/>
      <c r="T47" s="31">
        <f t="shared" si="5"/>
        <v>0</v>
      </c>
      <c r="U47" s="26">
        <f t="shared" si="15"/>
        <v>0</v>
      </c>
      <c r="V47" s="26">
        <f t="shared" si="16"/>
        <v>13</v>
      </c>
      <c r="W47" s="26">
        <f t="shared" si="6"/>
        <v>13</v>
      </c>
      <c r="X47" s="36">
        <f t="shared" si="7"/>
        <v>1755</v>
      </c>
      <c r="Y47" s="389">
        <f t="shared" si="8"/>
        <v>2300</v>
      </c>
      <c r="Z47" s="38"/>
      <c r="AA47" s="38"/>
      <c r="AB47" s="38"/>
      <c r="AC47" s="38"/>
      <c r="AD47" s="157">
        <f t="shared" si="19"/>
        <v>0</v>
      </c>
      <c r="AE47" s="34">
        <v>5</v>
      </c>
      <c r="AF47" s="35">
        <v>2.5</v>
      </c>
      <c r="AG47" s="392">
        <f>Table3[[#This Row],[Active hours (Other than drilling)]]*$AF$1</f>
        <v>1150</v>
      </c>
      <c r="AH47" s="44">
        <v>4.5</v>
      </c>
      <c r="AI47" s="13"/>
      <c r="AJ47" s="392" cm="1">
        <f t="array" ref="AJ47">SUM(Table3[[#This Row],[Inactive Hours (Other than client standby)]:[Standby Total Hours]]*$AI$1)</f>
        <v>1620</v>
      </c>
      <c r="AK47" s="45"/>
      <c r="AL47" s="23"/>
      <c r="AM47" s="25">
        <f t="shared" si="21"/>
        <v>12</v>
      </c>
      <c r="AN47" s="396">
        <f t="shared" si="22"/>
        <v>2770</v>
      </c>
      <c r="AO47" s="53">
        <v>390</v>
      </c>
      <c r="AP47" s="398"/>
      <c r="AQ47" s="401">
        <f t="shared" si="23"/>
        <v>5460</v>
      </c>
      <c r="AR47" s="298">
        <v>5460</v>
      </c>
      <c r="AS47" s="18">
        <f>SUM($AQ$6:AQ47)</f>
        <v>239542.74999999994</v>
      </c>
      <c r="AT47" t="str">
        <f t="shared" si="24"/>
        <v>07</v>
      </c>
      <c r="AU47">
        <f t="shared" si="25"/>
        <v>26</v>
      </c>
      <c r="AV47" t="str">
        <f t="shared" si="26"/>
        <v>N</v>
      </c>
    </row>
    <row r="48" spans="1:48">
      <c r="A48" s="152" t="s">
        <v>9</v>
      </c>
      <c r="B48" s="152"/>
      <c r="C48" s="1">
        <f t="shared" si="18"/>
        <v>45865.21</v>
      </c>
      <c r="D48" t="s">
        <v>171</v>
      </c>
      <c r="E48" s="7" t="s">
        <v>182</v>
      </c>
      <c r="G48" s="4">
        <v>3</v>
      </c>
      <c r="H48" s="5">
        <f t="shared" si="20"/>
        <v>390</v>
      </c>
      <c r="I48" s="21"/>
      <c r="J48" s="28"/>
      <c r="K48" s="28">
        <f t="shared" si="29"/>
        <v>0</v>
      </c>
      <c r="L48" s="30"/>
      <c r="M48" s="26"/>
      <c r="N48" s="31">
        <f t="shared" si="3"/>
        <v>0</v>
      </c>
      <c r="O48" s="21"/>
      <c r="P48" s="28"/>
      <c r="Q48" s="22">
        <f t="shared" si="4"/>
        <v>0</v>
      </c>
      <c r="R48" s="26"/>
      <c r="S48" s="26"/>
      <c r="T48" s="31">
        <f t="shared" si="5"/>
        <v>0</v>
      </c>
      <c r="U48" s="26">
        <f t="shared" si="15"/>
        <v>0</v>
      </c>
      <c r="V48" s="26">
        <f t="shared" si="16"/>
        <v>0</v>
      </c>
      <c r="W48" s="26">
        <f t="shared" si="6"/>
        <v>0</v>
      </c>
      <c r="X48" s="36">
        <f t="shared" si="7"/>
        <v>0</v>
      </c>
      <c r="Y48" s="389">
        <f t="shared" si="8"/>
        <v>0</v>
      </c>
      <c r="Z48" s="38"/>
      <c r="AA48" s="38">
        <v>1</v>
      </c>
      <c r="AB48" s="38">
        <v>1</v>
      </c>
      <c r="AC48" s="38">
        <v>13170</v>
      </c>
      <c r="AD48" s="157">
        <f t="shared" si="19"/>
        <v>575</v>
      </c>
      <c r="AE48" s="34">
        <v>0</v>
      </c>
      <c r="AF48" s="35">
        <v>6</v>
      </c>
      <c r="AG48" s="392">
        <f>Table3[[#This Row],[Active hours (Other than drilling)]]*$AF$1</f>
        <v>2760</v>
      </c>
      <c r="AH48" s="44">
        <v>0.5</v>
      </c>
      <c r="AI48" s="13">
        <v>5</v>
      </c>
      <c r="AJ48" s="392" cm="1">
        <f t="array" ref="AJ48">SUM(Table3[[#This Row],[Inactive Hours (Other than client standby)]:[Standby Total Hours]]*$AI$1)</f>
        <v>1980</v>
      </c>
      <c r="AK48" s="45">
        <v>0.5</v>
      </c>
      <c r="AL48" s="23"/>
      <c r="AM48" s="25">
        <f t="shared" si="21"/>
        <v>12</v>
      </c>
      <c r="AN48" s="396">
        <f t="shared" si="22"/>
        <v>4740</v>
      </c>
      <c r="AO48" s="53">
        <v>390</v>
      </c>
      <c r="AP48" s="398"/>
      <c r="AQ48" s="401">
        <f t="shared" si="23"/>
        <v>5705</v>
      </c>
      <c r="AR48" s="298">
        <v>5705</v>
      </c>
      <c r="AS48" s="18">
        <f>SUM($AQ$6:AQ48)</f>
        <v>245247.74999999994</v>
      </c>
      <c r="AT48" t="str">
        <f t="shared" si="24"/>
        <v>07</v>
      </c>
      <c r="AU48">
        <f t="shared" si="25"/>
        <v>27</v>
      </c>
      <c r="AV48" t="str">
        <f t="shared" si="26"/>
        <v>D</v>
      </c>
    </row>
    <row r="49" spans="1:48">
      <c r="A49" s="152" t="s">
        <v>9</v>
      </c>
      <c r="B49" s="152"/>
      <c r="C49" s="1">
        <f t="shared" si="18"/>
        <v>45865.71</v>
      </c>
      <c r="D49" t="s">
        <v>172</v>
      </c>
      <c r="E49" s="7" t="s">
        <v>182</v>
      </c>
      <c r="G49" s="4">
        <v>3</v>
      </c>
      <c r="H49" s="5">
        <f t="shared" si="20"/>
        <v>390</v>
      </c>
      <c r="I49" s="21"/>
      <c r="J49" s="28"/>
      <c r="K49" s="28">
        <f t="shared" si="29"/>
        <v>0</v>
      </c>
      <c r="L49" s="30">
        <v>0</v>
      </c>
      <c r="M49" s="26">
        <v>21.3</v>
      </c>
      <c r="N49" s="31">
        <f t="shared" si="3"/>
        <v>21.3</v>
      </c>
      <c r="O49" s="21"/>
      <c r="P49" s="28"/>
      <c r="Q49" s="22">
        <f t="shared" si="4"/>
        <v>0</v>
      </c>
      <c r="R49" s="26"/>
      <c r="S49" s="26"/>
      <c r="T49" s="31">
        <f t="shared" si="5"/>
        <v>0</v>
      </c>
      <c r="U49" s="26">
        <f t="shared" si="15"/>
        <v>0</v>
      </c>
      <c r="V49" s="26">
        <f t="shared" si="16"/>
        <v>21.3</v>
      </c>
      <c r="W49" s="26">
        <f t="shared" si="6"/>
        <v>21.3</v>
      </c>
      <c r="X49" s="36">
        <f t="shared" si="7"/>
        <v>2875.5</v>
      </c>
      <c r="Y49" s="389">
        <f t="shared" si="8"/>
        <v>3335</v>
      </c>
      <c r="Z49" s="38"/>
      <c r="AA49" s="38"/>
      <c r="AB49" s="38"/>
      <c r="AC49" s="38"/>
      <c r="AD49" s="157">
        <f t="shared" si="19"/>
        <v>0</v>
      </c>
      <c r="AE49" s="34">
        <v>7.25</v>
      </c>
      <c r="AF49" s="35">
        <v>3.75</v>
      </c>
      <c r="AG49" s="392">
        <f>Table3[[#This Row],[Active hours (Other than drilling)]]*$AF$1</f>
        <v>1725</v>
      </c>
      <c r="AH49" s="44">
        <v>0.5</v>
      </c>
      <c r="AI49" s="13"/>
      <c r="AJ49" s="392" cm="1">
        <f t="array" ref="AJ49">SUM(Table3[[#This Row],[Inactive Hours (Other than client standby)]:[Standby Total Hours]]*$AI$1)</f>
        <v>180</v>
      </c>
      <c r="AK49" s="45">
        <v>0.5</v>
      </c>
      <c r="AL49" s="23"/>
      <c r="AM49" s="25">
        <f t="shared" si="21"/>
        <v>12</v>
      </c>
      <c r="AN49" s="396">
        <f t="shared" si="22"/>
        <v>1905</v>
      </c>
      <c r="AO49" s="53">
        <f t="shared" ref="AO49:AO56" si="30">AP49+H49</f>
        <v>1076.6100000000001</v>
      </c>
      <c r="AP49" s="398">
        <v>686.61</v>
      </c>
      <c r="AQ49" s="401">
        <f t="shared" si="23"/>
        <v>6316.61</v>
      </c>
      <c r="AR49" s="298">
        <v>6316.61</v>
      </c>
      <c r="AS49" s="18">
        <f>SUM($AQ$6:AQ49)</f>
        <v>251564.35999999993</v>
      </c>
      <c r="AT49" t="str">
        <f t="shared" si="24"/>
        <v>07</v>
      </c>
      <c r="AU49">
        <f t="shared" si="25"/>
        <v>27</v>
      </c>
      <c r="AV49" t="str">
        <f t="shared" si="26"/>
        <v>N</v>
      </c>
    </row>
    <row r="50" spans="1:48">
      <c r="A50" s="152" t="s">
        <v>9</v>
      </c>
      <c r="B50" s="152"/>
      <c r="C50" s="1">
        <f t="shared" si="18"/>
        <v>45866.21</v>
      </c>
      <c r="D50" t="s">
        <v>171</v>
      </c>
      <c r="E50" s="7" t="s">
        <v>182</v>
      </c>
      <c r="G50" s="4">
        <v>3</v>
      </c>
      <c r="H50" s="5">
        <f t="shared" si="20"/>
        <v>390</v>
      </c>
      <c r="I50" s="21"/>
      <c r="J50" s="28"/>
      <c r="K50" s="28">
        <f t="shared" si="29"/>
        <v>0</v>
      </c>
      <c r="L50" s="30">
        <v>21.3</v>
      </c>
      <c r="M50" s="26">
        <v>51.7</v>
      </c>
      <c r="N50" s="31">
        <f t="shared" si="3"/>
        <v>30.400000000000002</v>
      </c>
      <c r="O50" s="21"/>
      <c r="P50" s="28"/>
      <c r="Q50" s="22">
        <f t="shared" si="4"/>
        <v>0</v>
      </c>
      <c r="R50" s="26"/>
      <c r="S50" s="26"/>
      <c r="T50" s="31">
        <f t="shared" si="5"/>
        <v>0</v>
      </c>
      <c r="U50" s="26">
        <f t="shared" si="15"/>
        <v>0</v>
      </c>
      <c r="V50" s="26">
        <f t="shared" si="16"/>
        <v>30.400000000000002</v>
      </c>
      <c r="W50" s="26">
        <f t="shared" si="6"/>
        <v>30.400000000000002</v>
      </c>
      <c r="X50" s="36">
        <f t="shared" si="7"/>
        <v>4104</v>
      </c>
      <c r="Y50" s="389">
        <f t="shared" si="8"/>
        <v>5060</v>
      </c>
      <c r="Z50" s="38"/>
      <c r="AA50" s="38">
        <v>1</v>
      </c>
      <c r="AB50" s="38">
        <v>1</v>
      </c>
      <c r="AC50" s="38">
        <v>13170</v>
      </c>
      <c r="AD50" s="157">
        <f t="shared" si="19"/>
        <v>575</v>
      </c>
      <c r="AE50" s="34">
        <v>11</v>
      </c>
      <c r="AF50" s="35">
        <v>0.5</v>
      </c>
      <c r="AG50" s="392">
        <f>Table3[[#This Row],[Active hours (Other than drilling)]]*$AF$1</f>
        <v>230</v>
      </c>
      <c r="AH50" s="44">
        <v>0.5</v>
      </c>
      <c r="AI50" s="13"/>
      <c r="AJ50" s="392" cm="1">
        <f t="array" ref="AJ50">SUM(Table3[[#This Row],[Inactive Hours (Other than client standby)]:[Standby Total Hours]]*$AI$1)</f>
        <v>180</v>
      </c>
      <c r="AK50" s="45"/>
      <c r="AL50" s="23"/>
      <c r="AM50" s="25">
        <f t="shared" si="21"/>
        <v>12</v>
      </c>
      <c r="AN50" s="396">
        <f t="shared" si="22"/>
        <v>410</v>
      </c>
      <c r="AO50" s="53">
        <f t="shared" si="30"/>
        <v>390</v>
      </c>
      <c r="AP50" s="398"/>
      <c r="AQ50" s="401">
        <f t="shared" si="23"/>
        <v>6435</v>
      </c>
      <c r="AR50" s="298">
        <v>6435</v>
      </c>
      <c r="AS50" s="18">
        <f>SUM($AQ$6:AQ50)</f>
        <v>257999.35999999993</v>
      </c>
      <c r="AT50" t="str">
        <f t="shared" si="24"/>
        <v>07</v>
      </c>
      <c r="AU50">
        <f t="shared" si="25"/>
        <v>28</v>
      </c>
      <c r="AV50" t="str">
        <f t="shared" si="26"/>
        <v>D</v>
      </c>
    </row>
    <row r="51" spans="1:48">
      <c r="A51" s="152" t="s">
        <v>9</v>
      </c>
      <c r="B51" s="152"/>
      <c r="C51" s="1">
        <f t="shared" si="18"/>
        <v>45866.71</v>
      </c>
      <c r="D51" t="s">
        <v>172</v>
      </c>
      <c r="E51" s="7" t="s">
        <v>182</v>
      </c>
      <c r="G51" s="4">
        <v>3</v>
      </c>
      <c r="H51" s="5">
        <f t="shared" si="20"/>
        <v>390</v>
      </c>
      <c r="I51" s="21"/>
      <c r="J51" s="28"/>
      <c r="K51" s="28">
        <f t="shared" si="29"/>
        <v>0</v>
      </c>
      <c r="L51" s="30">
        <v>51.7</v>
      </c>
      <c r="M51" s="26">
        <v>78.7</v>
      </c>
      <c r="N51" s="31">
        <f t="shared" si="3"/>
        <v>27</v>
      </c>
      <c r="O51" s="21"/>
      <c r="P51" s="28"/>
      <c r="Q51" s="22">
        <f t="shared" si="4"/>
        <v>0</v>
      </c>
      <c r="R51" s="26"/>
      <c r="S51" s="26"/>
      <c r="T51" s="31">
        <f t="shared" si="5"/>
        <v>0</v>
      </c>
      <c r="U51" s="26">
        <f t="shared" si="15"/>
        <v>0</v>
      </c>
      <c r="V51" s="26">
        <f t="shared" si="16"/>
        <v>27</v>
      </c>
      <c r="W51" s="26">
        <f t="shared" si="6"/>
        <v>27</v>
      </c>
      <c r="X51" s="36">
        <f t="shared" si="7"/>
        <v>3645</v>
      </c>
      <c r="Y51" s="389">
        <f t="shared" si="8"/>
        <v>4945</v>
      </c>
      <c r="Z51" s="38"/>
      <c r="AA51" s="38"/>
      <c r="AB51" s="38"/>
      <c r="AC51" s="38"/>
      <c r="AD51" s="157">
        <f t="shared" si="19"/>
        <v>0</v>
      </c>
      <c r="AE51" s="34">
        <v>10.75</v>
      </c>
      <c r="AF51" s="35">
        <v>0.25</v>
      </c>
      <c r="AG51" s="392">
        <f>Table3[[#This Row],[Active hours (Other than drilling)]]*$AF$1</f>
        <v>115</v>
      </c>
      <c r="AH51" s="44">
        <v>0.5</v>
      </c>
      <c r="AI51" s="13"/>
      <c r="AJ51" s="392" cm="1">
        <f t="array" ref="AJ51">SUM(Table3[[#This Row],[Inactive Hours (Other than client standby)]:[Standby Total Hours]]*$AI$1)</f>
        <v>180</v>
      </c>
      <c r="AK51" s="45"/>
      <c r="AL51" s="23">
        <v>0.5</v>
      </c>
      <c r="AM51" s="25">
        <f t="shared" si="21"/>
        <v>12</v>
      </c>
      <c r="AN51" s="396">
        <f t="shared" si="22"/>
        <v>295</v>
      </c>
      <c r="AO51" s="53">
        <f t="shared" si="30"/>
        <v>390</v>
      </c>
      <c r="AP51" s="398"/>
      <c r="AQ51" s="401">
        <f t="shared" si="23"/>
        <v>5630</v>
      </c>
      <c r="AR51" s="298">
        <v>5630</v>
      </c>
      <c r="AS51" s="18">
        <f>SUM($AQ$6:AQ51)</f>
        <v>263629.35999999993</v>
      </c>
      <c r="AT51" t="str">
        <f t="shared" si="24"/>
        <v>07</v>
      </c>
      <c r="AU51">
        <f t="shared" si="25"/>
        <v>28</v>
      </c>
      <c r="AV51" t="str">
        <f t="shared" si="26"/>
        <v>N</v>
      </c>
    </row>
    <row r="52" spans="1:48">
      <c r="A52" s="152" t="s">
        <v>9</v>
      </c>
      <c r="B52" s="152"/>
      <c r="C52" s="1">
        <f t="shared" si="18"/>
        <v>45867.21</v>
      </c>
      <c r="D52" t="s">
        <v>171</v>
      </c>
      <c r="E52" s="7" t="s">
        <v>182</v>
      </c>
      <c r="G52" s="4">
        <v>3</v>
      </c>
      <c r="H52" s="5">
        <f t="shared" si="20"/>
        <v>390</v>
      </c>
      <c r="I52" s="21"/>
      <c r="J52" s="28"/>
      <c r="K52" s="28">
        <f t="shared" si="29"/>
        <v>0</v>
      </c>
      <c r="L52" s="30">
        <v>78.7</v>
      </c>
      <c r="M52" s="26">
        <v>92.7</v>
      </c>
      <c r="N52" s="31">
        <f t="shared" si="3"/>
        <v>14</v>
      </c>
      <c r="O52" s="21"/>
      <c r="P52" s="28"/>
      <c r="Q52" s="22">
        <f t="shared" si="4"/>
        <v>0</v>
      </c>
      <c r="R52" s="26"/>
      <c r="S52" s="26"/>
      <c r="T52" s="31">
        <f t="shared" si="5"/>
        <v>0</v>
      </c>
      <c r="U52" s="26">
        <f t="shared" si="15"/>
        <v>0</v>
      </c>
      <c r="V52" s="26">
        <f t="shared" si="16"/>
        <v>14</v>
      </c>
      <c r="W52" s="26">
        <f t="shared" si="6"/>
        <v>14</v>
      </c>
      <c r="X52" s="36">
        <f t="shared" si="7"/>
        <v>1890</v>
      </c>
      <c r="Y52" s="389">
        <f t="shared" si="8"/>
        <v>2645</v>
      </c>
      <c r="Z52" s="38"/>
      <c r="AA52" s="38">
        <v>1</v>
      </c>
      <c r="AB52" s="38">
        <v>1</v>
      </c>
      <c r="AC52" s="38">
        <v>13170</v>
      </c>
      <c r="AD52" s="157">
        <f t="shared" si="19"/>
        <v>575</v>
      </c>
      <c r="AE52" s="34">
        <v>5.75</v>
      </c>
      <c r="AF52" s="35">
        <v>0.25</v>
      </c>
      <c r="AG52" s="392">
        <f>Table3[[#This Row],[Active hours (Other than drilling)]]*$AF$1</f>
        <v>115</v>
      </c>
      <c r="AH52" s="44">
        <v>0.5</v>
      </c>
      <c r="AI52" s="13"/>
      <c r="AJ52" s="392" cm="1">
        <f t="array" ref="AJ52">SUM(Table3[[#This Row],[Inactive Hours (Other than client standby)]:[Standby Total Hours]]*$AI$1)</f>
        <v>180</v>
      </c>
      <c r="AK52" s="45"/>
      <c r="AL52" s="23">
        <v>5.5</v>
      </c>
      <c r="AM52" s="25">
        <f t="shared" si="21"/>
        <v>12</v>
      </c>
      <c r="AN52" s="396">
        <f t="shared" si="22"/>
        <v>295</v>
      </c>
      <c r="AO52" s="53">
        <f t="shared" si="30"/>
        <v>390</v>
      </c>
      <c r="AP52" s="398"/>
      <c r="AQ52" s="401">
        <f t="shared" si="23"/>
        <v>3905</v>
      </c>
      <c r="AR52" s="298">
        <v>3905</v>
      </c>
      <c r="AS52" s="18">
        <f>SUM($AQ$6:AQ52)</f>
        <v>267534.35999999993</v>
      </c>
      <c r="AT52" t="str">
        <f t="shared" si="24"/>
        <v>07</v>
      </c>
      <c r="AU52">
        <f t="shared" si="25"/>
        <v>29</v>
      </c>
      <c r="AV52" t="str">
        <f t="shared" si="26"/>
        <v>D</v>
      </c>
    </row>
    <row r="53" spans="1:48">
      <c r="A53" s="152" t="s">
        <v>9</v>
      </c>
      <c r="B53" s="152"/>
      <c r="C53" s="1">
        <f t="shared" si="18"/>
        <v>45867.71</v>
      </c>
      <c r="D53" t="s">
        <v>172</v>
      </c>
      <c r="E53" s="7" t="s">
        <v>182</v>
      </c>
      <c r="G53" s="4">
        <v>3</v>
      </c>
      <c r="H53" s="5">
        <f t="shared" si="20"/>
        <v>390</v>
      </c>
      <c r="I53" s="21"/>
      <c r="J53" s="28"/>
      <c r="K53" s="28">
        <f t="shared" si="29"/>
        <v>0</v>
      </c>
      <c r="L53" s="30">
        <v>92.7</v>
      </c>
      <c r="M53" s="26">
        <v>107.7</v>
      </c>
      <c r="N53" s="31">
        <f t="shared" si="3"/>
        <v>15</v>
      </c>
      <c r="O53" s="21"/>
      <c r="P53" s="28"/>
      <c r="Q53" s="22">
        <f t="shared" si="4"/>
        <v>0</v>
      </c>
      <c r="R53" s="26"/>
      <c r="S53" s="26"/>
      <c r="T53" s="31">
        <f t="shared" si="5"/>
        <v>0</v>
      </c>
      <c r="U53" s="26">
        <f t="shared" si="15"/>
        <v>0</v>
      </c>
      <c r="V53" s="26">
        <f t="shared" si="16"/>
        <v>15</v>
      </c>
      <c r="W53" s="26">
        <f t="shared" si="6"/>
        <v>15</v>
      </c>
      <c r="X53" s="36">
        <f t="shared" si="7"/>
        <v>2025</v>
      </c>
      <c r="Y53" s="389">
        <f t="shared" si="8"/>
        <v>3680</v>
      </c>
      <c r="Z53" s="38"/>
      <c r="AA53" s="38"/>
      <c r="AB53" s="38"/>
      <c r="AC53" s="38"/>
      <c r="AD53" s="157">
        <f t="shared" si="19"/>
        <v>0</v>
      </c>
      <c r="AE53" s="34">
        <v>8</v>
      </c>
      <c r="AF53" s="35">
        <v>0.5</v>
      </c>
      <c r="AG53" s="392">
        <f>Table3[[#This Row],[Active hours (Other than drilling)]]*$AF$1</f>
        <v>230</v>
      </c>
      <c r="AH53" s="44">
        <v>0.5</v>
      </c>
      <c r="AI53" s="13"/>
      <c r="AJ53" s="392" cm="1">
        <f t="array" ref="AJ53">SUM(Table3[[#This Row],[Inactive Hours (Other than client standby)]:[Standby Total Hours]]*$AI$1)</f>
        <v>180</v>
      </c>
      <c r="AK53" s="45"/>
      <c r="AL53" s="23">
        <v>3</v>
      </c>
      <c r="AM53" s="25">
        <f t="shared" si="21"/>
        <v>12</v>
      </c>
      <c r="AN53" s="396">
        <f t="shared" si="22"/>
        <v>410</v>
      </c>
      <c r="AO53" s="53">
        <f t="shared" si="30"/>
        <v>527.5</v>
      </c>
      <c r="AP53" s="398">
        <v>137.5</v>
      </c>
      <c r="AQ53" s="401">
        <f t="shared" si="23"/>
        <v>4617.5</v>
      </c>
      <c r="AR53" s="298">
        <v>4617.5</v>
      </c>
      <c r="AS53" s="18">
        <f>SUM($AQ$6:AQ53)</f>
        <v>272151.85999999993</v>
      </c>
      <c r="AT53" t="str">
        <f t="shared" si="24"/>
        <v>07</v>
      </c>
      <c r="AU53">
        <f t="shared" si="25"/>
        <v>29</v>
      </c>
      <c r="AV53" t="str">
        <f t="shared" si="26"/>
        <v>N</v>
      </c>
    </row>
    <row r="54" spans="1:48">
      <c r="A54" s="152" t="s">
        <v>9</v>
      </c>
      <c r="B54" s="152">
        <v>1</v>
      </c>
      <c r="C54" s="1">
        <f t="shared" si="18"/>
        <v>45868.21</v>
      </c>
      <c r="D54" t="s">
        <v>171</v>
      </c>
      <c r="E54" s="7" t="s">
        <v>182</v>
      </c>
      <c r="G54" s="4">
        <v>3</v>
      </c>
      <c r="H54" s="5">
        <f t="shared" si="20"/>
        <v>390</v>
      </c>
      <c r="I54" s="21"/>
      <c r="J54" s="28"/>
      <c r="K54" s="28">
        <f t="shared" si="29"/>
        <v>0</v>
      </c>
      <c r="L54" s="30">
        <v>107.7</v>
      </c>
      <c r="M54" s="26">
        <v>130</v>
      </c>
      <c r="N54" s="31">
        <f t="shared" si="3"/>
        <v>22.299999999999997</v>
      </c>
      <c r="O54" s="21"/>
      <c r="P54" s="28"/>
      <c r="Q54" s="22">
        <f t="shared" si="4"/>
        <v>0</v>
      </c>
      <c r="R54" s="26"/>
      <c r="S54" s="26"/>
      <c r="T54" s="31">
        <f t="shared" si="5"/>
        <v>0</v>
      </c>
      <c r="U54" s="26">
        <f t="shared" si="15"/>
        <v>0</v>
      </c>
      <c r="V54" s="26">
        <f t="shared" si="16"/>
        <v>22.299999999999997</v>
      </c>
      <c r="W54" s="26">
        <f t="shared" si="6"/>
        <v>22.299999999999997</v>
      </c>
      <c r="X54" s="36">
        <f t="shared" si="7"/>
        <v>3010.4999999999995</v>
      </c>
      <c r="Y54" s="389">
        <f t="shared" si="8"/>
        <v>4370</v>
      </c>
      <c r="Z54" s="38"/>
      <c r="AA54" s="38">
        <v>1</v>
      </c>
      <c r="AB54" s="38">
        <v>1</v>
      </c>
      <c r="AC54" s="38">
        <v>13170</v>
      </c>
      <c r="AD54" s="157">
        <f t="shared" si="19"/>
        <v>575</v>
      </c>
      <c r="AE54" s="34">
        <v>9.5</v>
      </c>
      <c r="AF54" s="35">
        <v>1.5</v>
      </c>
      <c r="AG54" s="392">
        <f>Table3[[#This Row],[Active hours (Other than drilling)]]*$AF$1</f>
        <v>690</v>
      </c>
      <c r="AH54" s="44">
        <v>1</v>
      </c>
      <c r="AI54" s="13"/>
      <c r="AJ54" s="392" cm="1">
        <f t="array" ref="AJ54">SUM(Table3[[#This Row],[Inactive Hours (Other than client standby)]:[Standby Total Hours]]*$AI$1)</f>
        <v>360</v>
      </c>
      <c r="AK54" s="45"/>
      <c r="AL54" s="23"/>
      <c r="AM54" s="25">
        <f t="shared" si="21"/>
        <v>12</v>
      </c>
      <c r="AN54" s="396">
        <f t="shared" si="22"/>
        <v>1050</v>
      </c>
      <c r="AO54" s="53">
        <f t="shared" si="30"/>
        <v>390</v>
      </c>
      <c r="AP54" s="398"/>
      <c r="AQ54" s="401">
        <f t="shared" si="23"/>
        <v>6385</v>
      </c>
      <c r="AR54" s="298">
        <v>6385</v>
      </c>
      <c r="AS54" s="18">
        <f>SUM($AQ$6:AQ54)</f>
        <v>278536.85999999993</v>
      </c>
      <c r="AT54" t="str">
        <f t="shared" si="24"/>
        <v>07</v>
      </c>
      <c r="AU54">
        <f t="shared" si="25"/>
        <v>30</v>
      </c>
      <c r="AV54" t="str">
        <f t="shared" si="26"/>
        <v>D</v>
      </c>
    </row>
    <row r="55" spans="1:48">
      <c r="A55" s="152" t="s">
        <v>9</v>
      </c>
      <c r="B55" s="152">
        <v>1</v>
      </c>
      <c r="C55" s="1">
        <f t="shared" si="18"/>
        <v>45868.71</v>
      </c>
      <c r="D55" t="s">
        <v>172</v>
      </c>
      <c r="E55" s="7" t="s">
        <v>182</v>
      </c>
      <c r="F55" t="s">
        <v>183</v>
      </c>
      <c r="G55" s="4">
        <v>3</v>
      </c>
      <c r="H55" s="5">
        <f t="shared" si="20"/>
        <v>390</v>
      </c>
      <c r="I55" s="21"/>
      <c r="J55" s="28"/>
      <c r="K55" s="28">
        <f t="shared" si="29"/>
        <v>0</v>
      </c>
      <c r="L55" s="30">
        <v>0</v>
      </c>
      <c r="M55" s="26">
        <v>1.7</v>
      </c>
      <c r="N55" s="31">
        <f t="shared" si="3"/>
        <v>1.7</v>
      </c>
      <c r="O55" s="21"/>
      <c r="P55" s="28"/>
      <c r="Q55" s="22">
        <f t="shared" si="4"/>
        <v>0</v>
      </c>
      <c r="R55" s="26"/>
      <c r="S55" s="26"/>
      <c r="T55" s="31">
        <f t="shared" si="5"/>
        <v>0</v>
      </c>
      <c r="U55" s="26">
        <f t="shared" si="15"/>
        <v>0</v>
      </c>
      <c r="V55" s="26">
        <f t="shared" si="16"/>
        <v>1.7</v>
      </c>
      <c r="W55" s="26">
        <f t="shared" si="6"/>
        <v>1.7</v>
      </c>
      <c r="X55" s="36">
        <f t="shared" si="7"/>
        <v>229.5</v>
      </c>
      <c r="Y55" s="389">
        <f t="shared" si="8"/>
        <v>345</v>
      </c>
      <c r="Z55" s="38"/>
      <c r="AA55" s="38"/>
      <c r="AB55" s="38"/>
      <c r="AC55" s="38"/>
      <c r="AD55" s="157">
        <f t="shared" si="19"/>
        <v>0</v>
      </c>
      <c r="AE55" s="34">
        <v>0.75</v>
      </c>
      <c r="AF55" s="35">
        <v>6.5</v>
      </c>
      <c r="AG55" s="392">
        <f>Table3[[#This Row],[Active hours (Other than drilling)]]*$AF$1</f>
        <v>2990</v>
      </c>
      <c r="AH55" s="44">
        <v>4.75</v>
      </c>
      <c r="AI55" s="13"/>
      <c r="AJ55" s="392" cm="1">
        <f t="array" ref="AJ55">SUM(Table3[[#This Row],[Inactive Hours (Other than client standby)]:[Standby Total Hours]]*$AI$1)</f>
        <v>1710</v>
      </c>
      <c r="AK55" s="45"/>
      <c r="AL55" s="23"/>
      <c r="AM55" s="25">
        <f t="shared" si="21"/>
        <v>12</v>
      </c>
      <c r="AN55" s="396">
        <f t="shared" si="22"/>
        <v>4700</v>
      </c>
      <c r="AO55" s="53">
        <f t="shared" si="30"/>
        <v>390</v>
      </c>
      <c r="AP55" s="398"/>
      <c r="AQ55" s="401">
        <f t="shared" si="23"/>
        <v>5435</v>
      </c>
      <c r="AR55" s="298">
        <v>5435</v>
      </c>
      <c r="AS55" s="18">
        <f>SUM($AQ$6:AQ55)</f>
        <v>283971.85999999993</v>
      </c>
      <c r="AT55" t="str">
        <f t="shared" si="24"/>
        <v>07</v>
      </c>
      <c r="AU55">
        <f t="shared" si="25"/>
        <v>30</v>
      </c>
      <c r="AV55" t="str">
        <f t="shared" si="26"/>
        <v>N</v>
      </c>
    </row>
    <row r="56" spans="1:48">
      <c r="A56" s="152" t="s">
        <v>9</v>
      </c>
      <c r="B56" s="152">
        <v>1</v>
      </c>
      <c r="C56" s="1">
        <f t="shared" si="18"/>
        <v>45869.21</v>
      </c>
      <c r="D56" t="s">
        <v>171</v>
      </c>
      <c r="E56" s="7" t="s">
        <v>180</v>
      </c>
      <c r="G56" s="4">
        <v>3</v>
      </c>
      <c r="H56" s="5">
        <f t="shared" si="20"/>
        <v>390</v>
      </c>
      <c r="I56" s="21">
        <v>0</v>
      </c>
      <c r="J56" s="28">
        <v>6.4</v>
      </c>
      <c r="K56" s="28">
        <f t="shared" si="29"/>
        <v>6.4</v>
      </c>
      <c r="L56" s="30"/>
      <c r="M56" s="26"/>
      <c r="N56" s="31">
        <f t="shared" si="3"/>
        <v>0</v>
      </c>
      <c r="O56" s="21"/>
      <c r="P56" s="28"/>
      <c r="Q56" s="22">
        <f t="shared" si="4"/>
        <v>0</v>
      </c>
      <c r="R56" s="26"/>
      <c r="S56" s="26"/>
      <c r="T56" s="31">
        <f t="shared" si="5"/>
        <v>0</v>
      </c>
      <c r="U56" s="26">
        <f t="shared" si="15"/>
        <v>6.4</v>
      </c>
      <c r="V56" s="26">
        <f t="shared" si="16"/>
        <v>0</v>
      </c>
      <c r="W56" s="26">
        <f t="shared" si="6"/>
        <v>6.4</v>
      </c>
      <c r="X56" s="36">
        <f t="shared" si="7"/>
        <v>1120</v>
      </c>
      <c r="Y56" s="389">
        <f t="shared" si="8"/>
        <v>1840</v>
      </c>
      <c r="Z56" s="38"/>
      <c r="AA56" s="38">
        <v>1</v>
      </c>
      <c r="AB56" s="38">
        <v>1</v>
      </c>
      <c r="AC56" s="38">
        <v>13170</v>
      </c>
      <c r="AD56" s="157">
        <f t="shared" si="19"/>
        <v>575</v>
      </c>
      <c r="AE56" s="34">
        <v>4</v>
      </c>
      <c r="AF56" s="35">
        <v>4.5</v>
      </c>
      <c r="AG56" s="392">
        <f>Table3[[#This Row],[Active hours (Other than drilling)]]*$AF$1</f>
        <v>2070</v>
      </c>
      <c r="AH56" s="44">
        <v>3.5</v>
      </c>
      <c r="AI56" s="13"/>
      <c r="AJ56" s="392" cm="1">
        <f t="array" ref="AJ56">SUM(Table3[[#This Row],[Inactive Hours (Other than client standby)]:[Standby Total Hours]]*$AI$1)</f>
        <v>1260</v>
      </c>
      <c r="AK56" s="45"/>
      <c r="AL56" s="23"/>
      <c r="AM56" s="25">
        <f t="shared" si="21"/>
        <v>12</v>
      </c>
      <c r="AN56" s="396">
        <f t="shared" si="22"/>
        <v>3330</v>
      </c>
      <c r="AO56" s="53">
        <f t="shared" si="30"/>
        <v>390</v>
      </c>
      <c r="AP56" s="398"/>
      <c r="AQ56" s="401">
        <f t="shared" si="23"/>
        <v>6135</v>
      </c>
      <c r="AR56" s="298">
        <v>6135</v>
      </c>
      <c r="AS56" s="18">
        <f>SUM($AQ$6:AQ56)</f>
        <v>290106.85999999993</v>
      </c>
      <c r="AT56" t="str">
        <f t="shared" si="24"/>
        <v>07</v>
      </c>
      <c r="AU56">
        <f t="shared" si="25"/>
        <v>31</v>
      </c>
      <c r="AV56" t="str">
        <f t="shared" si="26"/>
        <v>D</v>
      </c>
    </row>
    <row r="57" spans="1:48">
      <c r="A57" s="152" t="str">
        <f t="shared" ref="A57:A59" si="31">IFERROR(IF(FIND("MET",E57),"MET",IF(FIND("GT",E57),"GT",)),"")</f>
        <v>MET</v>
      </c>
      <c r="B57" s="152"/>
      <c r="C57" s="1">
        <f t="shared" si="18"/>
        <v>45869.71</v>
      </c>
      <c r="D57" t="s">
        <v>172</v>
      </c>
      <c r="E57" s="7" t="s">
        <v>184</v>
      </c>
      <c r="G57" s="4">
        <v>3</v>
      </c>
      <c r="H57" s="5">
        <f t="shared" si="20"/>
        <v>390</v>
      </c>
      <c r="I57" s="21">
        <v>1.2</v>
      </c>
      <c r="J57" s="28">
        <v>15.5</v>
      </c>
      <c r="K57" s="28">
        <f t="shared" si="29"/>
        <v>14.3</v>
      </c>
      <c r="L57" s="30"/>
      <c r="M57" s="26"/>
      <c r="N57" s="31">
        <f t="shared" si="3"/>
        <v>0</v>
      </c>
      <c r="O57" s="21"/>
      <c r="P57" s="28"/>
      <c r="Q57" s="22">
        <f t="shared" si="4"/>
        <v>0</v>
      </c>
      <c r="R57" s="26"/>
      <c r="S57" s="26"/>
      <c r="T57" s="31">
        <f t="shared" si="5"/>
        <v>0</v>
      </c>
      <c r="U57" s="26">
        <f t="shared" si="15"/>
        <v>14.3</v>
      </c>
      <c r="V57" s="26">
        <f t="shared" si="16"/>
        <v>0</v>
      </c>
      <c r="W57" s="26">
        <f t="shared" si="6"/>
        <v>14.3</v>
      </c>
      <c r="X57" s="36">
        <f t="shared" si="7"/>
        <v>2502.5</v>
      </c>
      <c r="Y57" s="389">
        <f t="shared" si="8"/>
        <v>4255</v>
      </c>
      <c r="Z57" s="38"/>
      <c r="AA57" s="38"/>
      <c r="AB57" s="38"/>
      <c r="AC57" s="38"/>
      <c r="AD57" s="157">
        <f t="shared" si="19"/>
        <v>0</v>
      </c>
      <c r="AE57" s="34">
        <v>9.25</v>
      </c>
      <c r="AF57" s="35">
        <v>2.25</v>
      </c>
      <c r="AG57" s="392">
        <f>Table3[[#This Row],[Active hours (Other than drilling)]]*$AF$1</f>
        <v>1035</v>
      </c>
      <c r="AH57" s="44">
        <v>0.5</v>
      </c>
      <c r="AI57" s="13"/>
      <c r="AJ57" s="392" cm="1">
        <f t="array" ref="AJ57">SUM(Table3[[#This Row],[Inactive Hours (Other than client standby)]:[Standby Total Hours]]*$AI$1)</f>
        <v>180</v>
      </c>
      <c r="AK57" s="45"/>
      <c r="AL57" s="23"/>
      <c r="AM57" s="25">
        <f t="shared" si="21"/>
        <v>12</v>
      </c>
      <c r="AN57" s="396">
        <f t="shared" si="22"/>
        <v>1215</v>
      </c>
      <c r="AO57" s="53">
        <f>14376.12</f>
        <v>14376.12</v>
      </c>
      <c r="AP57" s="398">
        <f>AO57-H57</f>
        <v>13986.12</v>
      </c>
      <c r="AQ57" s="401">
        <f t="shared" si="23"/>
        <v>19846.120000000003</v>
      </c>
      <c r="AR57" s="298">
        <v>19846.12</v>
      </c>
      <c r="AS57" s="18">
        <f>SUM($AQ$6:AQ57)</f>
        <v>309952.97999999992</v>
      </c>
      <c r="AT57" t="str">
        <f t="shared" si="24"/>
        <v>07</v>
      </c>
      <c r="AU57">
        <f t="shared" si="25"/>
        <v>31</v>
      </c>
      <c r="AV57" t="str">
        <f t="shared" si="26"/>
        <v>N</v>
      </c>
    </row>
    <row r="58" spans="1:48">
      <c r="A58" s="152" t="str">
        <f t="shared" si="31"/>
        <v>MET</v>
      </c>
      <c r="B58" s="152"/>
      <c r="C58" s="1">
        <f t="shared" si="18"/>
        <v>45870.21</v>
      </c>
      <c r="D58" t="s">
        <v>171</v>
      </c>
      <c r="E58" s="7" t="s">
        <v>184</v>
      </c>
      <c r="G58" s="4">
        <v>3</v>
      </c>
      <c r="H58" s="5">
        <f t="shared" si="20"/>
        <v>390</v>
      </c>
      <c r="I58" s="21">
        <v>15.5</v>
      </c>
      <c r="J58" s="28">
        <v>45.5</v>
      </c>
      <c r="K58" s="28">
        <f t="shared" si="29"/>
        <v>30</v>
      </c>
      <c r="L58" s="30"/>
      <c r="M58" s="26"/>
      <c r="N58" s="31">
        <f t="shared" si="3"/>
        <v>0</v>
      </c>
      <c r="O58" s="21"/>
      <c r="P58" s="28"/>
      <c r="Q58" s="22">
        <f t="shared" si="4"/>
        <v>0</v>
      </c>
      <c r="R58" s="26"/>
      <c r="S58" s="26"/>
      <c r="T58" s="31">
        <f t="shared" si="5"/>
        <v>0</v>
      </c>
      <c r="U58" s="26">
        <f t="shared" si="15"/>
        <v>30</v>
      </c>
      <c r="V58" s="26">
        <f t="shared" si="16"/>
        <v>0</v>
      </c>
      <c r="W58" s="26">
        <f t="shared" si="6"/>
        <v>30</v>
      </c>
      <c r="X58" s="36">
        <f t="shared" si="7"/>
        <v>5250</v>
      </c>
      <c r="Y58" s="389">
        <f t="shared" si="8"/>
        <v>5250</v>
      </c>
      <c r="Z58" s="38">
        <v>1</v>
      </c>
      <c r="AA58" s="38">
        <v>1</v>
      </c>
      <c r="AB58" s="38">
        <v>1</v>
      </c>
      <c r="AC58" s="38">
        <v>13170</v>
      </c>
      <c r="AD58" s="157">
        <f t="shared" si="19"/>
        <v>750</v>
      </c>
      <c r="AE58" s="34">
        <v>11</v>
      </c>
      <c r="AF58" s="35">
        <v>0.5</v>
      </c>
      <c r="AG58" s="392">
        <f>Table3[[#This Row],[Active hours (Other than drilling)]]*$AF$1</f>
        <v>230</v>
      </c>
      <c r="AH58" s="44">
        <v>0.5</v>
      </c>
      <c r="AI58" s="13"/>
      <c r="AJ58" s="157" cm="1">
        <f t="array" ref="AJ58">SUM(Table3[[#This Row],[Inactive Hours (Other than client standby)]:[Standby Total Hours]]*$AI55)</f>
        <v>0</v>
      </c>
      <c r="AK58" s="45"/>
      <c r="AL58" s="23"/>
      <c r="AM58" s="25">
        <f t="shared" si="21"/>
        <v>12</v>
      </c>
      <c r="AN58" s="396">
        <f t="shared" si="22"/>
        <v>410</v>
      </c>
      <c r="AO58" s="53">
        <f>AP58+H58</f>
        <v>390</v>
      </c>
      <c r="AP58" s="398"/>
      <c r="AQ58" s="401">
        <f t="shared" si="23"/>
        <v>6800</v>
      </c>
      <c r="AR58" s="298">
        <v>6800</v>
      </c>
      <c r="AS58" s="18">
        <f>SUM($AQ$6:AQ58)</f>
        <v>316752.97999999992</v>
      </c>
      <c r="AT58" t="str">
        <f t="shared" si="24"/>
        <v>08</v>
      </c>
      <c r="AU58">
        <f t="shared" si="25"/>
        <v>1</v>
      </c>
      <c r="AV58" t="str">
        <f t="shared" si="26"/>
        <v>D</v>
      </c>
    </row>
    <row r="59" spans="1:48">
      <c r="A59" s="152" t="str">
        <f t="shared" si="31"/>
        <v>MET</v>
      </c>
      <c r="B59" s="152">
        <v>1</v>
      </c>
      <c r="C59" s="1">
        <f t="shared" si="18"/>
        <v>45870.71</v>
      </c>
      <c r="D59" t="s">
        <v>172</v>
      </c>
      <c r="E59" s="7" t="s">
        <v>184</v>
      </c>
      <c r="G59" s="4">
        <v>3</v>
      </c>
      <c r="H59" s="5">
        <f t="shared" si="20"/>
        <v>390</v>
      </c>
      <c r="I59" s="21">
        <v>45.5</v>
      </c>
      <c r="J59" s="28">
        <v>50</v>
      </c>
      <c r="K59" s="28">
        <f t="shared" si="29"/>
        <v>4.5</v>
      </c>
      <c r="L59" s="30"/>
      <c r="M59" s="26"/>
      <c r="N59" s="31">
        <f t="shared" si="3"/>
        <v>0</v>
      </c>
      <c r="O59" s="21"/>
      <c r="P59" s="28"/>
      <c r="Q59" s="22">
        <f t="shared" si="4"/>
        <v>0</v>
      </c>
      <c r="R59" s="26"/>
      <c r="S59" s="26"/>
      <c r="T59" s="31">
        <f t="shared" si="5"/>
        <v>0</v>
      </c>
      <c r="U59" s="26">
        <f t="shared" si="15"/>
        <v>4.5</v>
      </c>
      <c r="V59" s="26">
        <f t="shared" si="16"/>
        <v>0</v>
      </c>
      <c r="W59" s="26">
        <f t="shared" si="6"/>
        <v>4.5</v>
      </c>
      <c r="X59" s="36">
        <f t="shared" si="7"/>
        <v>787.5</v>
      </c>
      <c r="Y59" s="389">
        <f t="shared" si="8"/>
        <v>920</v>
      </c>
      <c r="Z59" s="38"/>
      <c r="AA59" s="38"/>
      <c r="AB59" s="38"/>
      <c r="AC59" s="38"/>
      <c r="AD59" s="157">
        <f t="shared" si="19"/>
        <v>0</v>
      </c>
      <c r="AE59" s="34">
        <v>2</v>
      </c>
      <c r="AF59" s="35">
        <v>9.5</v>
      </c>
      <c r="AG59" s="392">
        <f>Table3[[#This Row],[Active hours (Other than drilling)]]*$AF$1</f>
        <v>4370</v>
      </c>
      <c r="AH59" s="44">
        <v>0.5</v>
      </c>
      <c r="AI59" s="13"/>
      <c r="AJ59" s="157" cm="1">
        <f t="array" ref="AJ59">SUM(Table3[[#This Row],[Inactive Hours (Other than client standby)]:[Standby Total Hours]]*$AI56)</f>
        <v>0</v>
      </c>
      <c r="AK59" s="45"/>
      <c r="AL59" s="23"/>
      <c r="AM59" s="25">
        <f t="shared" si="21"/>
        <v>12</v>
      </c>
      <c r="AN59" s="396">
        <f t="shared" si="22"/>
        <v>4550</v>
      </c>
      <c r="AO59" s="53">
        <f>AP59+H59</f>
        <v>390</v>
      </c>
      <c r="AP59" s="398"/>
      <c r="AQ59" s="401">
        <f t="shared" si="23"/>
        <v>5860</v>
      </c>
      <c r="AR59" s="298">
        <v>5860</v>
      </c>
      <c r="AS59" s="18">
        <f>SUM($AQ$6:AQ59)</f>
        <v>322612.97999999992</v>
      </c>
      <c r="AT59" t="str">
        <f t="shared" si="24"/>
        <v>08</v>
      </c>
      <c r="AU59">
        <f t="shared" si="25"/>
        <v>1</v>
      </c>
      <c r="AV59" t="str">
        <f t="shared" si="26"/>
        <v>N</v>
      </c>
    </row>
    <row r="60" spans="1:48">
      <c r="A60" s="152" t="s">
        <v>9</v>
      </c>
      <c r="B60" s="152"/>
      <c r="C60" s="1">
        <f t="shared" si="18"/>
        <v>45871.21</v>
      </c>
      <c r="D60" t="s">
        <v>171</v>
      </c>
      <c r="E60" s="7" t="s">
        <v>185</v>
      </c>
      <c r="G60" s="4">
        <v>3</v>
      </c>
      <c r="H60" s="5">
        <f t="shared" si="20"/>
        <v>390</v>
      </c>
      <c r="I60" s="21"/>
      <c r="J60" s="28"/>
      <c r="K60" s="28">
        <f>IF(ISBLANK(I60),0,J60-I60)</f>
        <v>0</v>
      </c>
      <c r="L60" s="30">
        <v>0</v>
      </c>
      <c r="M60" s="26">
        <v>15.7</v>
      </c>
      <c r="N60" s="31">
        <f t="shared" si="3"/>
        <v>15.7</v>
      </c>
      <c r="O60" s="21"/>
      <c r="P60" s="28"/>
      <c r="Q60" s="22">
        <f t="shared" si="4"/>
        <v>0</v>
      </c>
      <c r="R60" s="26"/>
      <c r="S60" s="26"/>
      <c r="T60" s="31">
        <f t="shared" si="5"/>
        <v>0</v>
      </c>
      <c r="U60" s="26">
        <f t="shared" si="15"/>
        <v>0</v>
      </c>
      <c r="V60" s="26">
        <f t="shared" si="16"/>
        <v>15.7</v>
      </c>
      <c r="W60" s="26">
        <f t="shared" si="6"/>
        <v>15.7</v>
      </c>
      <c r="X60" s="36">
        <f t="shared" si="7"/>
        <v>2119.5</v>
      </c>
      <c r="Y60" s="389">
        <f t="shared" si="8"/>
        <v>2990</v>
      </c>
      <c r="Z60" s="38">
        <v>1</v>
      </c>
      <c r="AA60" s="38">
        <v>1</v>
      </c>
      <c r="AB60" s="38">
        <v>1</v>
      </c>
      <c r="AC60" s="38">
        <v>13170</v>
      </c>
      <c r="AD60" s="157">
        <f t="shared" si="19"/>
        <v>750</v>
      </c>
      <c r="AE60" s="34">
        <v>6.5</v>
      </c>
      <c r="AF60" s="35">
        <v>2</v>
      </c>
      <c r="AG60" s="392">
        <f>Table3[[#This Row],[Active hours (Other than drilling)]]*$AF$1</f>
        <v>920</v>
      </c>
      <c r="AH60" s="44">
        <v>1.5</v>
      </c>
      <c r="AI60" s="13">
        <v>2</v>
      </c>
      <c r="AJ60" s="157" cm="1">
        <f t="array" ref="AJ60">SUM(Table3[[#This Row],[Inactive Hours (Other than client standby)]:[Standby Total Hours]]*$AI57)</f>
        <v>0</v>
      </c>
      <c r="AK60" s="45"/>
      <c r="AL60" s="23"/>
      <c r="AM60" s="25">
        <f t="shared" si="21"/>
        <v>12</v>
      </c>
      <c r="AN60" s="396">
        <f t="shared" si="22"/>
        <v>2180</v>
      </c>
      <c r="AO60" s="53">
        <v>880.7</v>
      </c>
      <c r="AP60" s="398">
        <f t="shared" ref="AP60:AP75" si="32">AO60-H60</f>
        <v>490.70000000000005</v>
      </c>
      <c r="AQ60" s="401">
        <f t="shared" si="23"/>
        <v>6800.7</v>
      </c>
      <c r="AR60" s="298">
        <v>6800.7</v>
      </c>
      <c r="AS60" s="18">
        <f>SUM($AQ$6:AQ60)</f>
        <v>329413.67999999993</v>
      </c>
      <c r="AT60" t="str">
        <f t="shared" si="24"/>
        <v>08</v>
      </c>
      <c r="AU60">
        <f t="shared" si="25"/>
        <v>2</v>
      </c>
      <c r="AV60" t="str">
        <f t="shared" si="26"/>
        <v>D</v>
      </c>
    </row>
    <row r="61" spans="1:48">
      <c r="A61" s="152" t="s">
        <v>9</v>
      </c>
      <c r="B61" s="152"/>
      <c r="C61" s="1">
        <f t="shared" si="18"/>
        <v>45871.71</v>
      </c>
      <c r="D61" t="s">
        <v>172</v>
      </c>
      <c r="E61" s="7" t="s">
        <v>185</v>
      </c>
      <c r="G61" s="4">
        <v>3</v>
      </c>
      <c r="H61" s="5">
        <f t="shared" si="20"/>
        <v>390</v>
      </c>
      <c r="I61" s="21"/>
      <c r="J61" s="28"/>
      <c r="K61" s="28">
        <f t="shared" si="29"/>
        <v>0</v>
      </c>
      <c r="L61" s="30">
        <v>15.7</v>
      </c>
      <c r="M61" s="26">
        <v>45.7</v>
      </c>
      <c r="N61" s="31">
        <f t="shared" si="3"/>
        <v>30.000000000000004</v>
      </c>
      <c r="O61" s="21"/>
      <c r="P61" s="28"/>
      <c r="Q61" s="22">
        <f t="shared" si="4"/>
        <v>0</v>
      </c>
      <c r="R61" s="26"/>
      <c r="S61" s="26"/>
      <c r="T61" s="31">
        <f t="shared" si="5"/>
        <v>0</v>
      </c>
      <c r="U61" s="26">
        <f t="shared" si="15"/>
        <v>0</v>
      </c>
      <c r="V61" s="26">
        <f t="shared" si="16"/>
        <v>30.000000000000004</v>
      </c>
      <c r="W61" s="26">
        <f t="shared" si="6"/>
        <v>30.000000000000004</v>
      </c>
      <c r="X61" s="36">
        <f t="shared" si="7"/>
        <v>4050.0000000000005</v>
      </c>
      <c r="Y61" s="389">
        <f t="shared" si="8"/>
        <v>4945</v>
      </c>
      <c r="Z61" s="38"/>
      <c r="AA61" s="38"/>
      <c r="AB61" s="38"/>
      <c r="AC61" s="38"/>
      <c r="AD61" s="157">
        <f t="shared" si="19"/>
        <v>0</v>
      </c>
      <c r="AE61" s="34">
        <v>10.75</v>
      </c>
      <c r="AF61" s="35">
        <v>0.75</v>
      </c>
      <c r="AG61" s="392">
        <f>Table3[[#This Row],[Active hours (Other than drilling)]]*$AF$1</f>
        <v>345</v>
      </c>
      <c r="AH61" s="44">
        <v>0.5</v>
      </c>
      <c r="AI61" s="13"/>
      <c r="AJ61" s="157" cm="1">
        <f t="array" ref="AJ61">SUM(Table3[[#This Row],[Inactive Hours (Other than client standby)]:[Standby Total Hours]]*$AI58)</f>
        <v>0</v>
      </c>
      <c r="AK61" s="45"/>
      <c r="AL61" s="23"/>
      <c r="AM61" s="25">
        <f t="shared" si="21"/>
        <v>12</v>
      </c>
      <c r="AN61" s="396">
        <f t="shared" si="22"/>
        <v>525</v>
      </c>
      <c r="AO61" s="53">
        <v>390</v>
      </c>
      <c r="AP61" s="398">
        <f t="shared" si="32"/>
        <v>0</v>
      </c>
      <c r="AQ61" s="401">
        <f t="shared" si="23"/>
        <v>5860</v>
      </c>
      <c r="AR61" s="298">
        <v>5860</v>
      </c>
      <c r="AS61" s="18">
        <f>SUM($AQ$6:AQ61)</f>
        <v>335273.67999999993</v>
      </c>
      <c r="AT61" t="str">
        <f t="shared" si="24"/>
        <v>08</v>
      </c>
      <c r="AU61">
        <f t="shared" si="25"/>
        <v>2</v>
      </c>
      <c r="AV61" t="str">
        <f t="shared" si="26"/>
        <v>N</v>
      </c>
    </row>
    <row r="62" spans="1:48">
      <c r="A62" s="152" t="s">
        <v>9</v>
      </c>
      <c r="B62" s="152"/>
      <c r="C62" s="1">
        <f t="shared" si="18"/>
        <v>45872.21</v>
      </c>
      <c r="D62" t="s">
        <v>171</v>
      </c>
      <c r="E62" s="7" t="s">
        <v>185</v>
      </c>
      <c r="G62" s="4">
        <v>3</v>
      </c>
      <c r="H62" s="5">
        <f t="shared" si="20"/>
        <v>390</v>
      </c>
      <c r="I62" s="21"/>
      <c r="J62" s="28"/>
      <c r="K62" s="28">
        <f t="shared" si="29"/>
        <v>0</v>
      </c>
      <c r="L62" s="30">
        <v>45.7</v>
      </c>
      <c r="M62" s="26">
        <v>75.5</v>
      </c>
      <c r="N62" s="31">
        <f t="shared" si="3"/>
        <v>29.799999999999997</v>
      </c>
      <c r="O62" s="21"/>
      <c r="P62" s="28"/>
      <c r="Q62" s="22">
        <f t="shared" si="4"/>
        <v>0</v>
      </c>
      <c r="R62" s="26"/>
      <c r="S62" s="26"/>
      <c r="T62" s="31">
        <f t="shared" si="5"/>
        <v>0</v>
      </c>
      <c r="U62" s="26">
        <f t="shared" si="15"/>
        <v>0</v>
      </c>
      <c r="V62" s="26">
        <f t="shared" si="16"/>
        <v>29.799999999999997</v>
      </c>
      <c r="W62" s="26">
        <f t="shared" si="6"/>
        <v>29.799999999999997</v>
      </c>
      <c r="X62" s="36">
        <f t="shared" si="7"/>
        <v>4022.9999999999995</v>
      </c>
      <c r="Y62" s="389">
        <f t="shared" si="8"/>
        <v>5060</v>
      </c>
      <c r="Z62" s="38">
        <v>1</v>
      </c>
      <c r="AA62" s="38">
        <v>1</v>
      </c>
      <c r="AB62" s="38">
        <v>1</v>
      </c>
      <c r="AC62" s="38">
        <v>13170</v>
      </c>
      <c r="AD62" s="157">
        <f t="shared" si="19"/>
        <v>750</v>
      </c>
      <c r="AE62" s="34">
        <v>11</v>
      </c>
      <c r="AF62" s="35">
        <v>0.5</v>
      </c>
      <c r="AG62" s="392">
        <f>Table3[[#This Row],[Active hours (Other than drilling)]]*$AF$1</f>
        <v>230</v>
      </c>
      <c r="AH62" s="44">
        <v>0.5</v>
      </c>
      <c r="AI62" s="13"/>
      <c r="AJ62" s="157" cm="1">
        <f t="array" ref="AJ62">SUM(Table3[[#This Row],[Inactive Hours (Other than client standby)]:[Standby Total Hours]]*$AI59)</f>
        <v>0</v>
      </c>
      <c r="AK62" s="45"/>
      <c r="AL62" s="23"/>
      <c r="AM62" s="25">
        <f t="shared" si="21"/>
        <v>12</v>
      </c>
      <c r="AN62" s="396">
        <f t="shared" si="22"/>
        <v>410</v>
      </c>
      <c r="AO62" s="53">
        <v>390</v>
      </c>
      <c r="AP62" s="398">
        <f t="shared" si="32"/>
        <v>0</v>
      </c>
      <c r="AQ62" s="401">
        <f t="shared" si="23"/>
        <v>6610</v>
      </c>
      <c r="AR62" s="298">
        <v>6610</v>
      </c>
      <c r="AS62" s="18">
        <f>SUM($AQ$6:AQ62)</f>
        <v>341883.67999999993</v>
      </c>
      <c r="AT62" t="str">
        <f t="shared" si="24"/>
        <v>08</v>
      </c>
      <c r="AU62">
        <f t="shared" si="25"/>
        <v>3</v>
      </c>
      <c r="AV62" t="str">
        <f t="shared" si="26"/>
        <v>D</v>
      </c>
    </row>
    <row r="63" spans="1:48">
      <c r="A63" s="152" t="s">
        <v>9</v>
      </c>
      <c r="B63" s="152"/>
      <c r="C63" s="1">
        <f t="shared" si="18"/>
        <v>45872.71</v>
      </c>
      <c r="D63" t="s">
        <v>172</v>
      </c>
      <c r="E63" s="7" t="s">
        <v>185</v>
      </c>
      <c r="G63" s="4">
        <v>3</v>
      </c>
      <c r="H63" s="5">
        <f t="shared" si="20"/>
        <v>390</v>
      </c>
      <c r="I63" s="21"/>
      <c r="J63" s="28"/>
      <c r="K63" s="28">
        <f t="shared" si="29"/>
        <v>0</v>
      </c>
      <c r="L63" s="30">
        <v>75.5</v>
      </c>
      <c r="M63" s="26">
        <v>105.7</v>
      </c>
      <c r="N63" s="31">
        <f t="shared" si="3"/>
        <v>30.200000000000003</v>
      </c>
      <c r="O63" s="21"/>
      <c r="P63" s="28"/>
      <c r="Q63" s="22">
        <f t="shared" si="4"/>
        <v>0</v>
      </c>
      <c r="R63" s="26"/>
      <c r="S63" s="26"/>
      <c r="T63" s="31">
        <f t="shared" si="5"/>
        <v>0</v>
      </c>
      <c r="U63" s="26">
        <f t="shared" si="15"/>
        <v>0</v>
      </c>
      <c r="V63" s="26">
        <f t="shared" si="16"/>
        <v>30.200000000000003</v>
      </c>
      <c r="W63" s="26">
        <f t="shared" si="6"/>
        <v>30.200000000000003</v>
      </c>
      <c r="X63" s="36">
        <f>IFERROR((K63*$K$1)+(N63*$N$1)+(Q63*$Q$1)+(T63*$T$1),"")</f>
        <v>4077.0000000000005</v>
      </c>
      <c r="Y63" s="389">
        <f t="shared" si="8"/>
        <v>4945</v>
      </c>
      <c r="Z63" s="38"/>
      <c r="AA63" s="38"/>
      <c r="AB63" s="38"/>
      <c r="AC63" s="38"/>
      <c r="AD63" s="157">
        <f t="shared" si="19"/>
        <v>0</v>
      </c>
      <c r="AE63" s="34">
        <v>10.75</v>
      </c>
      <c r="AF63" s="35">
        <v>0.25</v>
      </c>
      <c r="AG63" s="392">
        <f>Table3[[#This Row],[Active hours (Other than drilling)]]*$AF$1</f>
        <v>115</v>
      </c>
      <c r="AH63" s="44">
        <v>0.5</v>
      </c>
      <c r="AI63" s="13"/>
      <c r="AJ63" s="157" cm="1">
        <f t="array" ref="AJ63">SUM(Table3[[#This Row],[Inactive Hours (Other than client standby)]:[Standby Total Hours]]*$AI60)</f>
        <v>1</v>
      </c>
      <c r="AK63" s="45">
        <v>0.5</v>
      </c>
      <c r="AL63" s="23"/>
      <c r="AM63" s="25">
        <f t="shared" si="21"/>
        <v>12</v>
      </c>
      <c r="AN63" s="396">
        <f t="shared" si="22"/>
        <v>295</v>
      </c>
      <c r="AO63" s="53">
        <v>390</v>
      </c>
      <c r="AP63" s="398">
        <f t="shared" si="32"/>
        <v>0</v>
      </c>
      <c r="AQ63" s="401">
        <f t="shared" si="23"/>
        <v>5630</v>
      </c>
      <c r="AR63" s="298">
        <v>5630</v>
      </c>
      <c r="AS63" s="18">
        <f>SUM($AQ$6:AQ63)</f>
        <v>347513.67999999993</v>
      </c>
      <c r="AT63" t="str">
        <f t="shared" si="24"/>
        <v>08</v>
      </c>
      <c r="AU63">
        <f t="shared" si="25"/>
        <v>3</v>
      </c>
      <c r="AV63" t="str">
        <f t="shared" si="26"/>
        <v>N</v>
      </c>
    </row>
    <row r="64" spans="1:48">
      <c r="A64" s="152" t="s">
        <v>9</v>
      </c>
      <c r="B64" s="152">
        <v>1</v>
      </c>
      <c r="C64" s="1">
        <f t="shared" si="18"/>
        <v>45873.21</v>
      </c>
      <c r="D64" t="s">
        <v>171</v>
      </c>
      <c r="E64" s="7" t="s">
        <v>185</v>
      </c>
      <c r="F64" t="s">
        <v>186</v>
      </c>
      <c r="G64" s="4">
        <v>3</v>
      </c>
      <c r="H64" s="5">
        <f t="shared" si="20"/>
        <v>390</v>
      </c>
      <c r="I64" s="21"/>
      <c r="J64" s="28"/>
      <c r="K64" s="28">
        <f t="shared" si="29"/>
        <v>0</v>
      </c>
      <c r="L64" s="30">
        <v>105.7</v>
      </c>
      <c r="M64" s="26">
        <v>110</v>
      </c>
      <c r="N64" s="31">
        <f t="shared" si="3"/>
        <v>4.2999999999999972</v>
      </c>
      <c r="O64" s="21">
        <v>0</v>
      </c>
      <c r="P64" s="28">
        <v>0</v>
      </c>
      <c r="Q64" s="22">
        <f t="shared" si="4"/>
        <v>0</v>
      </c>
      <c r="R64" s="26"/>
      <c r="S64" s="26"/>
      <c r="T64" s="31">
        <f t="shared" si="5"/>
        <v>0</v>
      </c>
      <c r="U64" s="26">
        <f t="shared" si="15"/>
        <v>0</v>
      </c>
      <c r="V64" s="26">
        <f t="shared" si="16"/>
        <v>4.2999999999999972</v>
      </c>
      <c r="W64" s="26">
        <f t="shared" si="6"/>
        <v>4.2999999999999972</v>
      </c>
      <c r="X64" s="36">
        <f t="shared" si="7"/>
        <v>580.49999999999966</v>
      </c>
      <c r="Y64" s="389">
        <f t="shared" si="8"/>
        <v>1840</v>
      </c>
      <c r="Z64" s="38">
        <v>1</v>
      </c>
      <c r="AA64" s="38">
        <v>1</v>
      </c>
      <c r="AB64" s="38">
        <v>1</v>
      </c>
      <c r="AC64" s="38">
        <v>13170</v>
      </c>
      <c r="AD64" s="157">
        <f t="shared" si="19"/>
        <v>750</v>
      </c>
      <c r="AE64" s="34">
        <v>4</v>
      </c>
      <c r="AF64" s="35">
        <v>6.5</v>
      </c>
      <c r="AG64" s="392">
        <f>Table3[[#This Row],[Active hours (Other than drilling)]]*$AF$1</f>
        <v>2990</v>
      </c>
      <c r="AH64" s="44">
        <v>0.5</v>
      </c>
      <c r="AI64" s="13">
        <v>1</v>
      </c>
      <c r="AJ64" s="157" cm="1">
        <f t="array" ref="AJ64">SUM(Table3[[#This Row],[Inactive Hours (Other than client standby)]:[Standby Total Hours]]*$AI61)</f>
        <v>0</v>
      </c>
      <c r="AK64" s="45"/>
      <c r="AL64" s="23"/>
      <c r="AM64" s="25">
        <f t="shared" si="21"/>
        <v>12</v>
      </c>
      <c r="AN64" s="396">
        <f t="shared" si="22"/>
        <v>3530</v>
      </c>
      <c r="AO64" s="53">
        <v>390</v>
      </c>
      <c r="AP64" s="398">
        <f t="shared" si="32"/>
        <v>0</v>
      </c>
      <c r="AQ64" s="401">
        <f t="shared" si="23"/>
        <v>6510</v>
      </c>
      <c r="AR64" s="298">
        <v>6510</v>
      </c>
      <c r="AS64" s="18">
        <f>SUM($AQ$6:AQ64)</f>
        <v>354023.67999999993</v>
      </c>
      <c r="AT64" t="str">
        <f t="shared" si="24"/>
        <v>08</v>
      </c>
      <c r="AU64">
        <f t="shared" si="25"/>
        <v>4</v>
      </c>
      <c r="AV64" t="str">
        <f t="shared" si="26"/>
        <v>D</v>
      </c>
    </row>
    <row r="65" spans="1:48">
      <c r="A65" s="152" t="s">
        <v>11</v>
      </c>
      <c r="B65" s="152"/>
      <c r="C65" s="1">
        <f t="shared" si="18"/>
        <v>45873.71</v>
      </c>
      <c r="D65" t="s">
        <v>172</v>
      </c>
      <c r="E65" t="s">
        <v>186</v>
      </c>
      <c r="G65" s="4">
        <v>3</v>
      </c>
      <c r="H65" s="5">
        <f t="shared" si="20"/>
        <v>390</v>
      </c>
      <c r="I65" s="21">
        <v>0</v>
      </c>
      <c r="J65" s="28">
        <v>17.8</v>
      </c>
      <c r="K65" s="28">
        <f t="shared" si="29"/>
        <v>17.8</v>
      </c>
      <c r="L65" s="30"/>
      <c r="M65" s="26"/>
      <c r="N65" s="31">
        <f t="shared" si="3"/>
        <v>0</v>
      </c>
      <c r="O65" s="21"/>
      <c r="P65" s="28"/>
      <c r="Q65" s="22">
        <f t="shared" si="4"/>
        <v>0</v>
      </c>
      <c r="R65" s="26"/>
      <c r="S65" s="26"/>
      <c r="T65" s="31">
        <f t="shared" si="5"/>
        <v>0</v>
      </c>
      <c r="U65" s="26">
        <f t="shared" si="15"/>
        <v>17.8</v>
      </c>
      <c r="V65" s="26">
        <f t="shared" si="16"/>
        <v>0</v>
      </c>
      <c r="W65" s="26">
        <f t="shared" si="6"/>
        <v>17.8</v>
      </c>
      <c r="X65" s="36">
        <f t="shared" si="7"/>
        <v>3115</v>
      </c>
      <c r="Y65" s="389">
        <f t="shared" si="8"/>
        <v>3680</v>
      </c>
      <c r="Z65" s="38"/>
      <c r="AA65" s="38"/>
      <c r="AB65" s="38"/>
      <c r="AC65" s="38"/>
      <c r="AD65" s="157">
        <f t="shared" si="19"/>
        <v>0</v>
      </c>
      <c r="AE65" s="34">
        <v>8</v>
      </c>
      <c r="AF65" s="35">
        <v>3.5</v>
      </c>
      <c r="AG65" s="392">
        <f>Table3[[#This Row],[Active hours (Other than drilling)]]*$AF$1</f>
        <v>1610</v>
      </c>
      <c r="AH65" s="44">
        <v>0.5</v>
      </c>
      <c r="AI65" s="13"/>
      <c r="AJ65" s="157" cm="1">
        <f t="array" ref="AJ65">SUM(Table3[[#This Row],[Inactive Hours (Other than client standby)]:[Standby Total Hours]]*$AI62)</f>
        <v>0</v>
      </c>
      <c r="AK65" s="45"/>
      <c r="AL65" s="23"/>
      <c r="AM65" s="25">
        <f t="shared" si="21"/>
        <v>12</v>
      </c>
      <c r="AN65" s="396">
        <f t="shared" si="22"/>
        <v>1790</v>
      </c>
      <c r="AO65" s="53">
        <v>786.12</v>
      </c>
      <c r="AP65" s="398">
        <f t="shared" si="32"/>
        <v>396.12</v>
      </c>
      <c r="AQ65" s="401">
        <f t="shared" si="23"/>
        <v>6256.12</v>
      </c>
      <c r="AR65" s="298">
        <v>6256.12</v>
      </c>
      <c r="AS65" s="18">
        <f>SUM($AQ$6:AQ65)</f>
        <v>360279.79999999993</v>
      </c>
      <c r="AT65" t="str">
        <f t="shared" si="24"/>
        <v>08</v>
      </c>
      <c r="AU65">
        <f t="shared" si="25"/>
        <v>4</v>
      </c>
      <c r="AV65" t="str">
        <f t="shared" si="26"/>
        <v>N</v>
      </c>
    </row>
    <row r="66" spans="1:48">
      <c r="A66" s="152" t="s">
        <v>11</v>
      </c>
      <c r="B66" s="152">
        <v>1</v>
      </c>
      <c r="C66" s="1">
        <f t="shared" si="18"/>
        <v>45874.21</v>
      </c>
      <c r="D66" t="s">
        <v>171</v>
      </c>
      <c r="E66" t="s">
        <v>186</v>
      </c>
      <c r="G66" s="4">
        <v>3</v>
      </c>
      <c r="H66" s="5">
        <f t="shared" si="20"/>
        <v>390</v>
      </c>
      <c r="I66" s="21">
        <v>17.8</v>
      </c>
      <c r="J66" s="28">
        <v>50.1</v>
      </c>
      <c r="K66" s="28">
        <f t="shared" si="29"/>
        <v>32.299999999999997</v>
      </c>
      <c r="L66" s="30"/>
      <c r="M66" s="26"/>
      <c r="N66" s="31">
        <f t="shared" si="3"/>
        <v>0</v>
      </c>
      <c r="O66" s="21"/>
      <c r="P66" s="28"/>
      <c r="Q66" s="22">
        <f t="shared" si="4"/>
        <v>0</v>
      </c>
      <c r="R66" s="26"/>
      <c r="S66" s="26"/>
      <c r="T66" s="31">
        <f t="shared" si="5"/>
        <v>0</v>
      </c>
      <c r="U66" s="26">
        <f t="shared" si="15"/>
        <v>32.299999999999997</v>
      </c>
      <c r="V66" s="26">
        <f t="shared" si="16"/>
        <v>0</v>
      </c>
      <c r="W66" s="26">
        <f t="shared" si="6"/>
        <v>32.299999999999997</v>
      </c>
      <c r="X66" s="36">
        <f t="shared" si="7"/>
        <v>5652.4999999999991</v>
      </c>
      <c r="Y66" s="389">
        <f t="shared" si="8"/>
        <v>5652.4999999999991</v>
      </c>
      <c r="Z66" s="38">
        <v>1</v>
      </c>
      <c r="AA66" s="38">
        <v>1</v>
      </c>
      <c r="AB66" s="38">
        <v>1</v>
      </c>
      <c r="AC66" s="38">
        <v>13170</v>
      </c>
      <c r="AD66" s="157">
        <f t="shared" si="19"/>
        <v>750</v>
      </c>
      <c r="AE66" s="34">
        <v>10.75</v>
      </c>
      <c r="AF66" s="35">
        <v>0.75</v>
      </c>
      <c r="AG66" s="392">
        <f>Table3[[#This Row],[Active hours (Other than drilling)]]*$AF$1</f>
        <v>345</v>
      </c>
      <c r="AH66" s="44">
        <v>0.5</v>
      </c>
      <c r="AI66" s="13"/>
      <c r="AJ66" s="157" cm="1">
        <f t="array" ref="AJ66">SUM(Table3[[#This Row],[Inactive Hours (Other than client standby)]:[Standby Total Hours]]*$AI63)</f>
        <v>0</v>
      </c>
      <c r="AK66" s="45"/>
      <c r="AL66" s="23"/>
      <c r="AM66" s="25">
        <f t="shared" si="21"/>
        <v>12</v>
      </c>
      <c r="AN66" s="396">
        <f t="shared" si="22"/>
        <v>525</v>
      </c>
      <c r="AO66" s="53">
        <v>390</v>
      </c>
      <c r="AP66" s="398">
        <f t="shared" si="32"/>
        <v>0</v>
      </c>
      <c r="AQ66" s="401">
        <f t="shared" si="23"/>
        <v>7317.4999999999991</v>
      </c>
      <c r="AR66" s="298">
        <v>7317.5</v>
      </c>
      <c r="AS66" s="18">
        <f>SUM($AQ$6:AQ66)</f>
        <v>367597.29999999993</v>
      </c>
      <c r="AT66" t="str">
        <f t="shared" si="24"/>
        <v>08</v>
      </c>
      <c r="AU66">
        <f t="shared" si="25"/>
        <v>5</v>
      </c>
      <c r="AV66" t="str">
        <f t="shared" si="26"/>
        <v>D</v>
      </c>
    </row>
    <row r="67" spans="1:48">
      <c r="A67" s="152" t="s">
        <v>11</v>
      </c>
      <c r="B67" s="152"/>
      <c r="C67" s="1">
        <f t="shared" si="18"/>
        <v>45874.71</v>
      </c>
      <c r="D67" t="s">
        <v>172</v>
      </c>
      <c r="E67" t="s">
        <v>187</v>
      </c>
      <c r="G67" s="4">
        <v>3</v>
      </c>
      <c r="H67" s="5">
        <f t="shared" si="20"/>
        <v>390</v>
      </c>
      <c r="I67" s="21">
        <v>0</v>
      </c>
      <c r="J67" s="28">
        <v>5.7</v>
      </c>
      <c r="K67" s="28">
        <f t="shared" si="29"/>
        <v>5.7</v>
      </c>
      <c r="L67" s="30"/>
      <c r="M67" s="26"/>
      <c r="N67" s="31">
        <f t="shared" si="3"/>
        <v>0</v>
      </c>
      <c r="O67" s="21"/>
      <c r="P67" s="28"/>
      <c r="Q67" s="22">
        <f t="shared" si="4"/>
        <v>0</v>
      </c>
      <c r="R67" s="26"/>
      <c r="S67" s="26"/>
      <c r="T67" s="31">
        <f t="shared" si="5"/>
        <v>0</v>
      </c>
      <c r="U67" s="26">
        <f t="shared" si="15"/>
        <v>5.7</v>
      </c>
      <c r="V67" s="26">
        <f t="shared" si="16"/>
        <v>0</v>
      </c>
      <c r="W67" s="26">
        <f t="shared" si="6"/>
        <v>5.7</v>
      </c>
      <c r="X67" s="36">
        <f t="shared" si="7"/>
        <v>997.5</v>
      </c>
      <c r="Y67" s="389">
        <f t="shared" si="8"/>
        <v>997.5</v>
      </c>
      <c r="Z67" s="38"/>
      <c r="AA67" s="38"/>
      <c r="AB67" s="38"/>
      <c r="AC67" s="38"/>
      <c r="AD67" s="157">
        <f t="shared" si="19"/>
        <v>0</v>
      </c>
      <c r="AE67" s="34">
        <v>2</v>
      </c>
      <c r="AF67" s="35">
        <v>6.5</v>
      </c>
      <c r="AG67" s="392">
        <f>Table3[[#This Row],[Active hours (Other than drilling)]]*$AF$1</f>
        <v>2990</v>
      </c>
      <c r="AH67" s="44">
        <v>1.5</v>
      </c>
      <c r="AI67" s="13"/>
      <c r="AJ67" s="157" cm="1">
        <f t="array" ref="AJ67">SUM(Table3[[#This Row],[Inactive Hours (Other than client standby)]:[Standby Total Hours]]*$AI64)</f>
        <v>1.5</v>
      </c>
      <c r="AK67" s="45">
        <v>2</v>
      </c>
      <c r="AL67" s="23"/>
      <c r="AM67" s="25">
        <f t="shared" si="21"/>
        <v>12</v>
      </c>
      <c r="AN67" s="396">
        <f t="shared" si="22"/>
        <v>3530</v>
      </c>
      <c r="AO67" s="53">
        <v>390</v>
      </c>
      <c r="AP67" s="398">
        <f t="shared" si="32"/>
        <v>0</v>
      </c>
      <c r="AQ67" s="401">
        <f t="shared" si="23"/>
        <v>4917.5</v>
      </c>
      <c r="AR67" s="298">
        <v>4917.5</v>
      </c>
      <c r="AS67" s="18">
        <f>SUM($AQ$6:AQ67)</f>
        <v>372514.79999999993</v>
      </c>
      <c r="AT67" t="str">
        <f t="shared" si="24"/>
        <v>08</v>
      </c>
      <c r="AU67">
        <f t="shared" si="25"/>
        <v>5</v>
      </c>
      <c r="AV67" t="str">
        <f t="shared" si="26"/>
        <v>N</v>
      </c>
    </row>
    <row r="68" spans="1:48">
      <c r="A68" s="152" t="s">
        <v>11</v>
      </c>
      <c r="B68" s="152"/>
      <c r="C68" s="1">
        <f t="shared" si="18"/>
        <v>45875.21</v>
      </c>
      <c r="D68" t="s">
        <v>171</v>
      </c>
      <c r="E68" t="s">
        <v>187</v>
      </c>
      <c r="G68" s="4">
        <v>3</v>
      </c>
      <c r="H68" s="5">
        <f t="shared" ref="H68:H99" si="33">IF(ISBLANK(G68),"",G68*$H$1)</f>
        <v>390</v>
      </c>
      <c r="I68" s="21">
        <v>5.7</v>
      </c>
      <c r="J68" s="28">
        <v>8.4</v>
      </c>
      <c r="K68" s="28">
        <f t="shared" si="29"/>
        <v>2.7</v>
      </c>
      <c r="L68" s="30"/>
      <c r="M68" s="26"/>
      <c r="N68" s="31">
        <f t="shared" ref="N68:N131" si="34">IF(ISBLANK(L68),,M68-L68)</f>
        <v>0</v>
      </c>
      <c r="O68" s="21"/>
      <c r="P68" s="28"/>
      <c r="Q68" s="22">
        <f t="shared" ref="Q68:Q131" si="35">IF(ISBLANK(O68),,P68-O68)</f>
        <v>0</v>
      </c>
      <c r="R68" s="26"/>
      <c r="S68" s="26"/>
      <c r="T68" s="31">
        <f t="shared" ref="T68:T131" si="36">IF(ISBLANK(R68),,S68-R68)</f>
        <v>0</v>
      </c>
      <c r="U68" s="26">
        <f t="shared" si="15"/>
        <v>2.7</v>
      </c>
      <c r="V68" s="26">
        <f t="shared" si="16"/>
        <v>0</v>
      </c>
      <c r="W68" s="26">
        <f t="shared" ref="W68:W131" si="37">IFERROR(K68+N68+Q68+T68,"")</f>
        <v>2.7</v>
      </c>
      <c r="X68" s="36">
        <f t="shared" ref="X68:X131" si="38">IFERROR((K68*$K$1)+(N68*$N$1)+(Q68*$Q$1)+(T68*$T$1),"")</f>
        <v>472.50000000000006</v>
      </c>
      <c r="Y68" s="389">
        <f t="shared" ref="Y68:Y131" si="39">IF(E68&lt;&gt;"",IF(X68&lt;(AE68*$AE$1),(AE68*$AE$1),X68),"")</f>
        <v>575</v>
      </c>
      <c r="Z68" s="38">
        <v>1</v>
      </c>
      <c r="AA68" s="38">
        <v>1</v>
      </c>
      <c r="AB68" s="38">
        <v>1</v>
      </c>
      <c r="AC68" s="38">
        <v>13170</v>
      </c>
      <c r="AD68" s="157">
        <f t="shared" si="19"/>
        <v>750</v>
      </c>
      <c r="AE68" s="34">
        <v>1.25</v>
      </c>
      <c r="AF68" s="35">
        <v>1.25</v>
      </c>
      <c r="AG68" s="392">
        <f>Table3[[#This Row],[Active hours (Other than drilling)]]*$AF$1</f>
        <v>575</v>
      </c>
      <c r="AH68" s="44">
        <v>0.5</v>
      </c>
      <c r="AI68" s="13">
        <v>1</v>
      </c>
      <c r="AJ68" s="157" cm="1">
        <f t="array" ref="AJ68">SUM(Table3[[#This Row],[Inactive Hours (Other than client standby)]:[Standby Total Hours]]*$AI65)</f>
        <v>0</v>
      </c>
      <c r="AK68" s="45">
        <v>8</v>
      </c>
      <c r="AL68" s="23"/>
      <c r="AM68" s="25">
        <f t="shared" ref="AM68:AM99" si="40">IF(ISBLANK(AE68),"",SUM(AE68:AF68,AH68:AI68,AK68:AL68))</f>
        <v>12</v>
      </c>
      <c r="AN68" s="396">
        <f t="shared" ref="AN68:AN99" si="41">(AF68*$AF$1)+(AH68*$AH$1)+(AI68*$AI$1)</f>
        <v>1115</v>
      </c>
      <c r="AO68" s="53">
        <v>786.12</v>
      </c>
      <c r="AP68" s="398">
        <f t="shared" si="32"/>
        <v>396.12</v>
      </c>
      <c r="AQ68" s="401">
        <f t="shared" ref="AQ68:AQ99" si="42">SUM(Y68,AN68,AP68,H68)+AD68</f>
        <v>3226.12</v>
      </c>
      <c r="AR68" s="298">
        <v>3226.12</v>
      </c>
      <c r="AS68" s="18">
        <f>SUM($AQ$6:AQ68)</f>
        <v>375740.91999999993</v>
      </c>
      <c r="AT68" t="str">
        <f t="shared" ref="AT68:AT99" si="43">_xlfn.TEXTJOIN(,TRUE,"0",MONTH(C68))</f>
        <v>08</v>
      </c>
      <c r="AU68">
        <f t="shared" ref="AU68:AU99" si="44">DAY(C68)</f>
        <v>6</v>
      </c>
      <c r="AV68" t="str">
        <f t="shared" ref="AV68:AV99" si="45">LEFT(D68,1)</f>
        <v>D</v>
      </c>
    </row>
    <row r="69" spans="1:48">
      <c r="A69" s="152" t="s">
        <v>11</v>
      </c>
      <c r="B69" s="152"/>
      <c r="C69" s="1">
        <f t="shared" si="18"/>
        <v>45875.71</v>
      </c>
      <c r="D69" t="s">
        <v>172</v>
      </c>
      <c r="E69" t="s">
        <v>187</v>
      </c>
      <c r="G69" s="4">
        <v>3</v>
      </c>
      <c r="H69" s="5">
        <f t="shared" si="33"/>
        <v>390</v>
      </c>
      <c r="I69" s="21">
        <v>8.4</v>
      </c>
      <c r="J69" s="28">
        <v>39.700000000000003</v>
      </c>
      <c r="K69" s="28">
        <f t="shared" si="29"/>
        <v>31.300000000000004</v>
      </c>
      <c r="L69" s="30"/>
      <c r="M69" s="26"/>
      <c r="N69" s="31">
        <f t="shared" si="34"/>
        <v>0</v>
      </c>
      <c r="O69" s="21"/>
      <c r="P69" s="28"/>
      <c r="Q69" s="22">
        <f t="shared" si="35"/>
        <v>0</v>
      </c>
      <c r="R69" s="26"/>
      <c r="S69" s="26"/>
      <c r="T69" s="31">
        <f t="shared" si="36"/>
        <v>0</v>
      </c>
      <c r="U69" s="26">
        <f t="shared" ref="U69:U132" si="46">SUM(K69,Q69)</f>
        <v>31.300000000000004</v>
      </c>
      <c r="V69" s="26">
        <f t="shared" ref="V69:V132" si="47">SUM(N69,T69)</f>
        <v>0</v>
      </c>
      <c r="W69" s="26">
        <f t="shared" si="37"/>
        <v>31.300000000000004</v>
      </c>
      <c r="X69" s="36">
        <f t="shared" si="38"/>
        <v>5477.5000000000009</v>
      </c>
      <c r="Y69" s="389">
        <f t="shared" si="39"/>
        <v>5477.5000000000009</v>
      </c>
      <c r="Z69" s="38"/>
      <c r="AA69" s="38"/>
      <c r="AB69" s="38"/>
      <c r="AC69" s="38"/>
      <c r="AD69" s="157">
        <f t="shared" si="19"/>
        <v>0</v>
      </c>
      <c r="AE69" s="34">
        <v>11</v>
      </c>
      <c r="AF69" s="35">
        <v>0.5</v>
      </c>
      <c r="AG69" s="392">
        <f>Table3[[#This Row],[Active hours (Other than drilling)]]*$AF$1</f>
        <v>230</v>
      </c>
      <c r="AH69" s="44">
        <v>0.5</v>
      </c>
      <c r="AI69" s="13"/>
      <c r="AJ69" s="157" cm="1">
        <f t="array" ref="AJ69">SUM(Table3[[#This Row],[Inactive Hours (Other than client standby)]:[Standby Total Hours]]*$AI66)</f>
        <v>0</v>
      </c>
      <c r="AK69" s="45"/>
      <c r="AL69" s="23"/>
      <c r="AM69" s="25">
        <f t="shared" si="40"/>
        <v>12</v>
      </c>
      <c r="AN69" s="396">
        <f t="shared" si="41"/>
        <v>410</v>
      </c>
      <c r="AO69" s="53">
        <v>390</v>
      </c>
      <c r="AP69" s="398">
        <f t="shared" si="32"/>
        <v>0</v>
      </c>
      <c r="AQ69" s="401">
        <f t="shared" si="42"/>
        <v>6277.5000000000009</v>
      </c>
      <c r="AR69" s="298">
        <v>6277.5</v>
      </c>
      <c r="AS69" s="18">
        <f>SUM($AQ$6:AQ69)</f>
        <v>382018.41999999993</v>
      </c>
      <c r="AT69" t="str">
        <f t="shared" si="43"/>
        <v>08</v>
      </c>
      <c r="AU69">
        <f t="shared" si="44"/>
        <v>6</v>
      </c>
      <c r="AV69" t="str">
        <f t="shared" si="45"/>
        <v>N</v>
      </c>
    </row>
    <row r="70" spans="1:48">
      <c r="A70" s="152" t="s">
        <v>11</v>
      </c>
      <c r="B70" s="152">
        <v>1</v>
      </c>
      <c r="C70" s="1">
        <f t="shared" si="18"/>
        <v>45876.21</v>
      </c>
      <c r="D70" t="s">
        <v>171</v>
      </c>
      <c r="E70" s="7" t="s">
        <v>187</v>
      </c>
      <c r="F70" t="s">
        <v>188</v>
      </c>
      <c r="G70" s="4">
        <v>3</v>
      </c>
      <c r="H70" s="5">
        <f t="shared" si="33"/>
        <v>390</v>
      </c>
      <c r="I70" s="21">
        <v>39.700000000000003</v>
      </c>
      <c r="J70" s="28">
        <v>50.4</v>
      </c>
      <c r="K70" s="28">
        <f t="shared" si="29"/>
        <v>10.699999999999996</v>
      </c>
      <c r="L70" s="30"/>
      <c r="M70" s="26"/>
      <c r="N70" s="31">
        <f t="shared" si="34"/>
        <v>0</v>
      </c>
      <c r="O70" s="21"/>
      <c r="P70" s="28"/>
      <c r="Q70" s="22">
        <f t="shared" si="35"/>
        <v>0</v>
      </c>
      <c r="R70" s="26"/>
      <c r="S70" s="26"/>
      <c r="T70" s="31">
        <f t="shared" si="36"/>
        <v>0</v>
      </c>
      <c r="U70" s="26">
        <f t="shared" si="46"/>
        <v>10.699999999999996</v>
      </c>
      <c r="V70" s="26">
        <f t="shared" si="47"/>
        <v>0</v>
      </c>
      <c r="W70" s="26">
        <f t="shared" si="37"/>
        <v>10.699999999999996</v>
      </c>
      <c r="X70" s="36">
        <f t="shared" si="38"/>
        <v>1872.4999999999993</v>
      </c>
      <c r="Y70" s="389">
        <f t="shared" si="39"/>
        <v>1872.4999999999993</v>
      </c>
      <c r="Z70" s="38">
        <v>1</v>
      </c>
      <c r="AA70" s="38">
        <v>1</v>
      </c>
      <c r="AB70" s="38">
        <v>1</v>
      </c>
      <c r="AC70" s="38">
        <v>13170</v>
      </c>
      <c r="AD70" s="157">
        <f t="shared" si="19"/>
        <v>750</v>
      </c>
      <c r="AE70" s="34">
        <v>4</v>
      </c>
      <c r="AF70" s="35">
        <v>7.5</v>
      </c>
      <c r="AG70" s="392">
        <f>Table3[[#This Row],[Active hours (Other than drilling)]]*$AF$1</f>
        <v>3450</v>
      </c>
      <c r="AH70" s="44">
        <v>0.5</v>
      </c>
      <c r="AI70" s="13"/>
      <c r="AJ70" s="157" cm="1">
        <f t="array" ref="AJ70">SUM(Table3[[#This Row],[Inactive Hours (Other than client standby)]:[Standby Total Hours]]*$AI67)</f>
        <v>0</v>
      </c>
      <c r="AK70" s="45"/>
      <c r="AL70" s="23"/>
      <c r="AM70" s="25">
        <f t="shared" si="40"/>
        <v>12</v>
      </c>
      <c r="AN70" s="396">
        <f t="shared" si="41"/>
        <v>3630</v>
      </c>
      <c r="AO70" s="53">
        <v>390</v>
      </c>
      <c r="AP70" s="398">
        <f t="shared" si="32"/>
        <v>0</v>
      </c>
      <c r="AQ70" s="401">
        <f t="shared" si="42"/>
        <v>6642.4999999999991</v>
      </c>
      <c r="AR70" s="298"/>
      <c r="AS70" s="18">
        <f>SUM($AQ$6:AQ70)</f>
        <v>388660.91999999993</v>
      </c>
      <c r="AT70" t="str">
        <f t="shared" si="43"/>
        <v>08</v>
      </c>
      <c r="AU70">
        <f t="shared" si="44"/>
        <v>7</v>
      </c>
      <c r="AV70" t="str">
        <f t="shared" si="45"/>
        <v>D</v>
      </c>
    </row>
    <row r="71" spans="1:48">
      <c r="A71" s="152" t="s">
        <v>8</v>
      </c>
      <c r="B71" s="152"/>
      <c r="C71" s="1">
        <f t="shared" si="18"/>
        <v>45876.71</v>
      </c>
      <c r="D71" t="s">
        <v>172</v>
      </c>
      <c r="E71" s="7" t="s">
        <v>188</v>
      </c>
      <c r="G71" s="4">
        <v>3</v>
      </c>
      <c r="H71" s="5">
        <f t="shared" si="33"/>
        <v>390</v>
      </c>
      <c r="I71" s="21">
        <v>0</v>
      </c>
      <c r="J71" s="28">
        <v>0</v>
      </c>
      <c r="K71" s="28">
        <f t="shared" si="29"/>
        <v>0</v>
      </c>
      <c r="L71" s="30"/>
      <c r="M71" s="26"/>
      <c r="N71" s="31">
        <f t="shared" si="34"/>
        <v>0</v>
      </c>
      <c r="O71" s="21"/>
      <c r="P71" s="28"/>
      <c r="Q71" s="22">
        <f t="shared" si="35"/>
        <v>0</v>
      </c>
      <c r="R71" s="26"/>
      <c r="S71" s="26"/>
      <c r="T71" s="31">
        <f t="shared" si="36"/>
        <v>0</v>
      </c>
      <c r="U71" s="26">
        <f t="shared" si="46"/>
        <v>0</v>
      </c>
      <c r="V71" s="26">
        <f t="shared" si="47"/>
        <v>0</v>
      </c>
      <c r="W71" s="26">
        <f t="shared" si="37"/>
        <v>0</v>
      </c>
      <c r="X71" s="36">
        <f t="shared" si="38"/>
        <v>0</v>
      </c>
      <c r="Y71" s="389">
        <f t="shared" si="39"/>
        <v>0</v>
      </c>
      <c r="Z71" s="38"/>
      <c r="AA71" s="38"/>
      <c r="AB71" s="38"/>
      <c r="AC71" s="38"/>
      <c r="AD71" s="157">
        <f t="shared" si="19"/>
        <v>0</v>
      </c>
      <c r="AE71" s="34">
        <v>0</v>
      </c>
      <c r="AF71" s="35">
        <v>11.5</v>
      </c>
      <c r="AG71" s="392">
        <f>Table3[[#This Row],[Active hours (Other than drilling)]]*$AF$1</f>
        <v>5290</v>
      </c>
      <c r="AH71" s="44">
        <v>0.5</v>
      </c>
      <c r="AI71" s="13"/>
      <c r="AJ71" s="157" cm="1">
        <f t="array" ref="AJ71">SUM(Table3[[#This Row],[Inactive Hours (Other than client standby)]:[Standby Total Hours]]*$AI68)</f>
        <v>0.5</v>
      </c>
      <c r="AK71" s="45"/>
      <c r="AL71" s="23"/>
      <c r="AM71" s="25">
        <f t="shared" si="40"/>
        <v>12</v>
      </c>
      <c r="AN71" s="396">
        <f t="shared" si="41"/>
        <v>5470</v>
      </c>
      <c r="AO71" s="53">
        <v>390</v>
      </c>
      <c r="AP71" s="398">
        <f t="shared" si="32"/>
        <v>0</v>
      </c>
      <c r="AQ71" s="401">
        <f t="shared" si="42"/>
        <v>5860</v>
      </c>
      <c r="AR71" s="298"/>
      <c r="AS71" s="18">
        <f>SUM($AQ$6:AQ71)</f>
        <v>394520.91999999993</v>
      </c>
      <c r="AT71" t="str">
        <f t="shared" si="43"/>
        <v>08</v>
      </c>
      <c r="AU71">
        <f t="shared" si="44"/>
        <v>7</v>
      </c>
      <c r="AV71" t="str">
        <f t="shared" si="45"/>
        <v>N</v>
      </c>
    </row>
    <row r="72" spans="1:48">
      <c r="A72" s="152" t="s">
        <v>8</v>
      </c>
      <c r="B72" s="152"/>
      <c r="C72" s="1">
        <f t="shared" ref="C72:C135" si="48">C70+1</f>
        <v>45877.21</v>
      </c>
      <c r="D72" t="s">
        <v>171</v>
      </c>
      <c r="E72" s="7" t="s">
        <v>188</v>
      </c>
      <c r="G72" s="4">
        <v>3</v>
      </c>
      <c r="H72" s="5">
        <f t="shared" si="33"/>
        <v>390</v>
      </c>
      <c r="I72" s="21"/>
      <c r="J72" s="28"/>
      <c r="K72" s="28">
        <f t="shared" si="29"/>
        <v>0</v>
      </c>
      <c r="L72" s="30">
        <v>0</v>
      </c>
      <c r="M72" s="26">
        <v>5</v>
      </c>
      <c r="N72" s="31">
        <f t="shared" si="34"/>
        <v>5</v>
      </c>
      <c r="O72" s="21"/>
      <c r="P72" s="28"/>
      <c r="Q72" s="22">
        <f t="shared" si="35"/>
        <v>0</v>
      </c>
      <c r="R72" s="26"/>
      <c r="S72" s="26"/>
      <c r="T72" s="31">
        <f t="shared" si="36"/>
        <v>0</v>
      </c>
      <c r="U72" s="26">
        <f t="shared" si="46"/>
        <v>0</v>
      </c>
      <c r="V72" s="26">
        <f t="shared" si="47"/>
        <v>5</v>
      </c>
      <c r="W72" s="26">
        <f t="shared" si="37"/>
        <v>5</v>
      </c>
      <c r="X72" s="36">
        <f t="shared" si="38"/>
        <v>675</v>
      </c>
      <c r="Y72" s="389">
        <f t="shared" si="39"/>
        <v>920</v>
      </c>
      <c r="Z72" s="38">
        <v>1</v>
      </c>
      <c r="AA72" s="38">
        <v>1</v>
      </c>
      <c r="AB72" s="38">
        <v>1</v>
      </c>
      <c r="AC72" s="38">
        <v>13170</v>
      </c>
      <c r="AD72" s="157">
        <f t="shared" si="19"/>
        <v>750</v>
      </c>
      <c r="AE72" s="34">
        <v>2</v>
      </c>
      <c r="AF72" s="35">
        <v>0</v>
      </c>
      <c r="AG72" s="392">
        <f>Table3[[#This Row],[Active hours (Other than drilling)]]*$AF$1</f>
        <v>0</v>
      </c>
      <c r="AH72" s="44">
        <v>0.5</v>
      </c>
      <c r="AI72" s="13">
        <v>9.5</v>
      </c>
      <c r="AJ72" s="157" cm="1">
        <f t="array" ref="AJ72">SUM(Table3[[#This Row],[Inactive Hours (Other than client standby)]:[Standby Total Hours]]*$AI69)</f>
        <v>0</v>
      </c>
      <c r="AK72" s="45"/>
      <c r="AL72" s="23"/>
      <c r="AM72" s="25">
        <f t="shared" si="40"/>
        <v>12</v>
      </c>
      <c r="AN72" s="396">
        <f t="shared" si="41"/>
        <v>3600</v>
      </c>
      <c r="AO72" s="53">
        <v>5458</v>
      </c>
      <c r="AP72" s="398">
        <f t="shared" si="32"/>
        <v>5068</v>
      </c>
      <c r="AQ72" s="401">
        <f t="shared" si="42"/>
        <v>10728</v>
      </c>
      <c r="AR72" s="298">
        <v>10728</v>
      </c>
      <c r="AS72" s="18">
        <f>SUM($AQ$6:AQ72)</f>
        <v>405248.91999999993</v>
      </c>
      <c r="AT72" t="str">
        <f t="shared" si="43"/>
        <v>08</v>
      </c>
      <c r="AU72">
        <f t="shared" si="44"/>
        <v>8</v>
      </c>
      <c r="AV72" t="str">
        <f t="shared" si="45"/>
        <v>D</v>
      </c>
    </row>
    <row r="73" spans="1:48">
      <c r="A73" s="152" t="s">
        <v>8</v>
      </c>
      <c r="B73" s="152"/>
      <c r="C73" s="1">
        <f t="shared" si="48"/>
        <v>45877.71</v>
      </c>
      <c r="D73" t="s">
        <v>172</v>
      </c>
      <c r="E73" s="7" t="s">
        <v>188</v>
      </c>
      <c r="G73" s="4">
        <v>3</v>
      </c>
      <c r="H73" s="5">
        <f t="shared" si="33"/>
        <v>390</v>
      </c>
      <c r="I73" s="21"/>
      <c r="J73" s="28"/>
      <c r="K73" s="28">
        <f t="shared" si="29"/>
        <v>0</v>
      </c>
      <c r="L73" s="30">
        <v>5</v>
      </c>
      <c r="M73" s="26">
        <v>22</v>
      </c>
      <c r="N73" s="31">
        <f t="shared" si="34"/>
        <v>17</v>
      </c>
      <c r="O73" s="21"/>
      <c r="P73" s="28"/>
      <c r="Q73" s="22">
        <f t="shared" si="35"/>
        <v>0</v>
      </c>
      <c r="R73" s="26"/>
      <c r="S73" s="26"/>
      <c r="T73" s="31">
        <f t="shared" si="36"/>
        <v>0</v>
      </c>
      <c r="U73" s="26">
        <f t="shared" si="46"/>
        <v>0</v>
      </c>
      <c r="V73" s="26">
        <f t="shared" si="47"/>
        <v>17</v>
      </c>
      <c r="W73" s="26">
        <f t="shared" si="37"/>
        <v>17</v>
      </c>
      <c r="X73" s="36">
        <f t="shared" si="38"/>
        <v>2295</v>
      </c>
      <c r="Y73" s="389">
        <f t="shared" si="39"/>
        <v>4025</v>
      </c>
      <c r="Z73" s="38"/>
      <c r="AA73" s="38"/>
      <c r="AB73" s="38"/>
      <c r="AC73" s="38"/>
      <c r="AD73" s="157">
        <f t="shared" ref="AD73:AD136" si="49">SUMPRODUCT(Z73:AB73,$Z$1:$AB$1)</f>
        <v>0</v>
      </c>
      <c r="AE73" s="34">
        <v>8.75</v>
      </c>
      <c r="AF73" s="35">
        <v>2.75</v>
      </c>
      <c r="AG73" s="392">
        <f>Table3[[#This Row],[Active hours (Other than drilling)]]*$AF$1</f>
        <v>1265</v>
      </c>
      <c r="AH73" s="44">
        <v>0.5</v>
      </c>
      <c r="AI73" s="13"/>
      <c r="AJ73" s="157" cm="1">
        <f t="array" ref="AJ73">SUM(Table3[[#This Row],[Inactive Hours (Other than client standby)]:[Standby Total Hours]]*$AI70)</f>
        <v>0</v>
      </c>
      <c r="AK73" s="45"/>
      <c r="AL73" s="23"/>
      <c r="AM73" s="25">
        <f t="shared" si="40"/>
        <v>12</v>
      </c>
      <c r="AN73" s="396">
        <f t="shared" si="41"/>
        <v>1445</v>
      </c>
      <c r="AO73" s="53">
        <v>738.56</v>
      </c>
      <c r="AP73" s="398">
        <f t="shared" si="32"/>
        <v>348.55999999999995</v>
      </c>
      <c r="AQ73" s="401">
        <f t="shared" si="42"/>
        <v>6208.5599999999995</v>
      </c>
      <c r="AR73" s="298">
        <v>6208.56</v>
      </c>
      <c r="AS73" s="18">
        <f>SUM($AQ$6:AQ73)</f>
        <v>411457.47999999992</v>
      </c>
      <c r="AT73" t="str">
        <f t="shared" si="43"/>
        <v>08</v>
      </c>
      <c r="AU73">
        <f t="shared" si="44"/>
        <v>8</v>
      </c>
      <c r="AV73" t="str">
        <f t="shared" si="45"/>
        <v>N</v>
      </c>
    </row>
    <row r="74" spans="1:48">
      <c r="A74" s="152" t="s">
        <v>8</v>
      </c>
      <c r="B74" s="152"/>
      <c r="C74" s="1">
        <f t="shared" si="48"/>
        <v>45878.21</v>
      </c>
      <c r="D74" t="s">
        <v>171</v>
      </c>
      <c r="E74" s="7" t="s">
        <v>188</v>
      </c>
      <c r="G74" s="4">
        <v>3</v>
      </c>
      <c r="H74" s="5">
        <f t="shared" si="33"/>
        <v>390</v>
      </c>
      <c r="I74" s="21"/>
      <c r="J74" s="28"/>
      <c r="K74" s="28">
        <f t="shared" si="29"/>
        <v>0</v>
      </c>
      <c r="L74" s="30">
        <v>22</v>
      </c>
      <c r="M74" s="26">
        <v>57.8</v>
      </c>
      <c r="N74" s="31">
        <f t="shared" si="34"/>
        <v>35.799999999999997</v>
      </c>
      <c r="O74" s="21"/>
      <c r="P74" s="28"/>
      <c r="Q74" s="22">
        <f t="shared" si="35"/>
        <v>0</v>
      </c>
      <c r="R74" s="26"/>
      <c r="S74" s="26"/>
      <c r="T74" s="31">
        <f t="shared" si="36"/>
        <v>0</v>
      </c>
      <c r="U74" s="26">
        <f t="shared" si="46"/>
        <v>0</v>
      </c>
      <c r="V74" s="26">
        <f t="shared" si="47"/>
        <v>35.799999999999997</v>
      </c>
      <c r="W74" s="26">
        <f t="shared" si="37"/>
        <v>35.799999999999997</v>
      </c>
      <c r="X74" s="36">
        <f t="shared" si="38"/>
        <v>4833</v>
      </c>
      <c r="Y74" s="389">
        <f t="shared" si="39"/>
        <v>5060</v>
      </c>
      <c r="Z74" s="38">
        <v>1</v>
      </c>
      <c r="AA74" s="38">
        <v>1</v>
      </c>
      <c r="AB74" s="38">
        <v>1</v>
      </c>
      <c r="AC74" s="38">
        <v>13170</v>
      </c>
      <c r="AD74" s="157">
        <f t="shared" si="49"/>
        <v>750</v>
      </c>
      <c r="AE74" s="34">
        <v>11</v>
      </c>
      <c r="AF74" s="35">
        <v>0.5</v>
      </c>
      <c r="AG74" s="392">
        <f>Table3[[#This Row],[Active hours (Other than drilling)]]*$AF$1</f>
        <v>230</v>
      </c>
      <c r="AH74" s="44">
        <v>0.5</v>
      </c>
      <c r="AI74" s="13"/>
      <c r="AJ74" s="157" cm="1">
        <f t="array" ref="AJ74">SUM(Table3[[#This Row],[Inactive Hours (Other than client standby)]:[Standby Total Hours]]*$AI71)</f>
        <v>0</v>
      </c>
      <c r="AK74" s="45"/>
      <c r="AL74" s="23"/>
      <c r="AM74" s="25">
        <f t="shared" si="40"/>
        <v>12</v>
      </c>
      <c r="AN74" s="396">
        <f t="shared" si="41"/>
        <v>410</v>
      </c>
      <c r="AO74" s="53">
        <v>390</v>
      </c>
      <c r="AP74" s="398">
        <f t="shared" si="32"/>
        <v>0</v>
      </c>
      <c r="AQ74" s="401">
        <f t="shared" si="42"/>
        <v>6610</v>
      </c>
      <c r="AR74" s="298">
        <v>6610</v>
      </c>
      <c r="AS74" s="18">
        <f>SUM($AQ$6:AQ74)</f>
        <v>418067.47999999992</v>
      </c>
      <c r="AT74" t="str">
        <f t="shared" si="43"/>
        <v>08</v>
      </c>
      <c r="AU74">
        <f t="shared" si="44"/>
        <v>9</v>
      </c>
      <c r="AV74" t="str">
        <f t="shared" si="45"/>
        <v>D</v>
      </c>
    </row>
    <row r="75" spans="1:48">
      <c r="A75" s="152" t="s">
        <v>8</v>
      </c>
      <c r="B75" s="152"/>
      <c r="C75" s="1">
        <f t="shared" si="48"/>
        <v>45878.71</v>
      </c>
      <c r="D75" t="s">
        <v>172</v>
      </c>
      <c r="E75" s="7" t="s">
        <v>188</v>
      </c>
      <c r="G75" s="4">
        <v>3</v>
      </c>
      <c r="H75" s="5">
        <f t="shared" si="33"/>
        <v>390</v>
      </c>
      <c r="I75" s="21"/>
      <c r="J75" s="28"/>
      <c r="K75" s="28">
        <f t="shared" si="29"/>
        <v>0</v>
      </c>
      <c r="L75" s="30">
        <v>57.8</v>
      </c>
      <c r="M75" s="26">
        <v>84.6</v>
      </c>
      <c r="N75" s="31">
        <f t="shared" si="34"/>
        <v>26.799999999999997</v>
      </c>
      <c r="O75" s="21"/>
      <c r="P75" s="28"/>
      <c r="Q75" s="22">
        <f t="shared" si="35"/>
        <v>0</v>
      </c>
      <c r="R75" s="26"/>
      <c r="S75" s="26"/>
      <c r="T75" s="31">
        <f t="shared" si="36"/>
        <v>0</v>
      </c>
      <c r="U75" s="26">
        <f t="shared" si="46"/>
        <v>0</v>
      </c>
      <c r="V75" s="26">
        <f t="shared" si="47"/>
        <v>26.799999999999997</v>
      </c>
      <c r="W75" s="26">
        <f t="shared" si="37"/>
        <v>26.799999999999997</v>
      </c>
      <c r="X75" s="36">
        <f t="shared" si="38"/>
        <v>3617.9999999999995</v>
      </c>
      <c r="Y75" s="389">
        <f t="shared" si="39"/>
        <v>3617.9999999999995</v>
      </c>
      <c r="Z75" s="38"/>
      <c r="AA75" s="38"/>
      <c r="AB75" s="38"/>
      <c r="AC75" s="38"/>
      <c r="AD75" s="157">
        <f t="shared" si="49"/>
        <v>0</v>
      </c>
      <c r="AE75" s="34">
        <v>7</v>
      </c>
      <c r="AF75" s="35">
        <v>0.25</v>
      </c>
      <c r="AG75" s="392">
        <f>Table3[[#This Row],[Active hours (Other than drilling)]]*$AF$1</f>
        <v>115</v>
      </c>
      <c r="AH75" s="44">
        <v>0.5</v>
      </c>
      <c r="AI75" s="13">
        <v>4.25</v>
      </c>
      <c r="AJ75" s="157" cm="1">
        <f t="array" ref="AJ75">SUM(Table3[[#This Row],[Inactive Hours (Other than client standby)]:[Standby Total Hours]]*$AI72)</f>
        <v>45.125</v>
      </c>
      <c r="AK75" s="45"/>
      <c r="AL75" s="23"/>
      <c r="AM75" s="25">
        <f t="shared" si="40"/>
        <v>12</v>
      </c>
      <c r="AN75" s="396">
        <f t="shared" si="41"/>
        <v>1825</v>
      </c>
      <c r="AO75" s="53">
        <v>527.5</v>
      </c>
      <c r="AP75" s="398">
        <f t="shared" si="32"/>
        <v>137.5</v>
      </c>
      <c r="AQ75" s="401">
        <f t="shared" si="42"/>
        <v>5970.5</v>
      </c>
      <c r="AR75" s="298">
        <v>5970.5</v>
      </c>
      <c r="AS75" s="18">
        <f>SUM($AQ$6:AQ75)</f>
        <v>424037.97999999992</v>
      </c>
      <c r="AT75" t="str">
        <f t="shared" si="43"/>
        <v>08</v>
      </c>
      <c r="AU75">
        <f t="shared" si="44"/>
        <v>9</v>
      </c>
      <c r="AV75" t="str">
        <f t="shared" si="45"/>
        <v>N</v>
      </c>
    </row>
    <row r="76" spans="1:48">
      <c r="A76" s="152" t="s">
        <v>8</v>
      </c>
      <c r="B76" s="152">
        <v>1</v>
      </c>
      <c r="C76" s="1">
        <f t="shared" si="48"/>
        <v>45879.21</v>
      </c>
      <c r="D76" t="s">
        <v>171</v>
      </c>
      <c r="E76" s="7" t="s">
        <v>188</v>
      </c>
      <c r="F76" t="s">
        <v>189</v>
      </c>
      <c r="G76" s="4">
        <v>3</v>
      </c>
      <c r="H76" s="5">
        <f t="shared" si="33"/>
        <v>390</v>
      </c>
      <c r="I76" s="21"/>
      <c r="J76" s="28"/>
      <c r="K76" s="28">
        <f t="shared" si="29"/>
        <v>0</v>
      </c>
      <c r="L76" s="30"/>
      <c r="M76" s="26"/>
      <c r="N76" s="31">
        <f t="shared" si="34"/>
        <v>0</v>
      </c>
      <c r="O76" s="21"/>
      <c r="P76" s="28"/>
      <c r="Q76" s="22">
        <f t="shared" si="35"/>
        <v>0</v>
      </c>
      <c r="R76" s="26"/>
      <c r="S76" s="26"/>
      <c r="T76" s="31">
        <f t="shared" si="36"/>
        <v>0</v>
      </c>
      <c r="U76" s="26">
        <f t="shared" si="46"/>
        <v>0</v>
      </c>
      <c r="V76" s="26">
        <f t="shared" si="47"/>
        <v>0</v>
      </c>
      <c r="W76" s="26">
        <f t="shared" si="37"/>
        <v>0</v>
      </c>
      <c r="X76" s="36">
        <f t="shared" si="38"/>
        <v>0</v>
      </c>
      <c r="Y76" s="389">
        <f t="shared" si="39"/>
        <v>0</v>
      </c>
      <c r="Z76" s="38"/>
      <c r="AA76" s="38"/>
      <c r="AB76" s="38"/>
      <c r="AC76" s="38"/>
      <c r="AD76" s="157">
        <f t="shared" si="49"/>
        <v>0</v>
      </c>
      <c r="AE76" s="34"/>
      <c r="AF76" s="35"/>
      <c r="AG76" s="392">
        <f>Table3[[#This Row],[Active hours (Other than drilling)]]*$AF$1</f>
        <v>0</v>
      </c>
      <c r="AH76" s="44"/>
      <c r="AI76" s="13"/>
      <c r="AJ76" s="157" cm="1">
        <f t="array" ref="AJ76">SUM(Table3[[#This Row],[Inactive Hours (Other than client standby)]:[Standby Total Hours]]*$AI73)</f>
        <v>0</v>
      </c>
      <c r="AK76" s="45"/>
      <c r="AL76" s="23"/>
      <c r="AM76" s="25" t="str">
        <f t="shared" si="40"/>
        <v/>
      </c>
      <c r="AN76" s="396">
        <f t="shared" si="41"/>
        <v>0</v>
      </c>
      <c r="AO76" s="53"/>
      <c r="AP76" s="398"/>
      <c r="AQ76" s="401">
        <f t="shared" si="42"/>
        <v>390</v>
      </c>
      <c r="AR76" s="298"/>
      <c r="AS76" s="18">
        <f>SUM($AQ$6:AQ76)</f>
        <v>424427.97999999992</v>
      </c>
      <c r="AT76" t="str">
        <f t="shared" si="43"/>
        <v>08</v>
      </c>
      <c r="AU76">
        <f t="shared" si="44"/>
        <v>10</v>
      </c>
      <c r="AV76" t="str">
        <f t="shared" si="45"/>
        <v>D</v>
      </c>
    </row>
    <row r="77" spans="1:48">
      <c r="A77" s="152" t="str">
        <f t="shared" ref="A77:A133" si="50">IFERROR(IF(FIND("MET",E77),"MET",IF(FIND("GT",E77),"GT",)),"")</f>
        <v/>
      </c>
      <c r="B77" s="152"/>
      <c r="C77" s="1">
        <f t="shared" si="48"/>
        <v>45879.71</v>
      </c>
      <c r="D77" t="s">
        <v>172</v>
      </c>
      <c r="G77" s="4"/>
      <c r="H77" s="5" t="str">
        <f t="shared" si="33"/>
        <v/>
      </c>
      <c r="I77" s="21"/>
      <c r="J77" s="28"/>
      <c r="K77" s="28">
        <f t="shared" si="29"/>
        <v>0</v>
      </c>
      <c r="L77" s="30"/>
      <c r="M77" s="26"/>
      <c r="N77" s="31">
        <f t="shared" si="34"/>
        <v>0</v>
      </c>
      <c r="O77" s="21"/>
      <c r="P77" s="28"/>
      <c r="Q77" s="22">
        <f t="shared" si="35"/>
        <v>0</v>
      </c>
      <c r="R77" s="26"/>
      <c r="S77" s="26"/>
      <c r="T77" s="31">
        <f t="shared" si="36"/>
        <v>0</v>
      </c>
      <c r="U77" s="26">
        <f t="shared" si="46"/>
        <v>0</v>
      </c>
      <c r="V77" s="26">
        <f t="shared" si="47"/>
        <v>0</v>
      </c>
      <c r="W77" s="26">
        <f t="shared" si="37"/>
        <v>0</v>
      </c>
      <c r="X77" s="36">
        <f t="shared" si="38"/>
        <v>0</v>
      </c>
      <c r="Y77" s="389" t="str">
        <f t="shared" si="39"/>
        <v/>
      </c>
      <c r="Z77" s="38"/>
      <c r="AA77" s="38"/>
      <c r="AB77" s="38"/>
      <c r="AC77" s="38"/>
      <c r="AD77" s="157">
        <f t="shared" si="49"/>
        <v>0</v>
      </c>
      <c r="AE77" s="34"/>
      <c r="AF77" s="35"/>
      <c r="AG77" s="392">
        <f>Table3[[#This Row],[Active hours (Other than drilling)]]*$AF$1</f>
        <v>0</v>
      </c>
      <c r="AH77" s="44"/>
      <c r="AI77" s="13"/>
      <c r="AJ77" s="157" cm="1">
        <f t="array" ref="AJ77">SUM(Table3[[#This Row],[Inactive Hours (Other than client standby)]:[Standby Total Hours]]*$AI74)</f>
        <v>0</v>
      </c>
      <c r="AK77" s="45"/>
      <c r="AL77" s="23"/>
      <c r="AM77" s="25" t="str">
        <f t="shared" si="40"/>
        <v/>
      </c>
      <c r="AN77" s="396">
        <f t="shared" si="41"/>
        <v>0</v>
      </c>
      <c r="AO77" s="53"/>
      <c r="AP77" s="398"/>
      <c r="AQ77" s="401">
        <f t="shared" si="42"/>
        <v>0</v>
      </c>
      <c r="AR77" s="298"/>
      <c r="AS77" s="18">
        <f>SUM($AQ$6:AQ77)</f>
        <v>424427.97999999992</v>
      </c>
      <c r="AT77" t="str">
        <f t="shared" si="43"/>
        <v>08</v>
      </c>
      <c r="AU77">
        <f t="shared" si="44"/>
        <v>10</v>
      </c>
      <c r="AV77" t="str">
        <f t="shared" si="45"/>
        <v>N</v>
      </c>
    </row>
    <row r="78" spans="1:48">
      <c r="A78" s="152" t="str">
        <f t="shared" si="50"/>
        <v/>
      </c>
      <c r="B78" s="152"/>
      <c r="C78" s="1">
        <f t="shared" si="48"/>
        <v>45880.21</v>
      </c>
      <c r="D78" t="s">
        <v>171</v>
      </c>
      <c r="G78" s="4"/>
      <c r="H78" s="5" t="str">
        <f t="shared" si="33"/>
        <v/>
      </c>
      <c r="I78" s="21"/>
      <c r="J78" s="28"/>
      <c r="K78" s="28">
        <f t="shared" si="29"/>
        <v>0</v>
      </c>
      <c r="L78" s="30"/>
      <c r="M78" s="26"/>
      <c r="N78" s="31">
        <f t="shared" si="34"/>
        <v>0</v>
      </c>
      <c r="O78" s="21"/>
      <c r="P78" s="28"/>
      <c r="Q78" s="22">
        <f t="shared" si="35"/>
        <v>0</v>
      </c>
      <c r="R78" s="26"/>
      <c r="S78" s="26"/>
      <c r="T78" s="31">
        <f t="shared" si="36"/>
        <v>0</v>
      </c>
      <c r="U78" s="26">
        <f t="shared" si="46"/>
        <v>0</v>
      </c>
      <c r="V78" s="26">
        <f t="shared" si="47"/>
        <v>0</v>
      </c>
      <c r="W78" s="26">
        <f t="shared" si="37"/>
        <v>0</v>
      </c>
      <c r="X78" s="36">
        <f t="shared" si="38"/>
        <v>0</v>
      </c>
      <c r="Y78" s="389" t="str">
        <f t="shared" si="39"/>
        <v/>
      </c>
      <c r="Z78" s="38"/>
      <c r="AA78" s="38"/>
      <c r="AB78" s="38"/>
      <c r="AC78" s="38"/>
      <c r="AD78" s="157">
        <f t="shared" si="49"/>
        <v>0</v>
      </c>
      <c r="AE78" s="34"/>
      <c r="AF78" s="35"/>
      <c r="AG78" s="392">
        <f>Table3[[#This Row],[Active hours (Other than drilling)]]*$AF$1</f>
        <v>0</v>
      </c>
      <c r="AH78" s="44"/>
      <c r="AI78" s="13"/>
      <c r="AJ78" s="157" cm="1">
        <f t="array" ref="AJ78">SUM(Table3[[#This Row],[Inactive Hours (Other than client standby)]:[Standby Total Hours]]*$AI75)</f>
        <v>0</v>
      </c>
      <c r="AK78" s="45"/>
      <c r="AL78" s="23"/>
      <c r="AM78" s="25" t="str">
        <f t="shared" si="40"/>
        <v/>
      </c>
      <c r="AN78" s="396">
        <f t="shared" si="41"/>
        <v>0</v>
      </c>
      <c r="AO78" s="53"/>
      <c r="AP78" s="398"/>
      <c r="AQ78" s="401">
        <f t="shared" si="42"/>
        <v>0</v>
      </c>
      <c r="AR78" s="298"/>
      <c r="AS78" s="18">
        <f>SUM($AQ$6:AQ78)</f>
        <v>424427.97999999992</v>
      </c>
      <c r="AT78" t="str">
        <f t="shared" si="43"/>
        <v>08</v>
      </c>
      <c r="AU78">
        <f t="shared" si="44"/>
        <v>11</v>
      </c>
      <c r="AV78" t="str">
        <f t="shared" si="45"/>
        <v>D</v>
      </c>
    </row>
    <row r="79" spans="1:48">
      <c r="A79" s="152" t="str">
        <f t="shared" si="50"/>
        <v/>
      </c>
      <c r="B79" s="152"/>
      <c r="C79" s="1">
        <f t="shared" si="48"/>
        <v>45880.71</v>
      </c>
      <c r="D79" t="s">
        <v>172</v>
      </c>
      <c r="G79" s="4"/>
      <c r="H79" s="5" t="str">
        <f t="shared" si="33"/>
        <v/>
      </c>
      <c r="I79" s="21"/>
      <c r="J79" s="28"/>
      <c r="K79" s="28">
        <f t="shared" si="29"/>
        <v>0</v>
      </c>
      <c r="L79" s="30"/>
      <c r="M79" s="26"/>
      <c r="N79" s="31">
        <f t="shared" si="34"/>
        <v>0</v>
      </c>
      <c r="O79" s="21"/>
      <c r="P79" s="28"/>
      <c r="Q79" s="22">
        <f t="shared" si="35"/>
        <v>0</v>
      </c>
      <c r="R79" s="26"/>
      <c r="S79" s="26"/>
      <c r="T79" s="31">
        <f t="shared" si="36"/>
        <v>0</v>
      </c>
      <c r="U79" s="26">
        <f t="shared" si="46"/>
        <v>0</v>
      </c>
      <c r="V79" s="26">
        <f t="shared" si="47"/>
        <v>0</v>
      </c>
      <c r="W79" s="26">
        <f t="shared" si="37"/>
        <v>0</v>
      </c>
      <c r="X79" s="36">
        <f t="shared" si="38"/>
        <v>0</v>
      </c>
      <c r="Y79" s="389" t="str">
        <f t="shared" si="39"/>
        <v/>
      </c>
      <c r="Z79" s="38"/>
      <c r="AA79" s="38"/>
      <c r="AB79" s="38"/>
      <c r="AC79" s="38"/>
      <c r="AD79" s="157">
        <f t="shared" si="49"/>
        <v>0</v>
      </c>
      <c r="AE79" s="34"/>
      <c r="AF79" s="35"/>
      <c r="AG79" s="392">
        <f>Table3[[#This Row],[Active hours (Other than drilling)]]*$AF$1</f>
        <v>0</v>
      </c>
      <c r="AH79" s="44"/>
      <c r="AI79" s="13"/>
      <c r="AJ79" s="157" cm="1">
        <f t="array" ref="AJ79">SUM(Table3[[#This Row],[Inactive Hours (Other than client standby)]:[Standby Total Hours]]*$AI76)</f>
        <v>0</v>
      </c>
      <c r="AK79" s="45"/>
      <c r="AL79" s="23"/>
      <c r="AM79" s="25" t="str">
        <f t="shared" si="40"/>
        <v/>
      </c>
      <c r="AN79" s="396">
        <f t="shared" si="41"/>
        <v>0</v>
      </c>
      <c r="AO79" s="53"/>
      <c r="AP79" s="398"/>
      <c r="AQ79" s="401">
        <f t="shared" si="42"/>
        <v>0</v>
      </c>
      <c r="AR79" s="298"/>
      <c r="AS79" s="18">
        <f>SUM($AQ$6:AQ79)</f>
        <v>424427.97999999992</v>
      </c>
      <c r="AT79" t="str">
        <f t="shared" si="43"/>
        <v>08</v>
      </c>
      <c r="AU79">
        <f t="shared" si="44"/>
        <v>11</v>
      </c>
      <c r="AV79" t="str">
        <f t="shared" si="45"/>
        <v>N</v>
      </c>
    </row>
    <row r="80" spans="1:48">
      <c r="A80" s="152" t="str">
        <f t="shared" si="50"/>
        <v/>
      </c>
      <c r="B80" s="152"/>
      <c r="C80" s="1">
        <f t="shared" si="48"/>
        <v>45881.21</v>
      </c>
      <c r="D80" t="s">
        <v>171</v>
      </c>
      <c r="G80" s="4"/>
      <c r="H80" s="5" t="str">
        <f t="shared" si="33"/>
        <v/>
      </c>
      <c r="I80" s="21"/>
      <c r="J80" s="28"/>
      <c r="K80" s="28">
        <f t="shared" si="29"/>
        <v>0</v>
      </c>
      <c r="L80" s="30"/>
      <c r="M80" s="26"/>
      <c r="N80" s="31">
        <f t="shared" si="34"/>
        <v>0</v>
      </c>
      <c r="O80" s="21"/>
      <c r="P80" s="28"/>
      <c r="Q80" s="22">
        <f t="shared" si="35"/>
        <v>0</v>
      </c>
      <c r="R80" s="26"/>
      <c r="S80" s="26"/>
      <c r="T80" s="31">
        <f t="shared" si="36"/>
        <v>0</v>
      </c>
      <c r="U80" s="26">
        <f t="shared" si="46"/>
        <v>0</v>
      </c>
      <c r="V80" s="26">
        <f t="shared" si="47"/>
        <v>0</v>
      </c>
      <c r="W80" s="26">
        <f t="shared" si="37"/>
        <v>0</v>
      </c>
      <c r="X80" s="36">
        <f t="shared" si="38"/>
        <v>0</v>
      </c>
      <c r="Y80" s="389" t="str">
        <f t="shared" si="39"/>
        <v/>
      </c>
      <c r="Z80" s="38"/>
      <c r="AA80" s="38"/>
      <c r="AB80" s="38"/>
      <c r="AC80" s="38"/>
      <c r="AD80" s="157">
        <f t="shared" si="49"/>
        <v>0</v>
      </c>
      <c r="AE80" s="34"/>
      <c r="AF80" s="35"/>
      <c r="AG80" s="392">
        <f>Table3[[#This Row],[Active hours (Other than drilling)]]*$AF$1</f>
        <v>0</v>
      </c>
      <c r="AH80" s="44"/>
      <c r="AI80" s="13"/>
      <c r="AJ80" s="157" cm="1">
        <f t="array" ref="AJ80">SUM(Table3[[#This Row],[Inactive Hours (Other than client standby)]:[Standby Total Hours]]*$AI77)</f>
        <v>0</v>
      </c>
      <c r="AK80" s="45"/>
      <c r="AL80" s="23"/>
      <c r="AM80" s="25" t="str">
        <f t="shared" si="40"/>
        <v/>
      </c>
      <c r="AN80" s="396">
        <f t="shared" si="41"/>
        <v>0</v>
      </c>
      <c r="AO80" s="53"/>
      <c r="AP80" s="398"/>
      <c r="AQ80" s="401">
        <f t="shared" si="42"/>
        <v>0</v>
      </c>
      <c r="AR80" s="298"/>
      <c r="AS80" s="18">
        <f>SUM($AQ$6:AQ80)</f>
        <v>424427.97999999992</v>
      </c>
      <c r="AT80" t="str">
        <f t="shared" si="43"/>
        <v>08</v>
      </c>
      <c r="AU80">
        <f t="shared" si="44"/>
        <v>12</v>
      </c>
      <c r="AV80" t="str">
        <f t="shared" si="45"/>
        <v>D</v>
      </c>
    </row>
    <row r="81" spans="1:48">
      <c r="A81" s="152" t="str">
        <f t="shared" si="50"/>
        <v/>
      </c>
      <c r="B81" s="152"/>
      <c r="C81" s="1">
        <f t="shared" si="48"/>
        <v>45881.71</v>
      </c>
      <c r="D81" t="s">
        <v>172</v>
      </c>
      <c r="G81" s="4"/>
      <c r="H81" s="5" t="str">
        <f t="shared" si="33"/>
        <v/>
      </c>
      <c r="I81" s="21"/>
      <c r="J81" s="28"/>
      <c r="K81" s="28">
        <f t="shared" si="29"/>
        <v>0</v>
      </c>
      <c r="L81" s="30"/>
      <c r="M81" s="26"/>
      <c r="N81" s="31">
        <f t="shared" si="34"/>
        <v>0</v>
      </c>
      <c r="O81" s="21"/>
      <c r="P81" s="28"/>
      <c r="Q81" s="22">
        <f t="shared" si="35"/>
        <v>0</v>
      </c>
      <c r="R81" s="26"/>
      <c r="S81" s="26"/>
      <c r="T81" s="31">
        <f t="shared" si="36"/>
        <v>0</v>
      </c>
      <c r="U81" s="26">
        <f t="shared" si="46"/>
        <v>0</v>
      </c>
      <c r="V81" s="26">
        <f t="shared" si="47"/>
        <v>0</v>
      </c>
      <c r="W81" s="26">
        <f t="shared" si="37"/>
        <v>0</v>
      </c>
      <c r="X81" s="36">
        <f t="shared" si="38"/>
        <v>0</v>
      </c>
      <c r="Y81" s="389" t="str">
        <f t="shared" si="39"/>
        <v/>
      </c>
      <c r="Z81" s="38"/>
      <c r="AA81" s="38"/>
      <c r="AB81" s="38"/>
      <c r="AC81" s="38"/>
      <c r="AD81" s="157">
        <f t="shared" si="49"/>
        <v>0</v>
      </c>
      <c r="AE81" s="34"/>
      <c r="AF81" s="35"/>
      <c r="AG81" s="392">
        <f>Table3[[#This Row],[Active hours (Other than drilling)]]*$AF$1</f>
        <v>0</v>
      </c>
      <c r="AH81" s="44"/>
      <c r="AI81" s="13"/>
      <c r="AJ81" s="157" cm="1">
        <f t="array" ref="AJ81">SUM(Table3[[#This Row],[Inactive Hours (Other than client standby)]:[Standby Total Hours]]*$AI78)</f>
        <v>0</v>
      </c>
      <c r="AK81" s="45"/>
      <c r="AL81" s="23"/>
      <c r="AM81" s="25" t="str">
        <f t="shared" si="40"/>
        <v/>
      </c>
      <c r="AN81" s="396">
        <f t="shared" si="41"/>
        <v>0</v>
      </c>
      <c r="AO81" s="53"/>
      <c r="AP81" s="398"/>
      <c r="AQ81" s="401">
        <f t="shared" si="42"/>
        <v>0</v>
      </c>
      <c r="AR81" s="298"/>
      <c r="AS81" s="18">
        <f>SUM($AQ$6:AQ81)</f>
        <v>424427.97999999992</v>
      </c>
      <c r="AT81" t="str">
        <f t="shared" si="43"/>
        <v>08</v>
      </c>
      <c r="AU81">
        <f t="shared" si="44"/>
        <v>12</v>
      </c>
      <c r="AV81" t="str">
        <f t="shared" si="45"/>
        <v>N</v>
      </c>
    </row>
    <row r="82" spans="1:48">
      <c r="A82" s="152" t="str">
        <f t="shared" si="50"/>
        <v/>
      </c>
      <c r="B82" s="152"/>
      <c r="C82" s="1">
        <f t="shared" si="48"/>
        <v>45882.21</v>
      </c>
      <c r="D82" t="s">
        <v>171</v>
      </c>
      <c r="G82" s="4"/>
      <c r="H82" s="5" t="str">
        <f t="shared" si="33"/>
        <v/>
      </c>
      <c r="I82" s="21"/>
      <c r="J82" s="28"/>
      <c r="K82" s="28">
        <f t="shared" si="29"/>
        <v>0</v>
      </c>
      <c r="L82" s="30"/>
      <c r="M82" s="26"/>
      <c r="N82" s="31">
        <f t="shared" si="34"/>
        <v>0</v>
      </c>
      <c r="O82" s="21"/>
      <c r="P82" s="28"/>
      <c r="Q82" s="22">
        <f t="shared" si="35"/>
        <v>0</v>
      </c>
      <c r="R82" s="26"/>
      <c r="S82" s="26"/>
      <c r="T82" s="31">
        <f t="shared" si="36"/>
        <v>0</v>
      </c>
      <c r="U82" s="26">
        <f t="shared" si="46"/>
        <v>0</v>
      </c>
      <c r="V82" s="26">
        <f t="shared" si="47"/>
        <v>0</v>
      </c>
      <c r="W82" s="26">
        <f t="shared" si="37"/>
        <v>0</v>
      </c>
      <c r="X82" s="36">
        <f t="shared" si="38"/>
        <v>0</v>
      </c>
      <c r="Y82" s="389" t="str">
        <f t="shared" si="39"/>
        <v/>
      </c>
      <c r="Z82" s="38"/>
      <c r="AA82" s="38"/>
      <c r="AB82" s="38"/>
      <c r="AC82" s="38"/>
      <c r="AD82" s="157">
        <f t="shared" si="49"/>
        <v>0</v>
      </c>
      <c r="AE82" s="34"/>
      <c r="AF82" s="35"/>
      <c r="AG82" s="392">
        <f>Table3[[#This Row],[Active hours (Other than drilling)]]*$AF$1</f>
        <v>0</v>
      </c>
      <c r="AH82" s="44"/>
      <c r="AI82" s="13"/>
      <c r="AJ82" s="157" cm="1">
        <f t="array" ref="AJ82">SUM(Table3[[#This Row],[Inactive Hours (Other than client standby)]:[Standby Total Hours]]*$AI79)</f>
        <v>0</v>
      </c>
      <c r="AK82" s="45"/>
      <c r="AL82" s="23"/>
      <c r="AM82" s="25" t="str">
        <f t="shared" si="40"/>
        <v/>
      </c>
      <c r="AN82" s="396">
        <f t="shared" si="41"/>
        <v>0</v>
      </c>
      <c r="AO82" s="53"/>
      <c r="AP82" s="398"/>
      <c r="AQ82" s="401">
        <f t="shared" si="42"/>
        <v>0</v>
      </c>
      <c r="AR82" s="298"/>
      <c r="AS82" s="18">
        <f>SUM($AQ$6:AQ82)</f>
        <v>424427.97999999992</v>
      </c>
      <c r="AT82" t="str">
        <f t="shared" si="43"/>
        <v>08</v>
      </c>
      <c r="AU82">
        <f t="shared" si="44"/>
        <v>13</v>
      </c>
      <c r="AV82" t="str">
        <f t="shared" si="45"/>
        <v>D</v>
      </c>
    </row>
    <row r="83" spans="1:48">
      <c r="A83" s="152" t="str">
        <f t="shared" si="50"/>
        <v/>
      </c>
      <c r="B83" s="152"/>
      <c r="C83" s="1">
        <f t="shared" si="48"/>
        <v>45882.71</v>
      </c>
      <c r="D83" t="s">
        <v>172</v>
      </c>
      <c r="G83" s="4"/>
      <c r="H83" s="5" t="str">
        <f t="shared" si="33"/>
        <v/>
      </c>
      <c r="I83" s="21"/>
      <c r="J83" s="28"/>
      <c r="K83" s="28">
        <f t="shared" si="29"/>
        <v>0</v>
      </c>
      <c r="L83" s="30"/>
      <c r="M83" s="26"/>
      <c r="N83" s="31">
        <f t="shared" si="34"/>
        <v>0</v>
      </c>
      <c r="O83" s="21"/>
      <c r="P83" s="28"/>
      <c r="Q83" s="22">
        <f t="shared" si="35"/>
        <v>0</v>
      </c>
      <c r="R83" s="26"/>
      <c r="S83" s="26"/>
      <c r="T83" s="31">
        <f t="shared" si="36"/>
        <v>0</v>
      </c>
      <c r="U83" s="26">
        <f t="shared" si="46"/>
        <v>0</v>
      </c>
      <c r="V83" s="26">
        <f t="shared" si="47"/>
        <v>0</v>
      </c>
      <c r="W83" s="26">
        <f t="shared" si="37"/>
        <v>0</v>
      </c>
      <c r="X83" s="36">
        <f t="shared" si="38"/>
        <v>0</v>
      </c>
      <c r="Y83" s="389" t="str">
        <f t="shared" si="39"/>
        <v/>
      </c>
      <c r="Z83" s="38"/>
      <c r="AA83" s="38"/>
      <c r="AB83" s="38"/>
      <c r="AC83" s="38"/>
      <c r="AD83" s="157">
        <f t="shared" si="49"/>
        <v>0</v>
      </c>
      <c r="AE83" s="34"/>
      <c r="AF83" s="35"/>
      <c r="AG83" s="392">
        <f>Table3[[#This Row],[Active hours (Other than drilling)]]*$AF$1</f>
        <v>0</v>
      </c>
      <c r="AH83" s="44"/>
      <c r="AI83" s="13"/>
      <c r="AJ83" s="157" cm="1">
        <f t="array" ref="AJ83">SUM(Table3[[#This Row],[Inactive Hours (Other than client standby)]:[Standby Total Hours]]*$AI80)</f>
        <v>0</v>
      </c>
      <c r="AK83" s="45"/>
      <c r="AL83" s="23"/>
      <c r="AM83" s="25" t="str">
        <f t="shared" si="40"/>
        <v/>
      </c>
      <c r="AN83" s="396">
        <f t="shared" si="41"/>
        <v>0</v>
      </c>
      <c r="AO83" s="53"/>
      <c r="AP83" s="398"/>
      <c r="AQ83" s="401">
        <f t="shared" si="42"/>
        <v>0</v>
      </c>
      <c r="AR83" s="298"/>
      <c r="AS83" s="18">
        <f>SUM($AQ$6:AQ83)</f>
        <v>424427.97999999992</v>
      </c>
      <c r="AT83" t="str">
        <f t="shared" si="43"/>
        <v>08</v>
      </c>
      <c r="AU83">
        <f t="shared" si="44"/>
        <v>13</v>
      </c>
      <c r="AV83" t="str">
        <f t="shared" si="45"/>
        <v>N</v>
      </c>
    </row>
    <row r="84" spans="1:48">
      <c r="A84" s="152" t="str">
        <f t="shared" si="50"/>
        <v/>
      </c>
      <c r="B84" s="152"/>
      <c r="C84" s="1">
        <f t="shared" si="48"/>
        <v>45883.21</v>
      </c>
      <c r="D84" t="s">
        <v>171</v>
      </c>
      <c r="G84" s="4"/>
      <c r="H84" s="5" t="str">
        <f t="shared" si="33"/>
        <v/>
      </c>
      <c r="I84" s="21"/>
      <c r="J84" s="28"/>
      <c r="K84" s="28">
        <f t="shared" si="29"/>
        <v>0</v>
      </c>
      <c r="L84" s="30"/>
      <c r="M84" s="26"/>
      <c r="N84" s="31">
        <f t="shared" si="34"/>
        <v>0</v>
      </c>
      <c r="O84" s="21"/>
      <c r="P84" s="28"/>
      <c r="Q84" s="22">
        <f t="shared" si="35"/>
        <v>0</v>
      </c>
      <c r="R84" s="26"/>
      <c r="S84" s="26"/>
      <c r="T84" s="31">
        <f t="shared" si="36"/>
        <v>0</v>
      </c>
      <c r="U84" s="26">
        <f t="shared" si="46"/>
        <v>0</v>
      </c>
      <c r="V84" s="26">
        <f t="shared" si="47"/>
        <v>0</v>
      </c>
      <c r="W84" s="26">
        <f t="shared" si="37"/>
        <v>0</v>
      </c>
      <c r="X84" s="36">
        <f t="shared" si="38"/>
        <v>0</v>
      </c>
      <c r="Y84" s="389" t="str">
        <f t="shared" si="39"/>
        <v/>
      </c>
      <c r="Z84" s="38"/>
      <c r="AA84" s="38"/>
      <c r="AB84" s="38"/>
      <c r="AC84" s="38"/>
      <c r="AD84" s="157">
        <f t="shared" si="49"/>
        <v>0</v>
      </c>
      <c r="AE84" s="34"/>
      <c r="AF84" s="35"/>
      <c r="AG84" s="392">
        <f>Table3[[#This Row],[Active hours (Other than drilling)]]*$AF$1</f>
        <v>0</v>
      </c>
      <c r="AH84" s="44"/>
      <c r="AI84" s="13"/>
      <c r="AJ84" s="157" cm="1">
        <f t="array" ref="AJ84">SUM(Table3[[#This Row],[Inactive Hours (Other than client standby)]:[Standby Total Hours]]*$AI81)</f>
        <v>0</v>
      </c>
      <c r="AK84" s="45"/>
      <c r="AL84" s="23"/>
      <c r="AM84" s="25" t="str">
        <f t="shared" si="40"/>
        <v/>
      </c>
      <c r="AN84" s="396">
        <f t="shared" si="41"/>
        <v>0</v>
      </c>
      <c r="AO84" s="53"/>
      <c r="AP84" s="398"/>
      <c r="AQ84" s="401">
        <f t="shared" si="42"/>
        <v>0</v>
      </c>
      <c r="AR84" s="298"/>
      <c r="AS84" s="18">
        <f>SUM($AQ$6:AQ84)</f>
        <v>424427.97999999992</v>
      </c>
      <c r="AT84" t="str">
        <f t="shared" si="43"/>
        <v>08</v>
      </c>
      <c r="AU84">
        <f t="shared" si="44"/>
        <v>14</v>
      </c>
      <c r="AV84" t="str">
        <f t="shared" si="45"/>
        <v>D</v>
      </c>
    </row>
    <row r="85" spans="1:48">
      <c r="A85" s="152" t="str">
        <f t="shared" si="50"/>
        <v/>
      </c>
      <c r="B85" s="152"/>
      <c r="C85" s="1">
        <f t="shared" si="48"/>
        <v>45883.71</v>
      </c>
      <c r="D85" t="s">
        <v>172</v>
      </c>
      <c r="G85" s="4"/>
      <c r="H85" s="5" t="str">
        <f t="shared" si="33"/>
        <v/>
      </c>
      <c r="I85" s="21"/>
      <c r="J85" s="28"/>
      <c r="K85" s="28">
        <f t="shared" si="29"/>
        <v>0</v>
      </c>
      <c r="L85" s="30"/>
      <c r="M85" s="26"/>
      <c r="N85" s="31">
        <f t="shared" si="34"/>
        <v>0</v>
      </c>
      <c r="O85" s="21"/>
      <c r="P85" s="28"/>
      <c r="Q85" s="22">
        <f t="shared" si="35"/>
        <v>0</v>
      </c>
      <c r="R85" s="26"/>
      <c r="S85" s="26"/>
      <c r="T85" s="31">
        <f t="shared" si="36"/>
        <v>0</v>
      </c>
      <c r="U85" s="26">
        <f t="shared" si="46"/>
        <v>0</v>
      </c>
      <c r="V85" s="26">
        <f t="shared" si="47"/>
        <v>0</v>
      </c>
      <c r="W85" s="26">
        <f t="shared" si="37"/>
        <v>0</v>
      </c>
      <c r="X85" s="36">
        <f t="shared" si="38"/>
        <v>0</v>
      </c>
      <c r="Y85" s="389" t="str">
        <f t="shared" si="39"/>
        <v/>
      </c>
      <c r="Z85" s="38"/>
      <c r="AA85" s="38"/>
      <c r="AB85" s="38"/>
      <c r="AC85" s="38"/>
      <c r="AD85" s="157">
        <f t="shared" si="49"/>
        <v>0</v>
      </c>
      <c r="AE85" s="34"/>
      <c r="AF85" s="35"/>
      <c r="AG85" s="392">
        <f>Table3[[#This Row],[Active hours (Other than drilling)]]*$AF$1</f>
        <v>0</v>
      </c>
      <c r="AH85" s="44"/>
      <c r="AI85" s="13"/>
      <c r="AJ85" s="157" cm="1">
        <f t="array" ref="AJ85">SUM(Table3[[#This Row],[Inactive Hours (Other than client standby)]:[Standby Total Hours]]*$AI82)</f>
        <v>0</v>
      </c>
      <c r="AK85" s="45"/>
      <c r="AL85" s="23"/>
      <c r="AM85" s="25" t="str">
        <f t="shared" si="40"/>
        <v/>
      </c>
      <c r="AN85" s="396">
        <f t="shared" si="41"/>
        <v>0</v>
      </c>
      <c r="AO85" s="53"/>
      <c r="AP85" s="398"/>
      <c r="AQ85" s="401">
        <f t="shared" si="42"/>
        <v>0</v>
      </c>
      <c r="AR85" s="298"/>
      <c r="AS85" s="18">
        <f>SUM($AQ$6:AQ85)</f>
        <v>424427.97999999992</v>
      </c>
      <c r="AT85" t="str">
        <f t="shared" si="43"/>
        <v>08</v>
      </c>
      <c r="AU85">
        <f t="shared" si="44"/>
        <v>14</v>
      </c>
      <c r="AV85" t="str">
        <f t="shared" si="45"/>
        <v>N</v>
      </c>
    </row>
    <row r="86" spans="1:48">
      <c r="A86" s="152" t="str">
        <f t="shared" si="50"/>
        <v/>
      </c>
      <c r="B86" s="152"/>
      <c r="C86" s="1">
        <f t="shared" si="48"/>
        <v>45884.21</v>
      </c>
      <c r="D86" t="s">
        <v>171</v>
      </c>
      <c r="G86" s="4"/>
      <c r="H86" s="5" t="str">
        <f t="shared" si="33"/>
        <v/>
      </c>
      <c r="I86" s="21"/>
      <c r="J86" s="28"/>
      <c r="K86" s="28">
        <f t="shared" si="29"/>
        <v>0</v>
      </c>
      <c r="L86" s="30"/>
      <c r="M86" s="26"/>
      <c r="N86" s="31">
        <f t="shared" si="34"/>
        <v>0</v>
      </c>
      <c r="O86" s="21"/>
      <c r="P86" s="28"/>
      <c r="Q86" s="22">
        <f t="shared" si="35"/>
        <v>0</v>
      </c>
      <c r="R86" s="26"/>
      <c r="S86" s="26"/>
      <c r="T86" s="31">
        <f t="shared" si="36"/>
        <v>0</v>
      </c>
      <c r="U86" s="26">
        <f t="shared" si="46"/>
        <v>0</v>
      </c>
      <c r="V86" s="26">
        <f t="shared" si="47"/>
        <v>0</v>
      </c>
      <c r="W86" s="26">
        <f t="shared" si="37"/>
        <v>0</v>
      </c>
      <c r="X86" s="36">
        <f t="shared" si="38"/>
        <v>0</v>
      </c>
      <c r="Y86" s="389" t="str">
        <f t="shared" si="39"/>
        <v/>
      </c>
      <c r="Z86" s="38"/>
      <c r="AA86" s="38"/>
      <c r="AB86" s="38"/>
      <c r="AC86" s="38"/>
      <c r="AD86" s="157">
        <f t="shared" si="49"/>
        <v>0</v>
      </c>
      <c r="AE86" s="34"/>
      <c r="AF86" s="35"/>
      <c r="AG86" s="392">
        <f>Table3[[#This Row],[Active hours (Other than drilling)]]*$AF$1</f>
        <v>0</v>
      </c>
      <c r="AH86" s="44"/>
      <c r="AI86" s="13"/>
      <c r="AJ86" s="157" cm="1">
        <f t="array" ref="AJ86">SUM(Table3[[#This Row],[Inactive Hours (Other than client standby)]:[Standby Total Hours]]*$AI83)</f>
        <v>0</v>
      </c>
      <c r="AK86" s="45"/>
      <c r="AL86" s="23"/>
      <c r="AM86" s="25" t="str">
        <f t="shared" si="40"/>
        <v/>
      </c>
      <c r="AN86" s="396">
        <f t="shared" si="41"/>
        <v>0</v>
      </c>
      <c r="AO86" s="53"/>
      <c r="AP86" s="398"/>
      <c r="AQ86" s="401">
        <f t="shared" si="42"/>
        <v>0</v>
      </c>
      <c r="AR86" s="298"/>
      <c r="AS86" s="18">
        <f>SUM($AQ$6:AQ86)</f>
        <v>424427.97999999992</v>
      </c>
      <c r="AT86" t="str">
        <f t="shared" si="43"/>
        <v>08</v>
      </c>
      <c r="AU86">
        <f t="shared" si="44"/>
        <v>15</v>
      </c>
      <c r="AV86" t="str">
        <f t="shared" si="45"/>
        <v>D</v>
      </c>
    </row>
    <row r="87" spans="1:48">
      <c r="A87" s="152" t="str">
        <f t="shared" si="50"/>
        <v/>
      </c>
      <c r="B87" s="152"/>
      <c r="C87" s="1">
        <f t="shared" si="48"/>
        <v>45884.71</v>
      </c>
      <c r="D87" t="s">
        <v>172</v>
      </c>
      <c r="G87" s="4"/>
      <c r="H87" s="5" t="str">
        <f t="shared" si="33"/>
        <v/>
      </c>
      <c r="I87" s="21"/>
      <c r="J87" s="28"/>
      <c r="K87" s="28">
        <f t="shared" si="29"/>
        <v>0</v>
      </c>
      <c r="L87" s="30"/>
      <c r="M87" s="26"/>
      <c r="N87" s="31">
        <f t="shared" si="34"/>
        <v>0</v>
      </c>
      <c r="O87" s="21"/>
      <c r="P87" s="28"/>
      <c r="Q87" s="22">
        <f t="shared" si="35"/>
        <v>0</v>
      </c>
      <c r="R87" s="26"/>
      <c r="S87" s="26"/>
      <c r="T87" s="31">
        <f t="shared" si="36"/>
        <v>0</v>
      </c>
      <c r="U87" s="26">
        <f t="shared" si="46"/>
        <v>0</v>
      </c>
      <c r="V87" s="26">
        <f t="shared" si="47"/>
        <v>0</v>
      </c>
      <c r="W87" s="26">
        <f t="shared" si="37"/>
        <v>0</v>
      </c>
      <c r="X87" s="36">
        <f t="shared" si="38"/>
        <v>0</v>
      </c>
      <c r="Y87" s="389" t="str">
        <f t="shared" si="39"/>
        <v/>
      </c>
      <c r="Z87" s="38"/>
      <c r="AA87" s="38"/>
      <c r="AB87" s="38"/>
      <c r="AC87" s="38"/>
      <c r="AD87" s="157">
        <f t="shared" si="49"/>
        <v>0</v>
      </c>
      <c r="AE87" s="34"/>
      <c r="AF87" s="35"/>
      <c r="AG87" s="392">
        <f>Table3[[#This Row],[Active hours (Other than drilling)]]*$AF$1</f>
        <v>0</v>
      </c>
      <c r="AH87" s="44"/>
      <c r="AI87" s="13"/>
      <c r="AJ87" s="157" cm="1">
        <f t="array" ref="AJ87">SUM(Table3[[#This Row],[Inactive Hours (Other than client standby)]:[Standby Total Hours]]*$AI84)</f>
        <v>0</v>
      </c>
      <c r="AK87" s="45"/>
      <c r="AL87" s="23"/>
      <c r="AM87" s="25" t="str">
        <f t="shared" si="40"/>
        <v/>
      </c>
      <c r="AN87" s="396">
        <f t="shared" si="41"/>
        <v>0</v>
      </c>
      <c r="AO87" s="53"/>
      <c r="AP87" s="398"/>
      <c r="AQ87" s="401">
        <f t="shared" si="42"/>
        <v>0</v>
      </c>
      <c r="AR87" s="298"/>
      <c r="AS87" s="18">
        <f>SUM($AQ$6:AQ87)</f>
        <v>424427.97999999992</v>
      </c>
      <c r="AT87" t="str">
        <f t="shared" si="43"/>
        <v>08</v>
      </c>
      <c r="AU87">
        <f t="shared" si="44"/>
        <v>15</v>
      </c>
      <c r="AV87" t="str">
        <f t="shared" si="45"/>
        <v>N</v>
      </c>
    </row>
    <row r="88" spans="1:48">
      <c r="A88" s="152" t="str">
        <f t="shared" si="50"/>
        <v/>
      </c>
      <c r="B88" s="152"/>
      <c r="C88" s="1">
        <f t="shared" si="48"/>
        <v>45885.21</v>
      </c>
      <c r="D88" t="s">
        <v>171</v>
      </c>
      <c r="G88" s="4"/>
      <c r="H88" s="5" t="str">
        <f t="shared" si="33"/>
        <v/>
      </c>
      <c r="I88" s="21"/>
      <c r="J88" s="28"/>
      <c r="K88" s="28">
        <f t="shared" si="29"/>
        <v>0</v>
      </c>
      <c r="L88" s="30"/>
      <c r="M88" s="26"/>
      <c r="N88" s="31">
        <f t="shared" si="34"/>
        <v>0</v>
      </c>
      <c r="O88" s="21"/>
      <c r="P88" s="28"/>
      <c r="Q88" s="22">
        <f t="shared" si="35"/>
        <v>0</v>
      </c>
      <c r="R88" s="26"/>
      <c r="S88" s="26"/>
      <c r="T88" s="31">
        <f t="shared" si="36"/>
        <v>0</v>
      </c>
      <c r="U88" s="26">
        <f t="shared" si="46"/>
        <v>0</v>
      </c>
      <c r="V88" s="26">
        <f t="shared" si="47"/>
        <v>0</v>
      </c>
      <c r="W88" s="26">
        <f t="shared" si="37"/>
        <v>0</v>
      </c>
      <c r="X88" s="36">
        <f t="shared" si="38"/>
        <v>0</v>
      </c>
      <c r="Y88" s="389" t="str">
        <f t="shared" si="39"/>
        <v/>
      </c>
      <c r="Z88" s="38"/>
      <c r="AA88" s="38"/>
      <c r="AB88" s="38"/>
      <c r="AC88" s="38"/>
      <c r="AD88" s="157">
        <f t="shared" si="49"/>
        <v>0</v>
      </c>
      <c r="AE88" s="34"/>
      <c r="AF88" s="35"/>
      <c r="AG88" s="392">
        <f>Table3[[#This Row],[Active hours (Other than drilling)]]*$AF$1</f>
        <v>0</v>
      </c>
      <c r="AH88" s="44"/>
      <c r="AI88" s="13"/>
      <c r="AJ88" s="157" cm="1">
        <f t="array" ref="AJ88">SUM(Table3[[#This Row],[Inactive Hours (Other than client standby)]:[Standby Total Hours]]*$AI85)</f>
        <v>0</v>
      </c>
      <c r="AK88" s="45"/>
      <c r="AL88" s="23"/>
      <c r="AM88" s="25" t="str">
        <f t="shared" si="40"/>
        <v/>
      </c>
      <c r="AN88" s="396">
        <f t="shared" si="41"/>
        <v>0</v>
      </c>
      <c r="AO88" s="53"/>
      <c r="AP88" s="398"/>
      <c r="AQ88" s="401">
        <f t="shared" si="42"/>
        <v>0</v>
      </c>
      <c r="AR88" s="298"/>
      <c r="AS88" s="18">
        <f>SUM($AQ$6:AQ88)</f>
        <v>424427.97999999992</v>
      </c>
      <c r="AT88" t="str">
        <f t="shared" si="43"/>
        <v>08</v>
      </c>
      <c r="AU88">
        <f t="shared" si="44"/>
        <v>16</v>
      </c>
      <c r="AV88" t="str">
        <f t="shared" si="45"/>
        <v>D</v>
      </c>
    </row>
    <row r="89" spans="1:48">
      <c r="A89" s="152" t="str">
        <f t="shared" si="50"/>
        <v/>
      </c>
      <c r="B89" s="152"/>
      <c r="C89" s="1">
        <f t="shared" si="48"/>
        <v>45885.71</v>
      </c>
      <c r="D89" t="s">
        <v>172</v>
      </c>
      <c r="G89" s="4"/>
      <c r="H89" s="5" t="str">
        <f t="shared" si="33"/>
        <v/>
      </c>
      <c r="I89" s="21"/>
      <c r="J89" s="28"/>
      <c r="K89" s="28">
        <f t="shared" si="29"/>
        <v>0</v>
      </c>
      <c r="L89" s="30"/>
      <c r="M89" s="26"/>
      <c r="N89" s="31">
        <f t="shared" si="34"/>
        <v>0</v>
      </c>
      <c r="O89" s="21"/>
      <c r="P89" s="28"/>
      <c r="Q89" s="22">
        <f t="shared" si="35"/>
        <v>0</v>
      </c>
      <c r="R89" s="26"/>
      <c r="S89" s="26"/>
      <c r="T89" s="31">
        <f t="shared" si="36"/>
        <v>0</v>
      </c>
      <c r="U89" s="26">
        <f t="shared" si="46"/>
        <v>0</v>
      </c>
      <c r="V89" s="26">
        <f t="shared" si="47"/>
        <v>0</v>
      </c>
      <c r="W89" s="26">
        <f t="shared" si="37"/>
        <v>0</v>
      </c>
      <c r="X89" s="36">
        <f t="shared" si="38"/>
        <v>0</v>
      </c>
      <c r="Y89" s="389" t="str">
        <f t="shared" si="39"/>
        <v/>
      </c>
      <c r="Z89" s="38"/>
      <c r="AA89" s="38"/>
      <c r="AB89" s="38"/>
      <c r="AC89" s="38"/>
      <c r="AD89" s="157">
        <f t="shared" si="49"/>
        <v>0</v>
      </c>
      <c r="AE89" s="34"/>
      <c r="AF89" s="35"/>
      <c r="AG89" s="392">
        <f>Table3[[#This Row],[Active hours (Other than drilling)]]*$AF$1</f>
        <v>0</v>
      </c>
      <c r="AH89" s="44"/>
      <c r="AI89" s="13"/>
      <c r="AJ89" s="157" cm="1">
        <f t="array" ref="AJ89">SUM(Table3[[#This Row],[Inactive Hours (Other than client standby)]:[Standby Total Hours]]*$AI86)</f>
        <v>0</v>
      </c>
      <c r="AK89" s="45"/>
      <c r="AL89" s="23"/>
      <c r="AM89" s="25" t="str">
        <f t="shared" si="40"/>
        <v/>
      </c>
      <c r="AN89" s="396">
        <f t="shared" si="41"/>
        <v>0</v>
      </c>
      <c r="AO89" s="53"/>
      <c r="AP89" s="398"/>
      <c r="AQ89" s="401">
        <f t="shared" si="42"/>
        <v>0</v>
      </c>
      <c r="AR89" s="298"/>
      <c r="AS89" s="18">
        <f>SUM($AQ$6:AQ89)</f>
        <v>424427.97999999992</v>
      </c>
      <c r="AT89" t="str">
        <f t="shared" si="43"/>
        <v>08</v>
      </c>
      <c r="AU89">
        <f t="shared" si="44"/>
        <v>16</v>
      </c>
      <c r="AV89" t="str">
        <f t="shared" si="45"/>
        <v>N</v>
      </c>
    </row>
    <row r="90" spans="1:48">
      <c r="A90" s="152" t="str">
        <f t="shared" si="50"/>
        <v/>
      </c>
      <c r="B90" s="152"/>
      <c r="C90" s="1">
        <f t="shared" si="48"/>
        <v>45886.21</v>
      </c>
      <c r="D90" t="s">
        <v>171</v>
      </c>
      <c r="G90" s="4"/>
      <c r="H90" s="5" t="str">
        <f t="shared" si="33"/>
        <v/>
      </c>
      <c r="I90" s="21"/>
      <c r="J90" s="28"/>
      <c r="K90" s="28">
        <f t="shared" si="29"/>
        <v>0</v>
      </c>
      <c r="L90" s="30"/>
      <c r="M90" s="26"/>
      <c r="N90" s="31">
        <f t="shared" si="34"/>
        <v>0</v>
      </c>
      <c r="O90" s="21"/>
      <c r="P90" s="28"/>
      <c r="Q90" s="22">
        <f t="shared" si="35"/>
        <v>0</v>
      </c>
      <c r="R90" s="26"/>
      <c r="S90" s="26"/>
      <c r="T90" s="31">
        <f t="shared" si="36"/>
        <v>0</v>
      </c>
      <c r="U90" s="26">
        <f t="shared" si="46"/>
        <v>0</v>
      </c>
      <c r="V90" s="26">
        <f t="shared" si="47"/>
        <v>0</v>
      </c>
      <c r="W90" s="26">
        <f t="shared" si="37"/>
        <v>0</v>
      </c>
      <c r="X90" s="36">
        <f t="shared" si="38"/>
        <v>0</v>
      </c>
      <c r="Y90" s="389" t="str">
        <f t="shared" si="39"/>
        <v/>
      </c>
      <c r="Z90" s="38"/>
      <c r="AA90" s="38"/>
      <c r="AB90" s="38"/>
      <c r="AC90" s="38"/>
      <c r="AD90" s="157">
        <f t="shared" si="49"/>
        <v>0</v>
      </c>
      <c r="AE90" s="34"/>
      <c r="AF90" s="35"/>
      <c r="AG90" s="392">
        <f>Table3[[#This Row],[Active hours (Other than drilling)]]*$AF$1</f>
        <v>0</v>
      </c>
      <c r="AH90" s="44"/>
      <c r="AI90" s="13"/>
      <c r="AJ90" s="157" cm="1">
        <f t="array" ref="AJ90">SUM(Table3[[#This Row],[Inactive Hours (Other than client standby)]:[Standby Total Hours]]*$AI87)</f>
        <v>0</v>
      </c>
      <c r="AK90" s="45"/>
      <c r="AL90" s="23"/>
      <c r="AM90" s="25" t="str">
        <f t="shared" si="40"/>
        <v/>
      </c>
      <c r="AN90" s="396">
        <f t="shared" si="41"/>
        <v>0</v>
      </c>
      <c r="AO90" s="53"/>
      <c r="AP90" s="398"/>
      <c r="AQ90" s="401">
        <f t="shared" si="42"/>
        <v>0</v>
      </c>
      <c r="AR90" s="298"/>
      <c r="AS90" s="18">
        <f>SUM($AQ$6:AQ90)</f>
        <v>424427.97999999992</v>
      </c>
      <c r="AT90" t="str">
        <f t="shared" si="43"/>
        <v>08</v>
      </c>
      <c r="AU90">
        <f t="shared" si="44"/>
        <v>17</v>
      </c>
      <c r="AV90" t="str">
        <f t="shared" si="45"/>
        <v>D</v>
      </c>
    </row>
    <row r="91" spans="1:48">
      <c r="A91" s="152" t="str">
        <f t="shared" si="50"/>
        <v/>
      </c>
      <c r="B91" s="152"/>
      <c r="C91" s="1">
        <f t="shared" si="48"/>
        <v>45886.71</v>
      </c>
      <c r="D91" t="s">
        <v>172</v>
      </c>
      <c r="G91" s="4"/>
      <c r="H91" s="5" t="str">
        <f t="shared" si="33"/>
        <v/>
      </c>
      <c r="I91" s="21"/>
      <c r="J91" s="28"/>
      <c r="K91" s="28">
        <f t="shared" si="29"/>
        <v>0</v>
      </c>
      <c r="L91" s="30"/>
      <c r="M91" s="26"/>
      <c r="N91" s="31">
        <f t="shared" si="34"/>
        <v>0</v>
      </c>
      <c r="O91" s="21"/>
      <c r="P91" s="28"/>
      <c r="Q91" s="22">
        <f t="shared" si="35"/>
        <v>0</v>
      </c>
      <c r="R91" s="26"/>
      <c r="S91" s="26"/>
      <c r="T91" s="31">
        <f t="shared" si="36"/>
        <v>0</v>
      </c>
      <c r="U91" s="26">
        <f t="shared" si="46"/>
        <v>0</v>
      </c>
      <c r="V91" s="26">
        <f t="shared" si="47"/>
        <v>0</v>
      </c>
      <c r="W91" s="26">
        <f t="shared" si="37"/>
        <v>0</v>
      </c>
      <c r="X91" s="36">
        <f t="shared" si="38"/>
        <v>0</v>
      </c>
      <c r="Y91" s="389" t="str">
        <f t="shared" si="39"/>
        <v/>
      </c>
      <c r="Z91" s="38"/>
      <c r="AA91" s="38"/>
      <c r="AB91" s="38"/>
      <c r="AC91" s="38"/>
      <c r="AD91" s="157">
        <f t="shared" si="49"/>
        <v>0</v>
      </c>
      <c r="AE91" s="34"/>
      <c r="AF91" s="35"/>
      <c r="AG91" s="392">
        <f>Table3[[#This Row],[Active hours (Other than drilling)]]*$AF$1</f>
        <v>0</v>
      </c>
      <c r="AH91" s="44"/>
      <c r="AI91" s="13"/>
      <c r="AJ91" s="157" cm="1">
        <f t="array" ref="AJ91">SUM(Table3[[#This Row],[Inactive Hours (Other than client standby)]:[Standby Total Hours]]*$AI88)</f>
        <v>0</v>
      </c>
      <c r="AK91" s="45"/>
      <c r="AL91" s="23"/>
      <c r="AM91" s="25" t="str">
        <f t="shared" si="40"/>
        <v/>
      </c>
      <c r="AN91" s="396">
        <f t="shared" si="41"/>
        <v>0</v>
      </c>
      <c r="AO91" s="53"/>
      <c r="AP91" s="398"/>
      <c r="AQ91" s="401">
        <f t="shared" si="42"/>
        <v>0</v>
      </c>
      <c r="AR91" s="298"/>
      <c r="AS91" s="18">
        <f>SUM($AQ$6:AQ91)</f>
        <v>424427.97999999992</v>
      </c>
      <c r="AT91" t="str">
        <f t="shared" si="43"/>
        <v>08</v>
      </c>
      <c r="AU91">
        <f t="shared" si="44"/>
        <v>17</v>
      </c>
      <c r="AV91" t="str">
        <f t="shared" si="45"/>
        <v>N</v>
      </c>
    </row>
    <row r="92" spans="1:48">
      <c r="A92" s="152" t="str">
        <f t="shared" si="50"/>
        <v/>
      </c>
      <c r="B92" s="152"/>
      <c r="C92" s="1">
        <f t="shared" si="48"/>
        <v>45887.21</v>
      </c>
      <c r="D92" t="s">
        <v>171</v>
      </c>
      <c r="G92" s="4"/>
      <c r="H92" s="5" t="str">
        <f t="shared" si="33"/>
        <v/>
      </c>
      <c r="I92" s="21"/>
      <c r="J92" s="28"/>
      <c r="K92" s="28">
        <f t="shared" si="29"/>
        <v>0</v>
      </c>
      <c r="L92" s="30"/>
      <c r="M92" s="26"/>
      <c r="N92" s="31">
        <f t="shared" si="34"/>
        <v>0</v>
      </c>
      <c r="O92" s="21"/>
      <c r="P92" s="28"/>
      <c r="Q92" s="22">
        <f t="shared" si="35"/>
        <v>0</v>
      </c>
      <c r="R92" s="26"/>
      <c r="S92" s="26"/>
      <c r="T92" s="31">
        <f t="shared" si="36"/>
        <v>0</v>
      </c>
      <c r="U92" s="26">
        <f t="shared" si="46"/>
        <v>0</v>
      </c>
      <c r="V92" s="26">
        <f t="shared" si="47"/>
        <v>0</v>
      </c>
      <c r="W92" s="26">
        <f t="shared" si="37"/>
        <v>0</v>
      </c>
      <c r="X92" s="36">
        <f t="shared" si="38"/>
        <v>0</v>
      </c>
      <c r="Y92" s="389" t="str">
        <f t="shared" si="39"/>
        <v/>
      </c>
      <c r="Z92" s="38"/>
      <c r="AA92" s="38"/>
      <c r="AB92" s="38"/>
      <c r="AC92" s="38"/>
      <c r="AD92" s="157">
        <f t="shared" si="49"/>
        <v>0</v>
      </c>
      <c r="AE92" s="34"/>
      <c r="AF92" s="35"/>
      <c r="AG92" s="392">
        <f>Table3[[#This Row],[Active hours (Other than drilling)]]*$AF$1</f>
        <v>0</v>
      </c>
      <c r="AH92" s="44"/>
      <c r="AI92" s="13"/>
      <c r="AJ92" s="157" cm="1">
        <f t="array" ref="AJ92">SUM(Table3[[#This Row],[Inactive Hours (Other than client standby)]:[Standby Total Hours]]*$AI89)</f>
        <v>0</v>
      </c>
      <c r="AK92" s="45"/>
      <c r="AL92" s="23"/>
      <c r="AM92" s="25" t="str">
        <f t="shared" si="40"/>
        <v/>
      </c>
      <c r="AN92" s="396">
        <f t="shared" si="41"/>
        <v>0</v>
      </c>
      <c r="AO92" s="53"/>
      <c r="AP92" s="398"/>
      <c r="AQ92" s="401">
        <f t="shared" si="42"/>
        <v>0</v>
      </c>
      <c r="AR92" s="298"/>
      <c r="AS92" s="18">
        <f>SUM($AQ$6:AQ92)</f>
        <v>424427.97999999992</v>
      </c>
      <c r="AT92" t="str">
        <f t="shared" si="43"/>
        <v>08</v>
      </c>
      <c r="AU92">
        <f t="shared" si="44"/>
        <v>18</v>
      </c>
      <c r="AV92" t="str">
        <f t="shared" si="45"/>
        <v>D</v>
      </c>
    </row>
    <row r="93" spans="1:48">
      <c r="A93" s="152" t="str">
        <f t="shared" si="50"/>
        <v/>
      </c>
      <c r="B93" s="152"/>
      <c r="C93" s="1">
        <f t="shared" si="48"/>
        <v>45887.71</v>
      </c>
      <c r="D93" t="s">
        <v>172</v>
      </c>
      <c r="G93" s="4"/>
      <c r="H93" s="5" t="str">
        <f t="shared" si="33"/>
        <v/>
      </c>
      <c r="I93" s="21"/>
      <c r="J93" s="28"/>
      <c r="K93" s="28">
        <f t="shared" si="29"/>
        <v>0</v>
      </c>
      <c r="L93" s="30"/>
      <c r="M93" s="26"/>
      <c r="N93" s="31">
        <f t="shared" si="34"/>
        <v>0</v>
      </c>
      <c r="O93" s="21"/>
      <c r="P93" s="28"/>
      <c r="Q93" s="22">
        <f t="shared" si="35"/>
        <v>0</v>
      </c>
      <c r="R93" s="26"/>
      <c r="S93" s="26"/>
      <c r="T93" s="31">
        <f t="shared" si="36"/>
        <v>0</v>
      </c>
      <c r="U93" s="26">
        <f t="shared" si="46"/>
        <v>0</v>
      </c>
      <c r="V93" s="26">
        <f t="shared" si="47"/>
        <v>0</v>
      </c>
      <c r="W93" s="26">
        <f t="shared" si="37"/>
        <v>0</v>
      </c>
      <c r="X93" s="36">
        <f t="shared" si="38"/>
        <v>0</v>
      </c>
      <c r="Y93" s="389" t="str">
        <f t="shared" si="39"/>
        <v/>
      </c>
      <c r="Z93" s="38"/>
      <c r="AA93" s="38"/>
      <c r="AB93" s="38"/>
      <c r="AC93" s="38"/>
      <c r="AD93" s="157">
        <f t="shared" si="49"/>
        <v>0</v>
      </c>
      <c r="AE93" s="34"/>
      <c r="AF93" s="35"/>
      <c r="AG93" s="392">
        <f>Table3[[#This Row],[Active hours (Other than drilling)]]*$AF$1</f>
        <v>0</v>
      </c>
      <c r="AH93" s="44"/>
      <c r="AI93" s="13"/>
      <c r="AJ93" s="157" cm="1">
        <f t="array" ref="AJ93">SUM(Table3[[#This Row],[Inactive Hours (Other than client standby)]:[Standby Total Hours]]*$AI90)</f>
        <v>0</v>
      </c>
      <c r="AK93" s="45"/>
      <c r="AL93" s="23"/>
      <c r="AM93" s="25" t="str">
        <f t="shared" si="40"/>
        <v/>
      </c>
      <c r="AN93" s="396">
        <f t="shared" si="41"/>
        <v>0</v>
      </c>
      <c r="AO93" s="53"/>
      <c r="AP93" s="398"/>
      <c r="AQ93" s="401">
        <f t="shared" si="42"/>
        <v>0</v>
      </c>
      <c r="AR93" s="298"/>
      <c r="AS93" s="18">
        <f>SUM($AQ$6:AQ93)</f>
        <v>424427.97999999992</v>
      </c>
      <c r="AT93" t="str">
        <f t="shared" si="43"/>
        <v>08</v>
      </c>
      <c r="AU93">
        <f t="shared" si="44"/>
        <v>18</v>
      </c>
      <c r="AV93" t="str">
        <f t="shared" si="45"/>
        <v>N</v>
      </c>
    </row>
    <row r="94" spans="1:48">
      <c r="A94" s="152" t="str">
        <f t="shared" si="50"/>
        <v/>
      </c>
      <c r="B94" s="152"/>
      <c r="C94" s="1">
        <f t="shared" si="48"/>
        <v>45888.21</v>
      </c>
      <c r="D94" t="s">
        <v>171</v>
      </c>
      <c r="G94" s="4"/>
      <c r="H94" s="5" t="str">
        <f t="shared" si="33"/>
        <v/>
      </c>
      <c r="I94" s="21"/>
      <c r="J94" s="28"/>
      <c r="K94" s="28">
        <f t="shared" si="29"/>
        <v>0</v>
      </c>
      <c r="L94" s="30"/>
      <c r="M94" s="26"/>
      <c r="N94" s="31">
        <f t="shared" si="34"/>
        <v>0</v>
      </c>
      <c r="O94" s="21"/>
      <c r="P94" s="28"/>
      <c r="Q94" s="22">
        <f t="shared" si="35"/>
        <v>0</v>
      </c>
      <c r="R94" s="26"/>
      <c r="S94" s="26"/>
      <c r="T94" s="31">
        <f t="shared" si="36"/>
        <v>0</v>
      </c>
      <c r="U94" s="26">
        <f t="shared" si="46"/>
        <v>0</v>
      </c>
      <c r="V94" s="26">
        <f t="shared" si="47"/>
        <v>0</v>
      </c>
      <c r="W94" s="26">
        <f t="shared" si="37"/>
        <v>0</v>
      </c>
      <c r="X94" s="36">
        <f t="shared" si="38"/>
        <v>0</v>
      </c>
      <c r="Y94" s="389" t="str">
        <f t="shared" si="39"/>
        <v/>
      </c>
      <c r="Z94" s="38"/>
      <c r="AA94" s="38"/>
      <c r="AB94" s="38"/>
      <c r="AC94" s="38"/>
      <c r="AD94" s="157">
        <f t="shared" si="49"/>
        <v>0</v>
      </c>
      <c r="AE94" s="34"/>
      <c r="AF94" s="35"/>
      <c r="AG94" s="392">
        <f>Table3[[#This Row],[Active hours (Other than drilling)]]*$AF$1</f>
        <v>0</v>
      </c>
      <c r="AH94" s="44"/>
      <c r="AI94" s="13"/>
      <c r="AJ94" s="157" cm="1">
        <f t="array" ref="AJ94">SUM(Table3[[#This Row],[Inactive Hours (Other than client standby)]:[Standby Total Hours]]*$AI91)</f>
        <v>0</v>
      </c>
      <c r="AK94" s="45"/>
      <c r="AL94" s="23"/>
      <c r="AM94" s="25" t="str">
        <f t="shared" si="40"/>
        <v/>
      </c>
      <c r="AN94" s="396">
        <f t="shared" si="41"/>
        <v>0</v>
      </c>
      <c r="AO94" s="53"/>
      <c r="AP94" s="398"/>
      <c r="AQ94" s="401">
        <f t="shared" si="42"/>
        <v>0</v>
      </c>
      <c r="AR94" s="298"/>
      <c r="AS94" s="18">
        <f>SUM($AQ$6:AQ94)</f>
        <v>424427.97999999992</v>
      </c>
      <c r="AT94" t="str">
        <f t="shared" si="43"/>
        <v>08</v>
      </c>
      <c r="AU94">
        <f t="shared" si="44"/>
        <v>19</v>
      </c>
      <c r="AV94" t="str">
        <f t="shared" si="45"/>
        <v>D</v>
      </c>
    </row>
    <row r="95" spans="1:48">
      <c r="A95" s="152" t="str">
        <f t="shared" si="50"/>
        <v/>
      </c>
      <c r="B95" s="152"/>
      <c r="C95" s="1">
        <f t="shared" si="48"/>
        <v>45888.71</v>
      </c>
      <c r="D95" t="s">
        <v>172</v>
      </c>
      <c r="G95" s="4"/>
      <c r="H95" s="5" t="str">
        <f t="shared" si="33"/>
        <v/>
      </c>
      <c r="I95" s="21"/>
      <c r="J95" s="28"/>
      <c r="K95" s="28">
        <f t="shared" si="29"/>
        <v>0</v>
      </c>
      <c r="L95" s="30"/>
      <c r="M95" s="26"/>
      <c r="N95" s="31">
        <f t="shared" si="34"/>
        <v>0</v>
      </c>
      <c r="O95" s="21"/>
      <c r="P95" s="28"/>
      <c r="Q95" s="22">
        <f t="shared" si="35"/>
        <v>0</v>
      </c>
      <c r="R95" s="26"/>
      <c r="S95" s="26"/>
      <c r="T95" s="31">
        <f t="shared" si="36"/>
        <v>0</v>
      </c>
      <c r="U95" s="26">
        <f t="shared" si="46"/>
        <v>0</v>
      </c>
      <c r="V95" s="26">
        <f t="shared" si="47"/>
        <v>0</v>
      </c>
      <c r="W95" s="26">
        <f t="shared" si="37"/>
        <v>0</v>
      </c>
      <c r="X95" s="36">
        <f t="shared" si="38"/>
        <v>0</v>
      </c>
      <c r="Y95" s="389" t="str">
        <f t="shared" si="39"/>
        <v/>
      </c>
      <c r="Z95" s="38"/>
      <c r="AA95" s="38"/>
      <c r="AB95" s="38"/>
      <c r="AC95" s="38"/>
      <c r="AD95" s="157">
        <f t="shared" si="49"/>
        <v>0</v>
      </c>
      <c r="AE95" s="34"/>
      <c r="AF95" s="35"/>
      <c r="AG95" s="392">
        <f>Table3[[#This Row],[Active hours (Other than drilling)]]*$AF$1</f>
        <v>0</v>
      </c>
      <c r="AH95" s="44"/>
      <c r="AI95" s="13"/>
      <c r="AJ95" s="157" cm="1">
        <f t="array" ref="AJ95">SUM(Table3[[#This Row],[Inactive Hours (Other than client standby)]:[Standby Total Hours]]*$AI92)</f>
        <v>0</v>
      </c>
      <c r="AK95" s="45"/>
      <c r="AL95" s="23"/>
      <c r="AM95" s="25" t="str">
        <f t="shared" si="40"/>
        <v/>
      </c>
      <c r="AN95" s="396">
        <f t="shared" si="41"/>
        <v>0</v>
      </c>
      <c r="AO95" s="53"/>
      <c r="AP95" s="398"/>
      <c r="AQ95" s="401">
        <f t="shared" si="42"/>
        <v>0</v>
      </c>
      <c r="AR95" s="298"/>
      <c r="AS95" s="18">
        <f>SUM($AQ$6:AQ95)</f>
        <v>424427.97999999992</v>
      </c>
      <c r="AT95" t="str">
        <f t="shared" si="43"/>
        <v>08</v>
      </c>
      <c r="AU95">
        <f t="shared" si="44"/>
        <v>19</v>
      </c>
      <c r="AV95" t="str">
        <f t="shared" si="45"/>
        <v>N</v>
      </c>
    </row>
    <row r="96" spans="1:48">
      <c r="A96" s="152" t="str">
        <f t="shared" si="50"/>
        <v/>
      </c>
      <c r="B96" s="152"/>
      <c r="C96" s="1">
        <f t="shared" si="48"/>
        <v>45889.21</v>
      </c>
      <c r="D96" t="s">
        <v>171</v>
      </c>
      <c r="G96" s="4"/>
      <c r="H96" s="5" t="str">
        <f t="shared" si="33"/>
        <v/>
      </c>
      <c r="I96" s="21"/>
      <c r="J96" s="28"/>
      <c r="K96" s="28">
        <f t="shared" si="29"/>
        <v>0</v>
      </c>
      <c r="L96" s="30"/>
      <c r="M96" s="26"/>
      <c r="N96" s="31">
        <f t="shared" si="34"/>
        <v>0</v>
      </c>
      <c r="O96" s="21"/>
      <c r="P96" s="28"/>
      <c r="Q96" s="22">
        <f t="shared" si="35"/>
        <v>0</v>
      </c>
      <c r="R96" s="26"/>
      <c r="S96" s="26"/>
      <c r="T96" s="31">
        <f t="shared" si="36"/>
        <v>0</v>
      </c>
      <c r="U96" s="26">
        <f t="shared" si="46"/>
        <v>0</v>
      </c>
      <c r="V96" s="26">
        <f t="shared" si="47"/>
        <v>0</v>
      </c>
      <c r="W96" s="26">
        <f t="shared" si="37"/>
        <v>0</v>
      </c>
      <c r="X96" s="36">
        <f t="shared" si="38"/>
        <v>0</v>
      </c>
      <c r="Y96" s="389" t="str">
        <f t="shared" si="39"/>
        <v/>
      </c>
      <c r="Z96" s="38"/>
      <c r="AA96" s="38"/>
      <c r="AB96" s="38"/>
      <c r="AC96" s="38"/>
      <c r="AD96" s="157">
        <f t="shared" si="49"/>
        <v>0</v>
      </c>
      <c r="AE96" s="34"/>
      <c r="AF96" s="35"/>
      <c r="AG96" s="392">
        <f>Table3[[#This Row],[Active hours (Other than drilling)]]*$AF$1</f>
        <v>0</v>
      </c>
      <c r="AH96" s="44"/>
      <c r="AI96" s="13"/>
      <c r="AJ96" s="157" cm="1">
        <f t="array" ref="AJ96">SUM(Table3[[#This Row],[Inactive Hours (Other than client standby)]:[Standby Total Hours]]*$AI93)</f>
        <v>0</v>
      </c>
      <c r="AK96" s="45"/>
      <c r="AL96" s="23"/>
      <c r="AM96" s="25" t="str">
        <f t="shared" si="40"/>
        <v/>
      </c>
      <c r="AN96" s="396">
        <f t="shared" si="41"/>
        <v>0</v>
      </c>
      <c r="AO96" s="53"/>
      <c r="AP96" s="398"/>
      <c r="AQ96" s="401">
        <f t="shared" si="42"/>
        <v>0</v>
      </c>
      <c r="AR96" s="298"/>
      <c r="AS96" s="18">
        <f>SUM($AQ$6:AQ96)</f>
        <v>424427.97999999992</v>
      </c>
      <c r="AT96" t="str">
        <f t="shared" si="43"/>
        <v>08</v>
      </c>
      <c r="AU96">
        <f t="shared" si="44"/>
        <v>20</v>
      </c>
      <c r="AV96" t="str">
        <f t="shared" si="45"/>
        <v>D</v>
      </c>
    </row>
    <row r="97" spans="1:48">
      <c r="A97" s="152" t="str">
        <f t="shared" si="50"/>
        <v/>
      </c>
      <c r="B97" s="152"/>
      <c r="C97" s="1">
        <f t="shared" si="48"/>
        <v>45889.71</v>
      </c>
      <c r="D97" t="s">
        <v>172</v>
      </c>
      <c r="G97" s="4"/>
      <c r="H97" s="5" t="str">
        <f t="shared" si="33"/>
        <v/>
      </c>
      <c r="I97" s="21"/>
      <c r="J97" s="28"/>
      <c r="K97" s="28">
        <f t="shared" si="29"/>
        <v>0</v>
      </c>
      <c r="L97" s="30"/>
      <c r="M97" s="26"/>
      <c r="N97" s="31">
        <f t="shared" si="34"/>
        <v>0</v>
      </c>
      <c r="O97" s="21"/>
      <c r="P97" s="28"/>
      <c r="Q97" s="22">
        <f t="shared" si="35"/>
        <v>0</v>
      </c>
      <c r="R97" s="26"/>
      <c r="S97" s="26"/>
      <c r="T97" s="31">
        <f t="shared" si="36"/>
        <v>0</v>
      </c>
      <c r="U97" s="26">
        <f t="shared" si="46"/>
        <v>0</v>
      </c>
      <c r="V97" s="26">
        <f t="shared" si="47"/>
        <v>0</v>
      </c>
      <c r="W97" s="26">
        <f t="shared" si="37"/>
        <v>0</v>
      </c>
      <c r="X97" s="36">
        <f t="shared" si="38"/>
        <v>0</v>
      </c>
      <c r="Y97" s="389" t="str">
        <f t="shared" si="39"/>
        <v/>
      </c>
      <c r="Z97" s="38"/>
      <c r="AA97" s="38"/>
      <c r="AB97" s="38"/>
      <c r="AC97" s="38"/>
      <c r="AD97" s="157">
        <f t="shared" si="49"/>
        <v>0</v>
      </c>
      <c r="AE97" s="34"/>
      <c r="AF97" s="35"/>
      <c r="AG97" s="392">
        <f>Table3[[#This Row],[Active hours (Other than drilling)]]*$AF$1</f>
        <v>0</v>
      </c>
      <c r="AH97" s="44"/>
      <c r="AI97" s="13"/>
      <c r="AJ97" s="157" cm="1">
        <f t="array" ref="AJ97">SUM(Table3[[#This Row],[Inactive Hours (Other than client standby)]:[Standby Total Hours]]*$AI94)</f>
        <v>0</v>
      </c>
      <c r="AK97" s="45"/>
      <c r="AL97" s="23"/>
      <c r="AM97" s="25" t="str">
        <f t="shared" si="40"/>
        <v/>
      </c>
      <c r="AN97" s="396">
        <f t="shared" si="41"/>
        <v>0</v>
      </c>
      <c r="AO97" s="53"/>
      <c r="AP97" s="398"/>
      <c r="AQ97" s="401">
        <f t="shared" si="42"/>
        <v>0</v>
      </c>
      <c r="AR97" s="298"/>
      <c r="AS97" s="18">
        <f>SUM($AQ$6:AQ97)</f>
        <v>424427.97999999992</v>
      </c>
      <c r="AT97" t="str">
        <f t="shared" si="43"/>
        <v>08</v>
      </c>
      <c r="AU97">
        <f t="shared" si="44"/>
        <v>20</v>
      </c>
      <c r="AV97" t="str">
        <f t="shared" si="45"/>
        <v>N</v>
      </c>
    </row>
    <row r="98" spans="1:48">
      <c r="A98" s="152" t="str">
        <f t="shared" si="50"/>
        <v/>
      </c>
      <c r="B98" s="152"/>
      <c r="C98" s="1">
        <f t="shared" si="48"/>
        <v>45890.21</v>
      </c>
      <c r="D98" t="s">
        <v>171</v>
      </c>
      <c r="G98" s="4"/>
      <c r="H98" s="5" t="str">
        <f t="shared" si="33"/>
        <v/>
      </c>
      <c r="I98" s="21"/>
      <c r="J98" s="28"/>
      <c r="K98" s="28">
        <f t="shared" si="29"/>
        <v>0</v>
      </c>
      <c r="L98" s="30"/>
      <c r="M98" s="26"/>
      <c r="N98" s="31">
        <f t="shared" si="34"/>
        <v>0</v>
      </c>
      <c r="O98" s="21"/>
      <c r="P98" s="28"/>
      <c r="Q98" s="22">
        <f t="shared" si="35"/>
        <v>0</v>
      </c>
      <c r="R98" s="26"/>
      <c r="S98" s="26"/>
      <c r="T98" s="31">
        <f t="shared" si="36"/>
        <v>0</v>
      </c>
      <c r="U98" s="26">
        <f t="shared" si="46"/>
        <v>0</v>
      </c>
      <c r="V98" s="26">
        <f t="shared" si="47"/>
        <v>0</v>
      </c>
      <c r="W98" s="26">
        <f t="shared" si="37"/>
        <v>0</v>
      </c>
      <c r="X98" s="36">
        <f t="shared" si="38"/>
        <v>0</v>
      </c>
      <c r="Y98" s="389" t="str">
        <f t="shared" si="39"/>
        <v/>
      </c>
      <c r="Z98" s="38"/>
      <c r="AA98" s="38"/>
      <c r="AB98" s="38"/>
      <c r="AC98" s="38"/>
      <c r="AD98" s="157">
        <f t="shared" si="49"/>
        <v>0</v>
      </c>
      <c r="AE98" s="34"/>
      <c r="AF98" s="35"/>
      <c r="AG98" s="392">
        <f>Table3[[#This Row],[Active hours (Other than drilling)]]*$AF$1</f>
        <v>0</v>
      </c>
      <c r="AH98" s="44"/>
      <c r="AI98" s="13"/>
      <c r="AJ98" s="157" cm="1">
        <f t="array" ref="AJ98">SUM(Table3[[#This Row],[Inactive Hours (Other than client standby)]:[Standby Total Hours]]*$AI95)</f>
        <v>0</v>
      </c>
      <c r="AK98" s="45"/>
      <c r="AL98" s="23"/>
      <c r="AM98" s="25" t="str">
        <f t="shared" si="40"/>
        <v/>
      </c>
      <c r="AN98" s="396">
        <f t="shared" si="41"/>
        <v>0</v>
      </c>
      <c r="AO98" s="53"/>
      <c r="AP98" s="398"/>
      <c r="AQ98" s="401">
        <f t="shared" si="42"/>
        <v>0</v>
      </c>
      <c r="AR98" s="298"/>
      <c r="AS98" s="18">
        <f>SUM($AQ$6:AQ98)</f>
        <v>424427.97999999992</v>
      </c>
      <c r="AT98" t="str">
        <f t="shared" si="43"/>
        <v>08</v>
      </c>
      <c r="AU98">
        <f t="shared" si="44"/>
        <v>21</v>
      </c>
      <c r="AV98" t="str">
        <f t="shared" si="45"/>
        <v>D</v>
      </c>
    </row>
    <row r="99" spans="1:48">
      <c r="A99" s="152" t="str">
        <f t="shared" si="50"/>
        <v/>
      </c>
      <c r="B99" s="152"/>
      <c r="C99" s="1">
        <f t="shared" si="48"/>
        <v>45890.71</v>
      </c>
      <c r="D99" t="s">
        <v>172</v>
      </c>
      <c r="G99" s="4"/>
      <c r="H99" s="5" t="str">
        <f t="shared" si="33"/>
        <v/>
      </c>
      <c r="I99" s="21"/>
      <c r="J99" s="28"/>
      <c r="K99" s="28">
        <f t="shared" si="29"/>
        <v>0</v>
      </c>
      <c r="L99" s="30"/>
      <c r="M99" s="26"/>
      <c r="N99" s="31">
        <f t="shared" si="34"/>
        <v>0</v>
      </c>
      <c r="O99" s="21"/>
      <c r="P99" s="28"/>
      <c r="Q99" s="22">
        <f t="shared" si="35"/>
        <v>0</v>
      </c>
      <c r="R99" s="26"/>
      <c r="S99" s="26"/>
      <c r="T99" s="31">
        <f t="shared" si="36"/>
        <v>0</v>
      </c>
      <c r="U99" s="26">
        <f t="shared" si="46"/>
        <v>0</v>
      </c>
      <c r="V99" s="26">
        <f t="shared" si="47"/>
        <v>0</v>
      </c>
      <c r="W99" s="26">
        <f t="shared" si="37"/>
        <v>0</v>
      </c>
      <c r="X99" s="36">
        <f t="shared" si="38"/>
        <v>0</v>
      </c>
      <c r="Y99" s="389" t="str">
        <f t="shared" si="39"/>
        <v/>
      </c>
      <c r="Z99" s="38"/>
      <c r="AA99" s="38"/>
      <c r="AB99" s="38"/>
      <c r="AC99" s="38"/>
      <c r="AD99" s="157">
        <f t="shared" si="49"/>
        <v>0</v>
      </c>
      <c r="AE99" s="34"/>
      <c r="AF99" s="35"/>
      <c r="AG99" s="392">
        <f>Table3[[#This Row],[Active hours (Other than drilling)]]*$AF$1</f>
        <v>0</v>
      </c>
      <c r="AH99" s="44"/>
      <c r="AI99" s="13"/>
      <c r="AJ99" s="157" cm="1">
        <f t="array" ref="AJ99">SUM(Table3[[#This Row],[Inactive Hours (Other than client standby)]:[Standby Total Hours]]*$AI96)</f>
        <v>0</v>
      </c>
      <c r="AK99" s="45"/>
      <c r="AL99" s="23"/>
      <c r="AM99" s="25" t="str">
        <f t="shared" si="40"/>
        <v/>
      </c>
      <c r="AN99" s="396">
        <f t="shared" si="41"/>
        <v>0</v>
      </c>
      <c r="AO99" s="53"/>
      <c r="AP99" s="398"/>
      <c r="AQ99" s="401">
        <f t="shared" si="42"/>
        <v>0</v>
      </c>
      <c r="AR99" s="298"/>
      <c r="AS99" s="18">
        <f>SUM($AQ$6:AQ99)</f>
        <v>424427.97999999992</v>
      </c>
      <c r="AT99" t="str">
        <f t="shared" si="43"/>
        <v>08</v>
      </c>
      <c r="AU99">
        <f t="shared" si="44"/>
        <v>21</v>
      </c>
      <c r="AV99" t="str">
        <f t="shared" si="45"/>
        <v>N</v>
      </c>
    </row>
    <row r="100" spans="1:48">
      <c r="A100" s="152" t="str">
        <f t="shared" si="50"/>
        <v/>
      </c>
      <c r="B100" s="152"/>
      <c r="C100" s="1">
        <f t="shared" si="48"/>
        <v>45891.21</v>
      </c>
      <c r="D100" t="s">
        <v>171</v>
      </c>
      <c r="G100" s="4"/>
      <c r="H100" s="5" t="str">
        <f t="shared" ref="H100:H131" si="51">IF(ISBLANK(G100),"",G100*$H$1)</f>
        <v/>
      </c>
      <c r="I100" s="21"/>
      <c r="J100" s="28"/>
      <c r="K100" s="28">
        <f t="shared" si="29"/>
        <v>0</v>
      </c>
      <c r="L100" s="30"/>
      <c r="M100" s="26"/>
      <c r="N100" s="31">
        <f t="shared" si="34"/>
        <v>0</v>
      </c>
      <c r="O100" s="21"/>
      <c r="P100" s="28"/>
      <c r="Q100" s="22">
        <f t="shared" si="35"/>
        <v>0</v>
      </c>
      <c r="R100" s="26"/>
      <c r="S100" s="26"/>
      <c r="T100" s="31">
        <f t="shared" si="36"/>
        <v>0</v>
      </c>
      <c r="U100" s="26">
        <f t="shared" si="46"/>
        <v>0</v>
      </c>
      <c r="V100" s="26">
        <f t="shared" si="47"/>
        <v>0</v>
      </c>
      <c r="W100" s="26">
        <f t="shared" si="37"/>
        <v>0</v>
      </c>
      <c r="X100" s="36">
        <f t="shared" si="38"/>
        <v>0</v>
      </c>
      <c r="Y100" s="389" t="str">
        <f t="shared" si="39"/>
        <v/>
      </c>
      <c r="Z100" s="38"/>
      <c r="AA100" s="38"/>
      <c r="AB100" s="38"/>
      <c r="AC100" s="38"/>
      <c r="AD100" s="157">
        <f t="shared" si="49"/>
        <v>0</v>
      </c>
      <c r="AE100" s="34"/>
      <c r="AF100" s="35"/>
      <c r="AG100" s="392">
        <f>Table3[[#This Row],[Active hours (Other than drilling)]]*$AF$1</f>
        <v>0</v>
      </c>
      <c r="AH100" s="44"/>
      <c r="AI100" s="13"/>
      <c r="AJ100" s="157" cm="1">
        <f t="array" ref="AJ100">SUM(Table3[[#This Row],[Inactive Hours (Other than client standby)]:[Standby Total Hours]]*$AI97)</f>
        <v>0</v>
      </c>
      <c r="AK100" s="45"/>
      <c r="AL100" s="23"/>
      <c r="AM100" s="25" t="str">
        <f t="shared" ref="AM100:AM131" si="52">IF(ISBLANK(AE100),"",SUM(AE100:AF100,AH100:AI100,AK100:AL100))</f>
        <v/>
      </c>
      <c r="AN100" s="396">
        <f t="shared" ref="AN100:AN131" si="53">(AF100*$AF$1)+(AH100*$AH$1)+(AI100*$AI$1)</f>
        <v>0</v>
      </c>
      <c r="AO100" s="53"/>
      <c r="AP100" s="398"/>
      <c r="AQ100" s="401">
        <f t="shared" ref="AQ100:AQ131" si="54">SUM(Y100,AN100,AP100,H100)+AD100</f>
        <v>0</v>
      </c>
      <c r="AR100" s="298"/>
      <c r="AS100" s="18">
        <f>SUM($AQ$6:AQ100)</f>
        <v>424427.97999999992</v>
      </c>
      <c r="AT100" t="str">
        <f t="shared" ref="AT100:AT131" si="55">_xlfn.TEXTJOIN(,TRUE,"0",MONTH(C100))</f>
        <v>08</v>
      </c>
      <c r="AU100">
        <f t="shared" ref="AU100:AU131" si="56">DAY(C100)</f>
        <v>22</v>
      </c>
      <c r="AV100" t="str">
        <f t="shared" ref="AV100:AV131" si="57">LEFT(D100,1)</f>
        <v>D</v>
      </c>
    </row>
    <row r="101" spans="1:48">
      <c r="A101" s="152" t="str">
        <f t="shared" si="50"/>
        <v/>
      </c>
      <c r="B101" s="152"/>
      <c r="C101" s="1">
        <f t="shared" si="48"/>
        <v>45891.71</v>
      </c>
      <c r="D101" t="s">
        <v>172</v>
      </c>
      <c r="G101" s="4"/>
      <c r="H101" s="5" t="str">
        <f t="shared" si="51"/>
        <v/>
      </c>
      <c r="I101" s="21"/>
      <c r="J101" s="28"/>
      <c r="K101" s="28">
        <f t="shared" si="29"/>
        <v>0</v>
      </c>
      <c r="L101" s="30"/>
      <c r="M101" s="26"/>
      <c r="N101" s="31">
        <f t="shared" si="34"/>
        <v>0</v>
      </c>
      <c r="O101" s="21"/>
      <c r="P101" s="28"/>
      <c r="Q101" s="22">
        <f t="shared" si="35"/>
        <v>0</v>
      </c>
      <c r="R101" s="26"/>
      <c r="S101" s="26"/>
      <c r="T101" s="31">
        <f t="shared" si="36"/>
        <v>0</v>
      </c>
      <c r="U101" s="26">
        <f t="shared" si="46"/>
        <v>0</v>
      </c>
      <c r="V101" s="26">
        <f t="shared" si="47"/>
        <v>0</v>
      </c>
      <c r="W101" s="26">
        <f t="shared" si="37"/>
        <v>0</v>
      </c>
      <c r="X101" s="36">
        <f t="shared" si="38"/>
        <v>0</v>
      </c>
      <c r="Y101" s="389" t="str">
        <f t="shared" si="39"/>
        <v/>
      </c>
      <c r="Z101" s="38"/>
      <c r="AA101" s="38"/>
      <c r="AB101" s="38"/>
      <c r="AC101" s="38"/>
      <c r="AD101" s="157">
        <f t="shared" si="49"/>
        <v>0</v>
      </c>
      <c r="AE101" s="34"/>
      <c r="AF101" s="35"/>
      <c r="AG101" s="392">
        <f>Table3[[#This Row],[Active hours (Other than drilling)]]*$AF$1</f>
        <v>0</v>
      </c>
      <c r="AH101" s="44"/>
      <c r="AI101" s="13"/>
      <c r="AJ101" s="157" cm="1">
        <f t="array" ref="AJ101">SUM(Table3[[#This Row],[Inactive Hours (Other than client standby)]:[Standby Total Hours]]*$AI98)</f>
        <v>0</v>
      </c>
      <c r="AK101" s="45"/>
      <c r="AL101" s="23"/>
      <c r="AM101" s="25" t="str">
        <f t="shared" si="52"/>
        <v/>
      </c>
      <c r="AN101" s="396">
        <f t="shared" si="53"/>
        <v>0</v>
      </c>
      <c r="AO101" s="53"/>
      <c r="AP101" s="398"/>
      <c r="AQ101" s="401">
        <f t="shared" si="54"/>
        <v>0</v>
      </c>
      <c r="AR101" s="298"/>
      <c r="AS101" s="18">
        <f>SUM($AQ$6:AQ101)</f>
        <v>424427.97999999992</v>
      </c>
      <c r="AT101" t="str">
        <f t="shared" si="55"/>
        <v>08</v>
      </c>
      <c r="AU101">
        <f t="shared" si="56"/>
        <v>22</v>
      </c>
      <c r="AV101" t="str">
        <f t="shared" si="57"/>
        <v>N</v>
      </c>
    </row>
    <row r="102" spans="1:48">
      <c r="A102" s="152" t="str">
        <f t="shared" si="50"/>
        <v/>
      </c>
      <c r="B102" s="152"/>
      <c r="C102" s="1">
        <f t="shared" si="48"/>
        <v>45892.21</v>
      </c>
      <c r="D102" t="s">
        <v>171</v>
      </c>
      <c r="G102" s="4"/>
      <c r="H102" s="5" t="str">
        <f t="shared" si="51"/>
        <v/>
      </c>
      <c r="I102" s="21"/>
      <c r="J102" s="28"/>
      <c r="K102" s="28">
        <f t="shared" si="29"/>
        <v>0</v>
      </c>
      <c r="L102" s="30"/>
      <c r="M102" s="26"/>
      <c r="N102" s="31">
        <f t="shared" si="34"/>
        <v>0</v>
      </c>
      <c r="O102" s="21"/>
      <c r="P102" s="28"/>
      <c r="Q102" s="22">
        <f t="shared" si="35"/>
        <v>0</v>
      </c>
      <c r="R102" s="26"/>
      <c r="S102" s="26"/>
      <c r="T102" s="31">
        <f t="shared" si="36"/>
        <v>0</v>
      </c>
      <c r="U102" s="26">
        <f t="shared" si="46"/>
        <v>0</v>
      </c>
      <c r="V102" s="26">
        <f t="shared" si="47"/>
        <v>0</v>
      </c>
      <c r="W102" s="26">
        <f t="shared" si="37"/>
        <v>0</v>
      </c>
      <c r="X102" s="36">
        <f t="shared" si="38"/>
        <v>0</v>
      </c>
      <c r="Y102" s="389" t="str">
        <f t="shared" si="39"/>
        <v/>
      </c>
      <c r="Z102" s="38"/>
      <c r="AA102" s="38"/>
      <c r="AB102" s="38"/>
      <c r="AC102" s="38"/>
      <c r="AD102" s="157">
        <f t="shared" si="49"/>
        <v>0</v>
      </c>
      <c r="AE102" s="34"/>
      <c r="AF102" s="35"/>
      <c r="AG102" s="392">
        <f>Table3[[#This Row],[Active hours (Other than drilling)]]*$AF$1</f>
        <v>0</v>
      </c>
      <c r="AH102" s="44"/>
      <c r="AI102" s="13"/>
      <c r="AJ102" s="157" cm="1">
        <f t="array" ref="AJ102">SUM(Table3[[#This Row],[Inactive Hours (Other than client standby)]:[Standby Total Hours]]*$AI99)</f>
        <v>0</v>
      </c>
      <c r="AK102" s="45"/>
      <c r="AL102" s="23"/>
      <c r="AM102" s="25" t="str">
        <f t="shared" si="52"/>
        <v/>
      </c>
      <c r="AN102" s="396">
        <f t="shared" si="53"/>
        <v>0</v>
      </c>
      <c r="AO102" s="53"/>
      <c r="AP102" s="398"/>
      <c r="AQ102" s="401">
        <f t="shared" si="54"/>
        <v>0</v>
      </c>
      <c r="AR102" s="298"/>
      <c r="AS102" s="18">
        <f>SUM($AQ$6:AQ102)</f>
        <v>424427.97999999992</v>
      </c>
      <c r="AT102" t="str">
        <f t="shared" si="55"/>
        <v>08</v>
      </c>
      <c r="AU102">
        <f t="shared" si="56"/>
        <v>23</v>
      </c>
      <c r="AV102" t="str">
        <f t="shared" si="57"/>
        <v>D</v>
      </c>
    </row>
    <row r="103" spans="1:48">
      <c r="A103" s="152" t="str">
        <f t="shared" si="50"/>
        <v/>
      </c>
      <c r="B103" s="152"/>
      <c r="C103" s="1">
        <f t="shared" si="48"/>
        <v>45892.71</v>
      </c>
      <c r="D103" t="s">
        <v>172</v>
      </c>
      <c r="G103" s="4"/>
      <c r="H103" s="5" t="str">
        <f t="shared" si="51"/>
        <v/>
      </c>
      <c r="I103" s="21"/>
      <c r="J103" s="28"/>
      <c r="K103" s="28">
        <f t="shared" si="29"/>
        <v>0</v>
      </c>
      <c r="L103" s="30"/>
      <c r="M103" s="26"/>
      <c r="N103" s="31">
        <f t="shared" si="34"/>
        <v>0</v>
      </c>
      <c r="O103" s="21"/>
      <c r="P103" s="28"/>
      <c r="Q103" s="22">
        <f t="shared" si="35"/>
        <v>0</v>
      </c>
      <c r="R103" s="26"/>
      <c r="S103" s="26"/>
      <c r="T103" s="31">
        <f t="shared" si="36"/>
        <v>0</v>
      </c>
      <c r="U103" s="26">
        <f t="shared" si="46"/>
        <v>0</v>
      </c>
      <c r="V103" s="26">
        <f t="shared" si="47"/>
        <v>0</v>
      </c>
      <c r="W103" s="26">
        <f t="shared" si="37"/>
        <v>0</v>
      </c>
      <c r="X103" s="36">
        <f t="shared" si="38"/>
        <v>0</v>
      </c>
      <c r="Y103" s="389" t="str">
        <f t="shared" si="39"/>
        <v/>
      </c>
      <c r="Z103" s="38"/>
      <c r="AA103" s="38"/>
      <c r="AB103" s="38"/>
      <c r="AC103" s="38"/>
      <c r="AD103" s="157">
        <f t="shared" si="49"/>
        <v>0</v>
      </c>
      <c r="AE103" s="34"/>
      <c r="AF103" s="35"/>
      <c r="AG103" s="392">
        <f>Table3[[#This Row],[Active hours (Other than drilling)]]*$AF$1</f>
        <v>0</v>
      </c>
      <c r="AH103" s="44"/>
      <c r="AI103" s="13"/>
      <c r="AJ103" s="157" cm="1">
        <f t="array" ref="AJ103">SUM(Table3[[#This Row],[Inactive Hours (Other than client standby)]:[Standby Total Hours]]*$AI100)</f>
        <v>0</v>
      </c>
      <c r="AK103" s="45"/>
      <c r="AL103" s="23"/>
      <c r="AM103" s="25" t="str">
        <f t="shared" si="52"/>
        <v/>
      </c>
      <c r="AN103" s="396">
        <f t="shared" si="53"/>
        <v>0</v>
      </c>
      <c r="AO103" s="53"/>
      <c r="AP103" s="398"/>
      <c r="AQ103" s="401">
        <f t="shared" si="54"/>
        <v>0</v>
      </c>
      <c r="AR103" s="298"/>
      <c r="AS103" s="18">
        <f>SUM($AQ$6:AQ103)</f>
        <v>424427.97999999992</v>
      </c>
      <c r="AT103" t="str">
        <f t="shared" si="55"/>
        <v>08</v>
      </c>
      <c r="AU103">
        <f t="shared" si="56"/>
        <v>23</v>
      </c>
      <c r="AV103" t="str">
        <f t="shared" si="57"/>
        <v>N</v>
      </c>
    </row>
    <row r="104" spans="1:48">
      <c r="A104" s="152" t="str">
        <f t="shared" si="50"/>
        <v/>
      </c>
      <c r="B104" s="152"/>
      <c r="C104" s="1">
        <f t="shared" si="48"/>
        <v>45893.21</v>
      </c>
      <c r="D104" t="s">
        <v>171</v>
      </c>
      <c r="G104" s="4"/>
      <c r="H104" s="5" t="str">
        <f t="shared" si="51"/>
        <v/>
      </c>
      <c r="I104" s="21"/>
      <c r="J104" s="28"/>
      <c r="K104" s="28">
        <f t="shared" si="29"/>
        <v>0</v>
      </c>
      <c r="L104" s="30"/>
      <c r="M104" s="26"/>
      <c r="N104" s="31">
        <f t="shared" si="34"/>
        <v>0</v>
      </c>
      <c r="O104" s="21"/>
      <c r="P104" s="28"/>
      <c r="Q104" s="22">
        <f t="shared" si="35"/>
        <v>0</v>
      </c>
      <c r="R104" s="26"/>
      <c r="S104" s="26"/>
      <c r="T104" s="31">
        <f t="shared" si="36"/>
        <v>0</v>
      </c>
      <c r="U104" s="26">
        <f t="shared" si="46"/>
        <v>0</v>
      </c>
      <c r="V104" s="26">
        <f t="shared" si="47"/>
        <v>0</v>
      </c>
      <c r="W104" s="26">
        <f t="shared" si="37"/>
        <v>0</v>
      </c>
      <c r="X104" s="36">
        <f t="shared" si="38"/>
        <v>0</v>
      </c>
      <c r="Y104" s="389" t="str">
        <f t="shared" si="39"/>
        <v/>
      </c>
      <c r="Z104" s="38"/>
      <c r="AA104" s="38"/>
      <c r="AB104" s="38"/>
      <c r="AC104" s="38"/>
      <c r="AD104" s="157">
        <f t="shared" si="49"/>
        <v>0</v>
      </c>
      <c r="AE104" s="34"/>
      <c r="AF104" s="35"/>
      <c r="AG104" s="392">
        <f>Table3[[#This Row],[Active hours (Other than drilling)]]*$AF$1</f>
        <v>0</v>
      </c>
      <c r="AH104" s="44"/>
      <c r="AI104" s="13"/>
      <c r="AJ104" s="157" cm="1">
        <f t="array" ref="AJ104">SUM(Table3[[#This Row],[Inactive Hours (Other than client standby)]:[Standby Total Hours]]*$AI101)</f>
        <v>0</v>
      </c>
      <c r="AK104" s="45"/>
      <c r="AL104" s="23"/>
      <c r="AM104" s="25" t="str">
        <f t="shared" si="52"/>
        <v/>
      </c>
      <c r="AN104" s="396">
        <f t="shared" si="53"/>
        <v>0</v>
      </c>
      <c r="AO104" s="53"/>
      <c r="AP104" s="398"/>
      <c r="AQ104" s="401">
        <f t="shared" si="54"/>
        <v>0</v>
      </c>
      <c r="AR104" s="298"/>
      <c r="AS104" s="18">
        <f>SUM($AQ$6:AQ104)</f>
        <v>424427.97999999992</v>
      </c>
      <c r="AT104" t="str">
        <f t="shared" si="55"/>
        <v>08</v>
      </c>
      <c r="AU104">
        <f t="shared" si="56"/>
        <v>24</v>
      </c>
      <c r="AV104" t="str">
        <f t="shared" si="57"/>
        <v>D</v>
      </c>
    </row>
    <row r="105" spans="1:48">
      <c r="A105" s="152" t="str">
        <f t="shared" si="50"/>
        <v/>
      </c>
      <c r="B105" s="152"/>
      <c r="C105" s="1">
        <f t="shared" si="48"/>
        <v>45893.71</v>
      </c>
      <c r="D105" t="s">
        <v>172</v>
      </c>
      <c r="G105" s="4"/>
      <c r="H105" s="5" t="str">
        <f t="shared" si="51"/>
        <v/>
      </c>
      <c r="I105" s="21"/>
      <c r="J105" s="28"/>
      <c r="K105" s="28">
        <f t="shared" si="29"/>
        <v>0</v>
      </c>
      <c r="L105" s="30"/>
      <c r="M105" s="26"/>
      <c r="N105" s="31">
        <f t="shared" si="34"/>
        <v>0</v>
      </c>
      <c r="O105" s="21"/>
      <c r="P105" s="28"/>
      <c r="Q105" s="22">
        <f t="shared" si="35"/>
        <v>0</v>
      </c>
      <c r="R105" s="26"/>
      <c r="S105" s="26"/>
      <c r="T105" s="31">
        <f t="shared" si="36"/>
        <v>0</v>
      </c>
      <c r="U105" s="26">
        <f t="shared" si="46"/>
        <v>0</v>
      </c>
      <c r="V105" s="26">
        <f t="shared" si="47"/>
        <v>0</v>
      </c>
      <c r="W105" s="26">
        <f t="shared" si="37"/>
        <v>0</v>
      </c>
      <c r="X105" s="36">
        <f t="shared" si="38"/>
        <v>0</v>
      </c>
      <c r="Y105" s="389" t="str">
        <f t="shared" si="39"/>
        <v/>
      </c>
      <c r="Z105" s="38"/>
      <c r="AA105" s="38"/>
      <c r="AB105" s="38"/>
      <c r="AC105" s="38"/>
      <c r="AD105" s="157">
        <f t="shared" si="49"/>
        <v>0</v>
      </c>
      <c r="AE105" s="34"/>
      <c r="AF105" s="35"/>
      <c r="AG105" s="392">
        <f>Table3[[#This Row],[Active hours (Other than drilling)]]*$AF$1</f>
        <v>0</v>
      </c>
      <c r="AH105" s="44"/>
      <c r="AI105" s="13"/>
      <c r="AJ105" s="157" cm="1">
        <f t="array" ref="AJ105">SUM(Table3[[#This Row],[Inactive Hours (Other than client standby)]:[Standby Total Hours]]*$AI102)</f>
        <v>0</v>
      </c>
      <c r="AK105" s="45"/>
      <c r="AL105" s="23"/>
      <c r="AM105" s="25" t="str">
        <f t="shared" si="52"/>
        <v/>
      </c>
      <c r="AN105" s="396">
        <f t="shared" si="53"/>
        <v>0</v>
      </c>
      <c r="AO105" s="53"/>
      <c r="AP105" s="398"/>
      <c r="AQ105" s="401">
        <f t="shared" si="54"/>
        <v>0</v>
      </c>
      <c r="AR105" s="298"/>
      <c r="AS105" s="18">
        <f>SUM($AQ$6:AQ105)</f>
        <v>424427.97999999992</v>
      </c>
      <c r="AT105" t="str">
        <f t="shared" si="55"/>
        <v>08</v>
      </c>
      <c r="AU105">
        <f t="shared" si="56"/>
        <v>24</v>
      </c>
      <c r="AV105" t="str">
        <f t="shared" si="57"/>
        <v>N</v>
      </c>
    </row>
    <row r="106" spans="1:48">
      <c r="A106" s="152" t="str">
        <f t="shared" si="50"/>
        <v/>
      </c>
      <c r="B106" s="152"/>
      <c r="C106" s="1">
        <f t="shared" si="48"/>
        <v>45894.21</v>
      </c>
      <c r="D106" t="s">
        <v>171</v>
      </c>
      <c r="G106" s="4"/>
      <c r="H106" s="5" t="str">
        <f t="shared" si="51"/>
        <v/>
      </c>
      <c r="I106" s="21"/>
      <c r="J106" s="28"/>
      <c r="K106" s="28">
        <f t="shared" si="29"/>
        <v>0</v>
      </c>
      <c r="L106" s="30"/>
      <c r="M106" s="26"/>
      <c r="N106" s="31">
        <f t="shared" si="34"/>
        <v>0</v>
      </c>
      <c r="O106" s="21"/>
      <c r="P106" s="28"/>
      <c r="Q106" s="22">
        <f t="shared" si="35"/>
        <v>0</v>
      </c>
      <c r="R106" s="26"/>
      <c r="S106" s="26"/>
      <c r="T106" s="31">
        <f t="shared" si="36"/>
        <v>0</v>
      </c>
      <c r="U106" s="26">
        <f t="shared" si="46"/>
        <v>0</v>
      </c>
      <c r="V106" s="26">
        <f t="shared" si="47"/>
        <v>0</v>
      </c>
      <c r="W106" s="26">
        <f t="shared" si="37"/>
        <v>0</v>
      </c>
      <c r="X106" s="36">
        <f t="shared" si="38"/>
        <v>0</v>
      </c>
      <c r="Y106" s="389" t="str">
        <f t="shared" si="39"/>
        <v/>
      </c>
      <c r="Z106" s="38"/>
      <c r="AA106" s="38"/>
      <c r="AB106" s="38"/>
      <c r="AC106" s="38"/>
      <c r="AD106" s="157">
        <f t="shared" si="49"/>
        <v>0</v>
      </c>
      <c r="AE106" s="34"/>
      <c r="AF106" s="35"/>
      <c r="AG106" s="392">
        <f>Table3[[#This Row],[Active hours (Other than drilling)]]*$AF$1</f>
        <v>0</v>
      </c>
      <c r="AH106" s="44"/>
      <c r="AI106" s="13"/>
      <c r="AJ106" s="157" cm="1">
        <f t="array" ref="AJ106">SUM(Table3[[#This Row],[Inactive Hours (Other than client standby)]:[Standby Total Hours]]*$AI103)</f>
        <v>0</v>
      </c>
      <c r="AK106" s="45"/>
      <c r="AL106" s="23"/>
      <c r="AM106" s="25" t="str">
        <f t="shared" si="52"/>
        <v/>
      </c>
      <c r="AN106" s="396">
        <f t="shared" si="53"/>
        <v>0</v>
      </c>
      <c r="AO106" s="53"/>
      <c r="AP106" s="398"/>
      <c r="AQ106" s="401">
        <f t="shared" si="54"/>
        <v>0</v>
      </c>
      <c r="AR106" s="298"/>
      <c r="AS106" s="18">
        <f>SUM($AQ$6:AQ106)</f>
        <v>424427.97999999992</v>
      </c>
      <c r="AT106" t="str">
        <f t="shared" si="55"/>
        <v>08</v>
      </c>
      <c r="AU106">
        <f t="shared" si="56"/>
        <v>25</v>
      </c>
      <c r="AV106" t="str">
        <f t="shared" si="57"/>
        <v>D</v>
      </c>
    </row>
    <row r="107" spans="1:48">
      <c r="A107" s="152" t="str">
        <f t="shared" si="50"/>
        <v/>
      </c>
      <c r="B107" s="152"/>
      <c r="C107" s="1">
        <f t="shared" si="48"/>
        <v>45894.71</v>
      </c>
      <c r="D107" t="s">
        <v>172</v>
      </c>
      <c r="G107" s="4"/>
      <c r="H107" s="5" t="str">
        <f t="shared" si="51"/>
        <v/>
      </c>
      <c r="I107" s="21"/>
      <c r="J107" s="28"/>
      <c r="K107" s="28">
        <f t="shared" si="29"/>
        <v>0</v>
      </c>
      <c r="L107" s="30"/>
      <c r="M107" s="26"/>
      <c r="N107" s="31">
        <f t="shared" si="34"/>
        <v>0</v>
      </c>
      <c r="O107" s="21"/>
      <c r="P107" s="28"/>
      <c r="Q107" s="22">
        <f t="shared" si="35"/>
        <v>0</v>
      </c>
      <c r="R107" s="26"/>
      <c r="S107" s="26"/>
      <c r="T107" s="31">
        <f t="shared" si="36"/>
        <v>0</v>
      </c>
      <c r="U107" s="26">
        <f t="shared" si="46"/>
        <v>0</v>
      </c>
      <c r="V107" s="26">
        <f t="shared" si="47"/>
        <v>0</v>
      </c>
      <c r="W107" s="26">
        <f t="shared" si="37"/>
        <v>0</v>
      </c>
      <c r="X107" s="36">
        <f t="shared" si="38"/>
        <v>0</v>
      </c>
      <c r="Y107" s="389" t="str">
        <f t="shared" si="39"/>
        <v/>
      </c>
      <c r="Z107" s="38"/>
      <c r="AA107" s="38"/>
      <c r="AB107" s="38"/>
      <c r="AC107" s="38"/>
      <c r="AD107" s="157">
        <f t="shared" si="49"/>
        <v>0</v>
      </c>
      <c r="AE107" s="34"/>
      <c r="AF107" s="35"/>
      <c r="AG107" s="392">
        <f>Table3[[#This Row],[Active hours (Other than drilling)]]*$AF$1</f>
        <v>0</v>
      </c>
      <c r="AH107" s="44"/>
      <c r="AI107" s="13"/>
      <c r="AJ107" s="157" cm="1">
        <f t="array" ref="AJ107">SUM(Table3[[#This Row],[Inactive Hours (Other than client standby)]:[Standby Total Hours]]*$AI104)</f>
        <v>0</v>
      </c>
      <c r="AK107" s="45"/>
      <c r="AL107" s="23"/>
      <c r="AM107" s="25" t="str">
        <f t="shared" si="52"/>
        <v/>
      </c>
      <c r="AN107" s="396">
        <f t="shared" si="53"/>
        <v>0</v>
      </c>
      <c r="AO107" s="53"/>
      <c r="AP107" s="398"/>
      <c r="AQ107" s="401">
        <f t="shared" si="54"/>
        <v>0</v>
      </c>
      <c r="AR107" s="298"/>
      <c r="AS107" s="18">
        <f>SUM($AQ$6:AQ107)</f>
        <v>424427.97999999992</v>
      </c>
      <c r="AT107" t="str">
        <f t="shared" si="55"/>
        <v>08</v>
      </c>
      <c r="AU107">
        <f t="shared" si="56"/>
        <v>25</v>
      </c>
      <c r="AV107" t="str">
        <f t="shared" si="57"/>
        <v>N</v>
      </c>
    </row>
    <row r="108" spans="1:48">
      <c r="A108" s="152" t="str">
        <f t="shared" si="50"/>
        <v/>
      </c>
      <c r="B108" s="152"/>
      <c r="C108" s="1">
        <f t="shared" si="48"/>
        <v>45895.21</v>
      </c>
      <c r="D108" t="s">
        <v>171</v>
      </c>
      <c r="G108" s="4"/>
      <c r="H108" s="5" t="str">
        <f t="shared" si="51"/>
        <v/>
      </c>
      <c r="I108" s="21"/>
      <c r="J108" s="28"/>
      <c r="K108" s="28">
        <f t="shared" ref="K108:K171" si="58">IF(ISBLANK(I108),0,J108-I108)</f>
        <v>0</v>
      </c>
      <c r="L108" s="30"/>
      <c r="M108" s="26"/>
      <c r="N108" s="31">
        <f t="shared" si="34"/>
        <v>0</v>
      </c>
      <c r="O108" s="21"/>
      <c r="P108" s="28"/>
      <c r="Q108" s="22">
        <f t="shared" si="35"/>
        <v>0</v>
      </c>
      <c r="R108" s="26"/>
      <c r="S108" s="26"/>
      <c r="T108" s="31">
        <f t="shared" si="36"/>
        <v>0</v>
      </c>
      <c r="U108" s="26">
        <f t="shared" si="46"/>
        <v>0</v>
      </c>
      <c r="V108" s="26">
        <f t="shared" si="47"/>
        <v>0</v>
      </c>
      <c r="W108" s="26">
        <f t="shared" si="37"/>
        <v>0</v>
      </c>
      <c r="X108" s="36">
        <f t="shared" si="38"/>
        <v>0</v>
      </c>
      <c r="Y108" s="389" t="str">
        <f t="shared" si="39"/>
        <v/>
      </c>
      <c r="Z108" s="38"/>
      <c r="AA108" s="38"/>
      <c r="AB108" s="38"/>
      <c r="AC108" s="38"/>
      <c r="AD108" s="157">
        <f t="shared" si="49"/>
        <v>0</v>
      </c>
      <c r="AE108" s="34"/>
      <c r="AF108" s="35"/>
      <c r="AG108" s="392">
        <f>Table3[[#This Row],[Active hours (Other than drilling)]]*$AF$1</f>
        <v>0</v>
      </c>
      <c r="AH108" s="44"/>
      <c r="AI108" s="13"/>
      <c r="AJ108" s="157" cm="1">
        <f t="array" ref="AJ108">SUM(Table3[[#This Row],[Inactive Hours (Other than client standby)]:[Standby Total Hours]]*$AI105)</f>
        <v>0</v>
      </c>
      <c r="AK108" s="45"/>
      <c r="AL108" s="23"/>
      <c r="AM108" s="25" t="str">
        <f t="shared" si="52"/>
        <v/>
      </c>
      <c r="AN108" s="396">
        <f t="shared" si="53"/>
        <v>0</v>
      </c>
      <c r="AO108" s="53"/>
      <c r="AP108" s="398"/>
      <c r="AQ108" s="401">
        <f t="shared" si="54"/>
        <v>0</v>
      </c>
      <c r="AR108" s="298"/>
      <c r="AS108" s="18">
        <f>SUM($AQ$6:AQ108)</f>
        <v>424427.97999999992</v>
      </c>
      <c r="AT108" t="str">
        <f t="shared" si="55"/>
        <v>08</v>
      </c>
      <c r="AU108">
        <f t="shared" si="56"/>
        <v>26</v>
      </c>
      <c r="AV108" t="str">
        <f t="shared" si="57"/>
        <v>D</v>
      </c>
    </row>
    <row r="109" spans="1:48">
      <c r="A109" s="152" t="str">
        <f t="shared" si="50"/>
        <v/>
      </c>
      <c r="B109" s="152"/>
      <c r="C109" s="1">
        <f t="shared" si="48"/>
        <v>45895.71</v>
      </c>
      <c r="D109" t="s">
        <v>172</v>
      </c>
      <c r="G109" s="4"/>
      <c r="H109" s="5" t="str">
        <f t="shared" si="51"/>
        <v/>
      </c>
      <c r="I109" s="21"/>
      <c r="J109" s="28"/>
      <c r="K109" s="28">
        <f t="shared" si="58"/>
        <v>0</v>
      </c>
      <c r="L109" s="30"/>
      <c r="M109" s="26"/>
      <c r="N109" s="31">
        <f t="shared" si="34"/>
        <v>0</v>
      </c>
      <c r="O109" s="21"/>
      <c r="P109" s="28"/>
      <c r="Q109" s="22">
        <f t="shared" si="35"/>
        <v>0</v>
      </c>
      <c r="R109" s="26"/>
      <c r="S109" s="26"/>
      <c r="T109" s="31">
        <f t="shared" si="36"/>
        <v>0</v>
      </c>
      <c r="U109" s="26">
        <f t="shared" si="46"/>
        <v>0</v>
      </c>
      <c r="V109" s="26">
        <f t="shared" si="47"/>
        <v>0</v>
      </c>
      <c r="W109" s="26">
        <f t="shared" si="37"/>
        <v>0</v>
      </c>
      <c r="X109" s="36">
        <f t="shared" si="38"/>
        <v>0</v>
      </c>
      <c r="Y109" s="389" t="str">
        <f t="shared" si="39"/>
        <v/>
      </c>
      <c r="Z109" s="38"/>
      <c r="AA109" s="38"/>
      <c r="AB109" s="38"/>
      <c r="AC109" s="38"/>
      <c r="AD109" s="157">
        <f t="shared" si="49"/>
        <v>0</v>
      </c>
      <c r="AE109" s="34"/>
      <c r="AF109" s="35"/>
      <c r="AG109" s="392">
        <f>Table3[[#This Row],[Active hours (Other than drilling)]]*$AF$1</f>
        <v>0</v>
      </c>
      <c r="AH109" s="44"/>
      <c r="AI109" s="13"/>
      <c r="AJ109" s="157" cm="1">
        <f t="array" ref="AJ109">SUM(Table3[[#This Row],[Inactive Hours (Other than client standby)]:[Standby Total Hours]]*$AI106)</f>
        <v>0</v>
      </c>
      <c r="AK109" s="45"/>
      <c r="AL109" s="23"/>
      <c r="AM109" s="25" t="str">
        <f t="shared" si="52"/>
        <v/>
      </c>
      <c r="AN109" s="396">
        <f t="shared" si="53"/>
        <v>0</v>
      </c>
      <c r="AO109" s="53"/>
      <c r="AP109" s="398"/>
      <c r="AQ109" s="401">
        <f t="shared" si="54"/>
        <v>0</v>
      </c>
      <c r="AR109" s="298"/>
      <c r="AS109" s="18">
        <f>SUM($AQ$6:AQ109)</f>
        <v>424427.97999999992</v>
      </c>
      <c r="AT109" t="str">
        <f t="shared" si="55"/>
        <v>08</v>
      </c>
      <c r="AU109">
        <f t="shared" si="56"/>
        <v>26</v>
      </c>
      <c r="AV109" t="str">
        <f t="shared" si="57"/>
        <v>N</v>
      </c>
    </row>
    <row r="110" spans="1:48">
      <c r="A110" s="152" t="str">
        <f t="shared" si="50"/>
        <v/>
      </c>
      <c r="B110" s="152"/>
      <c r="C110" s="1">
        <f t="shared" si="48"/>
        <v>45896.21</v>
      </c>
      <c r="D110" t="s">
        <v>171</v>
      </c>
      <c r="G110" s="4"/>
      <c r="H110" s="5" t="str">
        <f t="shared" si="51"/>
        <v/>
      </c>
      <c r="I110" s="21"/>
      <c r="J110" s="28"/>
      <c r="K110" s="28">
        <f t="shared" si="58"/>
        <v>0</v>
      </c>
      <c r="L110" s="30"/>
      <c r="M110" s="26"/>
      <c r="N110" s="31">
        <f t="shared" si="34"/>
        <v>0</v>
      </c>
      <c r="O110" s="21"/>
      <c r="P110" s="28"/>
      <c r="Q110" s="22">
        <f t="shared" si="35"/>
        <v>0</v>
      </c>
      <c r="R110" s="26"/>
      <c r="S110" s="26"/>
      <c r="T110" s="31">
        <f t="shared" si="36"/>
        <v>0</v>
      </c>
      <c r="U110" s="26">
        <f t="shared" si="46"/>
        <v>0</v>
      </c>
      <c r="V110" s="26">
        <f t="shared" si="47"/>
        <v>0</v>
      </c>
      <c r="W110" s="26">
        <f t="shared" si="37"/>
        <v>0</v>
      </c>
      <c r="X110" s="36">
        <f t="shared" si="38"/>
        <v>0</v>
      </c>
      <c r="Y110" s="389" t="str">
        <f t="shared" si="39"/>
        <v/>
      </c>
      <c r="Z110" s="38"/>
      <c r="AA110" s="38"/>
      <c r="AB110" s="38"/>
      <c r="AC110" s="38"/>
      <c r="AD110" s="157">
        <f t="shared" si="49"/>
        <v>0</v>
      </c>
      <c r="AE110" s="34"/>
      <c r="AF110" s="35"/>
      <c r="AG110" s="392">
        <f>Table3[[#This Row],[Active hours (Other than drilling)]]*$AF$1</f>
        <v>0</v>
      </c>
      <c r="AH110" s="44"/>
      <c r="AI110" s="13"/>
      <c r="AJ110" s="157" cm="1">
        <f t="array" ref="AJ110">SUM(Table3[[#This Row],[Inactive Hours (Other than client standby)]:[Standby Total Hours]]*$AI107)</f>
        <v>0</v>
      </c>
      <c r="AK110" s="45"/>
      <c r="AL110" s="23"/>
      <c r="AM110" s="25" t="str">
        <f t="shared" si="52"/>
        <v/>
      </c>
      <c r="AN110" s="396">
        <f t="shared" si="53"/>
        <v>0</v>
      </c>
      <c r="AO110" s="53"/>
      <c r="AP110" s="398"/>
      <c r="AQ110" s="401">
        <f t="shared" si="54"/>
        <v>0</v>
      </c>
      <c r="AR110" s="298"/>
      <c r="AS110" s="18">
        <f>SUM($AQ$6:AQ110)</f>
        <v>424427.97999999992</v>
      </c>
      <c r="AT110" t="str">
        <f t="shared" si="55"/>
        <v>08</v>
      </c>
      <c r="AU110">
        <f t="shared" si="56"/>
        <v>27</v>
      </c>
      <c r="AV110" t="str">
        <f t="shared" si="57"/>
        <v>D</v>
      </c>
    </row>
    <row r="111" spans="1:48">
      <c r="A111" s="152" t="str">
        <f t="shared" si="50"/>
        <v/>
      </c>
      <c r="B111" s="152"/>
      <c r="C111" s="1">
        <f t="shared" si="48"/>
        <v>45896.71</v>
      </c>
      <c r="D111" t="s">
        <v>172</v>
      </c>
      <c r="G111" s="4"/>
      <c r="H111" s="5" t="str">
        <f t="shared" si="51"/>
        <v/>
      </c>
      <c r="I111" s="21"/>
      <c r="J111" s="28"/>
      <c r="K111" s="28">
        <f t="shared" si="58"/>
        <v>0</v>
      </c>
      <c r="L111" s="30"/>
      <c r="M111" s="26"/>
      <c r="N111" s="31">
        <f t="shared" si="34"/>
        <v>0</v>
      </c>
      <c r="O111" s="21"/>
      <c r="P111" s="28"/>
      <c r="Q111" s="22">
        <f t="shared" si="35"/>
        <v>0</v>
      </c>
      <c r="R111" s="26"/>
      <c r="S111" s="26"/>
      <c r="T111" s="31">
        <f t="shared" si="36"/>
        <v>0</v>
      </c>
      <c r="U111" s="26">
        <f t="shared" si="46"/>
        <v>0</v>
      </c>
      <c r="V111" s="26">
        <f t="shared" si="47"/>
        <v>0</v>
      </c>
      <c r="W111" s="26">
        <f t="shared" si="37"/>
        <v>0</v>
      </c>
      <c r="X111" s="36">
        <f t="shared" si="38"/>
        <v>0</v>
      </c>
      <c r="Y111" s="389" t="str">
        <f t="shared" si="39"/>
        <v/>
      </c>
      <c r="Z111" s="38"/>
      <c r="AA111" s="38"/>
      <c r="AB111" s="38"/>
      <c r="AC111" s="38"/>
      <c r="AD111" s="157">
        <f t="shared" si="49"/>
        <v>0</v>
      </c>
      <c r="AE111" s="34"/>
      <c r="AF111" s="35"/>
      <c r="AG111" s="392">
        <f>Table3[[#This Row],[Active hours (Other than drilling)]]*$AF$1</f>
        <v>0</v>
      </c>
      <c r="AH111" s="44"/>
      <c r="AI111" s="13"/>
      <c r="AJ111" s="157" cm="1">
        <f t="array" ref="AJ111">SUM(Table3[[#This Row],[Inactive Hours (Other than client standby)]:[Standby Total Hours]]*$AI108)</f>
        <v>0</v>
      </c>
      <c r="AK111" s="45"/>
      <c r="AL111" s="23"/>
      <c r="AM111" s="25" t="str">
        <f t="shared" si="52"/>
        <v/>
      </c>
      <c r="AN111" s="396">
        <f t="shared" si="53"/>
        <v>0</v>
      </c>
      <c r="AO111" s="53"/>
      <c r="AP111" s="398"/>
      <c r="AQ111" s="401">
        <f t="shared" si="54"/>
        <v>0</v>
      </c>
      <c r="AR111" s="298"/>
      <c r="AS111" s="18">
        <f>SUM($AQ$6:AQ111)</f>
        <v>424427.97999999992</v>
      </c>
      <c r="AT111" t="str">
        <f t="shared" si="55"/>
        <v>08</v>
      </c>
      <c r="AU111">
        <f t="shared" si="56"/>
        <v>27</v>
      </c>
      <c r="AV111" t="str">
        <f t="shared" si="57"/>
        <v>N</v>
      </c>
    </row>
    <row r="112" spans="1:48">
      <c r="A112" s="152" t="str">
        <f t="shared" si="50"/>
        <v/>
      </c>
      <c r="B112" s="152"/>
      <c r="C112" s="1">
        <f t="shared" si="48"/>
        <v>45897.21</v>
      </c>
      <c r="D112" t="s">
        <v>171</v>
      </c>
      <c r="G112" s="4"/>
      <c r="H112" s="5" t="str">
        <f t="shared" si="51"/>
        <v/>
      </c>
      <c r="I112" s="21"/>
      <c r="J112" s="28"/>
      <c r="K112" s="28">
        <f t="shared" si="58"/>
        <v>0</v>
      </c>
      <c r="L112" s="30"/>
      <c r="M112" s="26"/>
      <c r="N112" s="31">
        <f t="shared" si="34"/>
        <v>0</v>
      </c>
      <c r="O112" s="21"/>
      <c r="P112" s="28"/>
      <c r="Q112" s="22">
        <f t="shared" si="35"/>
        <v>0</v>
      </c>
      <c r="R112" s="26"/>
      <c r="S112" s="26"/>
      <c r="T112" s="31">
        <f t="shared" si="36"/>
        <v>0</v>
      </c>
      <c r="U112" s="26">
        <f t="shared" si="46"/>
        <v>0</v>
      </c>
      <c r="V112" s="26">
        <f t="shared" si="47"/>
        <v>0</v>
      </c>
      <c r="W112" s="26">
        <f t="shared" si="37"/>
        <v>0</v>
      </c>
      <c r="X112" s="36">
        <f t="shared" si="38"/>
        <v>0</v>
      </c>
      <c r="Y112" s="389" t="str">
        <f t="shared" si="39"/>
        <v/>
      </c>
      <c r="Z112" s="38"/>
      <c r="AA112" s="38"/>
      <c r="AB112" s="38"/>
      <c r="AC112" s="38"/>
      <c r="AD112" s="157">
        <f t="shared" si="49"/>
        <v>0</v>
      </c>
      <c r="AE112" s="34"/>
      <c r="AF112" s="35"/>
      <c r="AG112" s="392">
        <f>Table3[[#This Row],[Active hours (Other than drilling)]]*$AF$1</f>
        <v>0</v>
      </c>
      <c r="AH112" s="44"/>
      <c r="AI112" s="13"/>
      <c r="AJ112" s="157" cm="1">
        <f t="array" ref="AJ112">SUM(Table3[[#This Row],[Inactive Hours (Other than client standby)]:[Standby Total Hours]]*$AI109)</f>
        <v>0</v>
      </c>
      <c r="AK112" s="45"/>
      <c r="AL112" s="23"/>
      <c r="AM112" s="25" t="str">
        <f t="shared" si="52"/>
        <v/>
      </c>
      <c r="AN112" s="396">
        <f t="shared" si="53"/>
        <v>0</v>
      </c>
      <c r="AO112" s="53"/>
      <c r="AP112" s="398"/>
      <c r="AQ112" s="401">
        <f t="shared" si="54"/>
        <v>0</v>
      </c>
      <c r="AR112" s="298"/>
      <c r="AS112" s="18">
        <f>SUM($AQ$6:AQ112)</f>
        <v>424427.97999999992</v>
      </c>
      <c r="AT112" t="str">
        <f t="shared" si="55"/>
        <v>08</v>
      </c>
      <c r="AU112">
        <f t="shared" si="56"/>
        <v>28</v>
      </c>
      <c r="AV112" t="str">
        <f t="shared" si="57"/>
        <v>D</v>
      </c>
    </row>
    <row r="113" spans="1:48">
      <c r="A113" s="152" t="str">
        <f t="shared" si="50"/>
        <v/>
      </c>
      <c r="B113" s="152"/>
      <c r="C113" s="1">
        <f t="shared" si="48"/>
        <v>45897.71</v>
      </c>
      <c r="D113" t="s">
        <v>172</v>
      </c>
      <c r="G113" s="4"/>
      <c r="H113" s="5" t="str">
        <f t="shared" si="51"/>
        <v/>
      </c>
      <c r="I113" s="21"/>
      <c r="J113" s="28"/>
      <c r="K113" s="28">
        <f t="shared" si="58"/>
        <v>0</v>
      </c>
      <c r="L113" s="30"/>
      <c r="M113" s="26"/>
      <c r="N113" s="31">
        <f t="shared" si="34"/>
        <v>0</v>
      </c>
      <c r="O113" s="21"/>
      <c r="P113" s="28"/>
      <c r="Q113" s="22">
        <f t="shared" si="35"/>
        <v>0</v>
      </c>
      <c r="R113" s="26"/>
      <c r="S113" s="26"/>
      <c r="T113" s="31">
        <f t="shared" si="36"/>
        <v>0</v>
      </c>
      <c r="U113" s="26">
        <f t="shared" si="46"/>
        <v>0</v>
      </c>
      <c r="V113" s="26">
        <f t="shared" si="47"/>
        <v>0</v>
      </c>
      <c r="W113" s="26">
        <f t="shared" si="37"/>
        <v>0</v>
      </c>
      <c r="X113" s="36">
        <f t="shared" si="38"/>
        <v>0</v>
      </c>
      <c r="Y113" s="389" t="str">
        <f t="shared" si="39"/>
        <v/>
      </c>
      <c r="Z113" s="38"/>
      <c r="AA113" s="38"/>
      <c r="AB113" s="38"/>
      <c r="AC113" s="38"/>
      <c r="AD113" s="157">
        <f t="shared" si="49"/>
        <v>0</v>
      </c>
      <c r="AE113" s="34"/>
      <c r="AF113" s="35"/>
      <c r="AG113" s="392">
        <f>Table3[[#This Row],[Active hours (Other than drilling)]]*$AF$1</f>
        <v>0</v>
      </c>
      <c r="AH113" s="44"/>
      <c r="AI113" s="13"/>
      <c r="AJ113" s="157" cm="1">
        <f t="array" ref="AJ113">SUM(Table3[[#This Row],[Inactive Hours (Other than client standby)]:[Standby Total Hours]]*$AI110)</f>
        <v>0</v>
      </c>
      <c r="AK113" s="45"/>
      <c r="AL113" s="23"/>
      <c r="AM113" s="25" t="str">
        <f t="shared" si="52"/>
        <v/>
      </c>
      <c r="AN113" s="396">
        <f t="shared" si="53"/>
        <v>0</v>
      </c>
      <c r="AO113" s="53"/>
      <c r="AP113" s="398"/>
      <c r="AQ113" s="401">
        <f t="shared" si="54"/>
        <v>0</v>
      </c>
      <c r="AR113" s="298"/>
      <c r="AS113" s="18">
        <f>SUM($AQ$6:AQ113)</f>
        <v>424427.97999999992</v>
      </c>
      <c r="AT113" t="str">
        <f t="shared" si="55"/>
        <v>08</v>
      </c>
      <c r="AU113">
        <f t="shared" si="56"/>
        <v>28</v>
      </c>
      <c r="AV113" t="str">
        <f t="shared" si="57"/>
        <v>N</v>
      </c>
    </row>
    <row r="114" spans="1:48">
      <c r="A114" s="152" t="str">
        <f t="shared" si="50"/>
        <v/>
      </c>
      <c r="B114" s="152"/>
      <c r="C114" s="1">
        <f t="shared" si="48"/>
        <v>45898.21</v>
      </c>
      <c r="D114" t="s">
        <v>171</v>
      </c>
      <c r="G114" s="4"/>
      <c r="H114" s="5" t="str">
        <f t="shared" si="51"/>
        <v/>
      </c>
      <c r="I114" s="21"/>
      <c r="J114" s="28"/>
      <c r="K114" s="28">
        <f t="shared" si="58"/>
        <v>0</v>
      </c>
      <c r="L114" s="30"/>
      <c r="M114" s="26"/>
      <c r="N114" s="31">
        <f t="shared" si="34"/>
        <v>0</v>
      </c>
      <c r="O114" s="21"/>
      <c r="P114" s="28"/>
      <c r="Q114" s="22">
        <f t="shared" si="35"/>
        <v>0</v>
      </c>
      <c r="R114" s="26"/>
      <c r="S114" s="26"/>
      <c r="T114" s="31">
        <f t="shared" si="36"/>
        <v>0</v>
      </c>
      <c r="U114" s="26">
        <f t="shared" si="46"/>
        <v>0</v>
      </c>
      <c r="V114" s="26">
        <f t="shared" si="47"/>
        <v>0</v>
      </c>
      <c r="W114" s="26">
        <f t="shared" si="37"/>
        <v>0</v>
      </c>
      <c r="X114" s="36">
        <f t="shared" si="38"/>
        <v>0</v>
      </c>
      <c r="Y114" s="389" t="str">
        <f t="shared" si="39"/>
        <v/>
      </c>
      <c r="Z114" s="38"/>
      <c r="AA114" s="38"/>
      <c r="AB114" s="38"/>
      <c r="AC114" s="38"/>
      <c r="AD114" s="157">
        <f t="shared" si="49"/>
        <v>0</v>
      </c>
      <c r="AE114" s="34"/>
      <c r="AF114" s="35"/>
      <c r="AG114" s="392">
        <f>Table3[[#This Row],[Active hours (Other than drilling)]]*$AF$1</f>
        <v>0</v>
      </c>
      <c r="AH114" s="44"/>
      <c r="AI114" s="13"/>
      <c r="AJ114" s="157" cm="1">
        <f t="array" ref="AJ114">SUM(Table3[[#This Row],[Inactive Hours (Other than client standby)]:[Standby Total Hours]]*$AI111)</f>
        <v>0</v>
      </c>
      <c r="AK114" s="45"/>
      <c r="AL114" s="23"/>
      <c r="AM114" s="25" t="str">
        <f t="shared" si="52"/>
        <v/>
      </c>
      <c r="AN114" s="396">
        <f t="shared" si="53"/>
        <v>0</v>
      </c>
      <c r="AO114" s="53"/>
      <c r="AP114" s="398"/>
      <c r="AQ114" s="401">
        <f t="shared" si="54"/>
        <v>0</v>
      </c>
      <c r="AR114" s="298"/>
      <c r="AS114" s="18">
        <f>SUM($AQ$6:AQ114)</f>
        <v>424427.97999999992</v>
      </c>
      <c r="AT114" t="str">
        <f t="shared" si="55"/>
        <v>08</v>
      </c>
      <c r="AU114">
        <f t="shared" si="56"/>
        <v>29</v>
      </c>
      <c r="AV114" t="str">
        <f t="shared" si="57"/>
        <v>D</v>
      </c>
    </row>
    <row r="115" spans="1:48">
      <c r="A115" s="152" t="str">
        <f t="shared" si="50"/>
        <v/>
      </c>
      <c r="B115" s="152"/>
      <c r="C115" s="1">
        <f t="shared" si="48"/>
        <v>45898.71</v>
      </c>
      <c r="D115" t="s">
        <v>172</v>
      </c>
      <c r="G115" s="4"/>
      <c r="H115" s="5" t="str">
        <f t="shared" si="51"/>
        <v/>
      </c>
      <c r="I115" s="21"/>
      <c r="J115" s="28"/>
      <c r="K115" s="28">
        <f t="shared" si="58"/>
        <v>0</v>
      </c>
      <c r="L115" s="30"/>
      <c r="M115" s="26"/>
      <c r="N115" s="31">
        <f t="shared" si="34"/>
        <v>0</v>
      </c>
      <c r="O115" s="21"/>
      <c r="P115" s="28"/>
      <c r="Q115" s="22">
        <f t="shared" si="35"/>
        <v>0</v>
      </c>
      <c r="R115" s="26"/>
      <c r="S115" s="26"/>
      <c r="T115" s="31">
        <f t="shared" si="36"/>
        <v>0</v>
      </c>
      <c r="U115" s="26">
        <f t="shared" si="46"/>
        <v>0</v>
      </c>
      <c r="V115" s="26">
        <f t="shared" si="47"/>
        <v>0</v>
      </c>
      <c r="W115" s="26">
        <f t="shared" si="37"/>
        <v>0</v>
      </c>
      <c r="X115" s="36">
        <f t="shared" si="38"/>
        <v>0</v>
      </c>
      <c r="Y115" s="389" t="str">
        <f t="shared" si="39"/>
        <v/>
      </c>
      <c r="Z115" s="38"/>
      <c r="AA115" s="38"/>
      <c r="AB115" s="38"/>
      <c r="AC115" s="38"/>
      <c r="AD115" s="157">
        <f t="shared" si="49"/>
        <v>0</v>
      </c>
      <c r="AE115" s="34"/>
      <c r="AF115" s="35"/>
      <c r="AG115" s="392">
        <f>Table3[[#This Row],[Active hours (Other than drilling)]]*$AF$1</f>
        <v>0</v>
      </c>
      <c r="AH115" s="44"/>
      <c r="AI115" s="13"/>
      <c r="AJ115" s="157" cm="1">
        <f t="array" ref="AJ115">SUM(Table3[[#This Row],[Inactive Hours (Other than client standby)]:[Standby Total Hours]]*$AI112)</f>
        <v>0</v>
      </c>
      <c r="AK115" s="45"/>
      <c r="AL115" s="23"/>
      <c r="AM115" s="25" t="str">
        <f t="shared" si="52"/>
        <v/>
      </c>
      <c r="AN115" s="396">
        <f t="shared" si="53"/>
        <v>0</v>
      </c>
      <c r="AO115" s="53"/>
      <c r="AP115" s="398"/>
      <c r="AQ115" s="401">
        <f t="shared" si="54"/>
        <v>0</v>
      </c>
      <c r="AR115" s="298"/>
      <c r="AS115" s="18">
        <f>SUM($AQ$6:AQ115)</f>
        <v>424427.97999999992</v>
      </c>
      <c r="AT115" t="str">
        <f t="shared" si="55"/>
        <v>08</v>
      </c>
      <c r="AU115">
        <f t="shared" si="56"/>
        <v>29</v>
      </c>
      <c r="AV115" t="str">
        <f t="shared" si="57"/>
        <v>N</v>
      </c>
    </row>
    <row r="116" spans="1:48">
      <c r="A116" s="152" t="str">
        <f t="shared" si="50"/>
        <v/>
      </c>
      <c r="B116" s="152"/>
      <c r="C116" s="1">
        <f t="shared" si="48"/>
        <v>45899.21</v>
      </c>
      <c r="D116" t="s">
        <v>171</v>
      </c>
      <c r="G116" s="4"/>
      <c r="H116" s="5" t="str">
        <f t="shared" si="51"/>
        <v/>
      </c>
      <c r="I116" s="21"/>
      <c r="J116" s="28"/>
      <c r="K116" s="28">
        <f t="shared" si="58"/>
        <v>0</v>
      </c>
      <c r="L116" s="30"/>
      <c r="M116" s="26"/>
      <c r="N116" s="31">
        <f t="shared" si="34"/>
        <v>0</v>
      </c>
      <c r="O116" s="21"/>
      <c r="P116" s="28"/>
      <c r="Q116" s="22">
        <f t="shared" si="35"/>
        <v>0</v>
      </c>
      <c r="R116" s="26"/>
      <c r="S116" s="26"/>
      <c r="T116" s="31">
        <f t="shared" si="36"/>
        <v>0</v>
      </c>
      <c r="U116" s="26">
        <f t="shared" si="46"/>
        <v>0</v>
      </c>
      <c r="V116" s="26">
        <f t="shared" si="47"/>
        <v>0</v>
      </c>
      <c r="W116" s="26">
        <f t="shared" si="37"/>
        <v>0</v>
      </c>
      <c r="X116" s="36">
        <f t="shared" si="38"/>
        <v>0</v>
      </c>
      <c r="Y116" s="389" t="str">
        <f t="shared" si="39"/>
        <v/>
      </c>
      <c r="Z116" s="38"/>
      <c r="AA116" s="38"/>
      <c r="AB116" s="38"/>
      <c r="AC116" s="38"/>
      <c r="AD116" s="157">
        <f t="shared" si="49"/>
        <v>0</v>
      </c>
      <c r="AE116" s="34"/>
      <c r="AF116" s="35"/>
      <c r="AG116" s="392">
        <f>Table3[[#This Row],[Active hours (Other than drilling)]]*$AF$1</f>
        <v>0</v>
      </c>
      <c r="AH116" s="44"/>
      <c r="AI116" s="13"/>
      <c r="AJ116" s="157" cm="1">
        <f t="array" ref="AJ116">SUM(Table3[[#This Row],[Inactive Hours (Other than client standby)]:[Standby Total Hours]]*$AI113)</f>
        <v>0</v>
      </c>
      <c r="AK116" s="45"/>
      <c r="AL116" s="23"/>
      <c r="AM116" s="25" t="str">
        <f t="shared" si="52"/>
        <v/>
      </c>
      <c r="AN116" s="396">
        <f t="shared" si="53"/>
        <v>0</v>
      </c>
      <c r="AO116" s="53"/>
      <c r="AP116" s="398"/>
      <c r="AQ116" s="401">
        <f t="shared" si="54"/>
        <v>0</v>
      </c>
      <c r="AR116" s="298"/>
      <c r="AS116" s="18">
        <f>SUM($AQ$6:AQ116)</f>
        <v>424427.97999999992</v>
      </c>
      <c r="AT116" t="str">
        <f t="shared" si="55"/>
        <v>08</v>
      </c>
      <c r="AU116">
        <f t="shared" si="56"/>
        <v>30</v>
      </c>
      <c r="AV116" t="str">
        <f t="shared" si="57"/>
        <v>D</v>
      </c>
    </row>
    <row r="117" spans="1:48">
      <c r="A117" s="152" t="str">
        <f t="shared" si="50"/>
        <v/>
      </c>
      <c r="B117" s="152"/>
      <c r="C117" s="1">
        <f t="shared" si="48"/>
        <v>45899.71</v>
      </c>
      <c r="D117" t="s">
        <v>172</v>
      </c>
      <c r="G117" s="4"/>
      <c r="H117" s="5" t="str">
        <f t="shared" si="51"/>
        <v/>
      </c>
      <c r="I117" s="21"/>
      <c r="J117" s="28"/>
      <c r="K117" s="28">
        <f t="shared" si="58"/>
        <v>0</v>
      </c>
      <c r="L117" s="30"/>
      <c r="M117" s="26"/>
      <c r="N117" s="31">
        <f t="shared" si="34"/>
        <v>0</v>
      </c>
      <c r="O117" s="21"/>
      <c r="P117" s="28"/>
      <c r="Q117" s="22">
        <f t="shared" si="35"/>
        <v>0</v>
      </c>
      <c r="R117" s="26"/>
      <c r="S117" s="26"/>
      <c r="T117" s="31">
        <f t="shared" si="36"/>
        <v>0</v>
      </c>
      <c r="U117" s="26">
        <f t="shared" si="46"/>
        <v>0</v>
      </c>
      <c r="V117" s="26">
        <f t="shared" si="47"/>
        <v>0</v>
      </c>
      <c r="W117" s="26">
        <f t="shared" si="37"/>
        <v>0</v>
      </c>
      <c r="X117" s="36">
        <f t="shared" si="38"/>
        <v>0</v>
      </c>
      <c r="Y117" s="389" t="str">
        <f t="shared" si="39"/>
        <v/>
      </c>
      <c r="Z117" s="38"/>
      <c r="AA117" s="38"/>
      <c r="AB117" s="38"/>
      <c r="AC117" s="38"/>
      <c r="AD117" s="157">
        <f t="shared" si="49"/>
        <v>0</v>
      </c>
      <c r="AE117" s="34"/>
      <c r="AF117" s="35"/>
      <c r="AG117" s="392">
        <f>Table3[[#This Row],[Active hours (Other than drilling)]]*$AF$1</f>
        <v>0</v>
      </c>
      <c r="AH117" s="44"/>
      <c r="AI117" s="13"/>
      <c r="AJ117" s="157" cm="1">
        <f t="array" ref="AJ117">SUM(Table3[[#This Row],[Inactive Hours (Other than client standby)]:[Standby Total Hours]]*$AI114)</f>
        <v>0</v>
      </c>
      <c r="AK117" s="45"/>
      <c r="AL117" s="23"/>
      <c r="AM117" s="25" t="str">
        <f t="shared" si="52"/>
        <v/>
      </c>
      <c r="AN117" s="396">
        <f t="shared" si="53"/>
        <v>0</v>
      </c>
      <c r="AO117" s="53"/>
      <c r="AP117" s="398"/>
      <c r="AQ117" s="401">
        <f t="shared" si="54"/>
        <v>0</v>
      </c>
      <c r="AR117" s="298"/>
      <c r="AS117" s="18">
        <f>SUM($AQ$6:AQ117)</f>
        <v>424427.97999999992</v>
      </c>
      <c r="AT117" t="str">
        <f t="shared" si="55"/>
        <v>08</v>
      </c>
      <c r="AU117">
        <f t="shared" si="56"/>
        <v>30</v>
      </c>
      <c r="AV117" t="str">
        <f t="shared" si="57"/>
        <v>N</v>
      </c>
    </row>
    <row r="118" spans="1:48">
      <c r="A118" s="152" t="str">
        <f t="shared" si="50"/>
        <v/>
      </c>
      <c r="B118" s="152"/>
      <c r="C118" s="1">
        <f t="shared" si="48"/>
        <v>45900.21</v>
      </c>
      <c r="D118" t="s">
        <v>171</v>
      </c>
      <c r="G118" s="4"/>
      <c r="H118" s="5" t="str">
        <f t="shared" si="51"/>
        <v/>
      </c>
      <c r="I118" s="21"/>
      <c r="J118" s="28"/>
      <c r="K118" s="28">
        <f t="shared" si="58"/>
        <v>0</v>
      </c>
      <c r="L118" s="30"/>
      <c r="M118" s="26"/>
      <c r="N118" s="31">
        <f t="shared" si="34"/>
        <v>0</v>
      </c>
      <c r="O118" s="21"/>
      <c r="P118" s="28"/>
      <c r="Q118" s="22">
        <f t="shared" si="35"/>
        <v>0</v>
      </c>
      <c r="R118" s="26"/>
      <c r="S118" s="26"/>
      <c r="T118" s="31">
        <f t="shared" si="36"/>
        <v>0</v>
      </c>
      <c r="U118" s="26">
        <f t="shared" si="46"/>
        <v>0</v>
      </c>
      <c r="V118" s="26">
        <f t="shared" si="47"/>
        <v>0</v>
      </c>
      <c r="W118" s="26">
        <f t="shared" si="37"/>
        <v>0</v>
      </c>
      <c r="X118" s="36">
        <f t="shared" si="38"/>
        <v>0</v>
      </c>
      <c r="Y118" s="389" t="str">
        <f t="shared" si="39"/>
        <v/>
      </c>
      <c r="Z118" s="38"/>
      <c r="AA118" s="38"/>
      <c r="AB118" s="38"/>
      <c r="AC118" s="38"/>
      <c r="AD118" s="157">
        <f t="shared" si="49"/>
        <v>0</v>
      </c>
      <c r="AE118" s="34"/>
      <c r="AF118" s="35"/>
      <c r="AG118" s="392">
        <f>Table3[[#This Row],[Active hours (Other than drilling)]]*$AF$1</f>
        <v>0</v>
      </c>
      <c r="AH118" s="44"/>
      <c r="AI118" s="13"/>
      <c r="AJ118" s="157" cm="1">
        <f t="array" ref="AJ118">SUM(Table3[[#This Row],[Inactive Hours (Other than client standby)]:[Standby Total Hours]]*$AI115)</f>
        <v>0</v>
      </c>
      <c r="AK118" s="45"/>
      <c r="AL118" s="23"/>
      <c r="AM118" s="25" t="str">
        <f t="shared" si="52"/>
        <v/>
      </c>
      <c r="AN118" s="396">
        <f t="shared" si="53"/>
        <v>0</v>
      </c>
      <c r="AO118" s="53"/>
      <c r="AP118" s="398"/>
      <c r="AQ118" s="401">
        <f t="shared" si="54"/>
        <v>0</v>
      </c>
      <c r="AR118" s="298"/>
      <c r="AS118" s="18">
        <f>SUM($AQ$6:AQ118)</f>
        <v>424427.97999999992</v>
      </c>
      <c r="AT118" t="str">
        <f t="shared" si="55"/>
        <v>08</v>
      </c>
      <c r="AU118">
        <f t="shared" si="56"/>
        <v>31</v>
      </c>
      <c r="AV118" t="str">
        <f t="shared" si="57"/>
        <v>D</v>
      </c>
    </row>
    <row r="119" spans="1:48">
      <c r="A119" s="152" t="str">
        <f t="shared" si="50"/>
        <v/>
      </c>
      <c r="B119" s="152"/>
      <c r="C119" s="1">
        <f t="shared" si="48"/>
        <v>45900.71</v>
      </c>
      <c r="D119" t="s">
        <v>172</v>
      </c>
      <c r="G119" s="4"/>
      <c r="H119" s="5" t="str">
        <f t="shared" si="51"/>
        <v/>
      </c>
      <c r="I119" s="21"/>
      <c r="J119" s="28"/>
      <c r="K119" s="28">
        <f t="shared" si="58"/>
        <v>0</v>
      </c>
      <c r="L119" s="30"/>
      <c r="M119" s="26"/>
      <c r="N119" s="31">
        <f t="shared" si="34"/>
        <v>0</v>
      </c>
      <c r="O119" s="21"/>
      <c r="P119" s="28"/>
      <c r="Q119" s="22">
        <f t="shared" si="35"/>
        <v>0</v>
      </c>
      <c r="R119" s="26"/>
      <c r="S119" s="26"/>
      <c r="T119" s="31">
        <f t="shared" si="36"/>
        <v>0</v>
      </c>
      <c r="U119" s="26">
        <f t="shared" si="46"/>
        <v>0</v>
      </c>
      <c r="V119" s="26">
        <f t="shared" si="47"/>
        <v>0</v>
      </c>
      <c r="W119" s="26">
        <f t="shared" si="37"/>
        <v>0</v>
      </c>
      <c r="X119" s="36">
        <f t="shared" si="38"/>
        <v>0</v>
      </c>
      <c r="Y119" s="389" t="str">
        <f t="shared" si="39"/>
        <v/>
      </c>
      <c r="Z119" s="38"/>
      <c r="AA119" s="38"/>
      <c r="AB119" s="38"/>
      <c r="AC119" s="38"/>
      <c r="AD119" s="157">
        <f t="shared" si="49"/>
        <v>0</v>
      </c>
      <c r="AE119" s="34"/>
      <c r="AF119" s="35"/>
      <c r="AG119" s="392">
        <f>Table3[[#This Row],[Active hours (Other than drilling)]]*$AF$1</f>
        <v>0</v>
      </c>
      <c r="AH119" s="44"/>
      <c r="AI119" s="13"/>
      <c r="AJ119" s="157" cm="1">
        <f t="array" ref="AJ119">SUM(Table3[[#This Row],[Inactive Hours (Other than client standby)]:[Standby Total Hours]]*$AI116)</f>
        <v>0</v>
      </c>
      <c r="AK119" s="45"/>
      <c r="AL119" s="23"/>
      <c r="AM119" s="25" t="str">
        <f t="shared" si="52"/>
        <v/>
      </c>
      <c r="AN119" s="396">
        <f t="shared" si="53"/>
        <v>0</v>
      </c>
      <c r="AO119" s="53"/>
      <c r="AP119" s="398"/>
      <c r="AQ119" s="401">
        <f t="shared" si="54"/>
        <v>0</v>
      </c>
      <c r="AR119" s="298"/>
      <c r="AS119" s="18">
        <f>SUM($AQ$6:AQ119)</f>
        <v>424427.97999999992</v>
      </c>
      <c r="AT119" t="str">
        <f t="shared" si="55"/>
        <v>08</v>
      </c>
      <c r="AU119">
        <f t="shared" si="56"/>
        <v>31</v>
      </c>
      <c r="AV119" t="str">
        <f t="shared" si="57"/>
        <v>N</v>
      </c>
    </row>
    <row r="120" spans="1:48">
      <c r="A120" s="152" t="str">
        <f t="shared" si="50"/>
        <v/>
      </c>
      <c r="B120" s="152"/>
      <c r="C120" s="1">
        <f t="shared" si="48"/>
        <v>45901.21</v>
      </c>
      <c r="D120" t="s">
        <v>171</v>
      </c>
      <c r="G120" s="4"/>
      <c r="H120" s="5" t="str">
        <f t="shared" si="51"/>
        <v/>
      </c>
      <c r="I120" s="21"/>
      <c r="J120" s="28"/>
      <c r="K120" s="28">
        <f t="shared" si="58"/>
        <v>0</v>
      </c>
      <c r="L120" s="30"/>
      <c r="M120" s="26"/>
      <c r="N120" s="31">
        <f t="shared" si="34"/>
        <v>0</v>
      </c>
      <c r="O120" s="21"/>
      <c r="P120" s="28"/>
      <c r="Q120" s="22">
        <f t="shared" si="35"/>
        <v>0</v>
      </c>
      <c r="R120" s="26"/>
      <c r="S120" s="26"/>
      <c r="T120" s="31">
        <f t="shared" si="36"/>
        <v>0</v>
      </c>
      <c r="U120" s="26">
        <f t="shared" si="46"/>
        <v>0</v>
      </c>
      <c r="V120" s="26">
        <f t="shared" si="47"/>
        <v>0</v>
      </c>
      <c r="W120" s="26">
        <f t="shared" si="37"/>
        <v>0</v>
      </c>
      <c r="X120" s="36">
        <f t="shared" si="38"/>
        <v>0</v>
      </c>
      <c r="Y120" s="389" t="str">
        <f t="shared" si="39"/>
        <v/>
      </c>
      <c r="Z120" s="38"/>
      <c r="AA120" s="38"/>
      <c r="AB120" s="38"/>
      <c r="AC120" s="38"/>
      <c r="AD120" s="157">
        <f t="shared" si="49"/>
        <v>0</v>
      </c>
      <c r="AE120" s="34"/>
      <c r="AF120" s="35"/>
      <c r="AG120" s="392">
        <f>Table3[[#This Row],[Active hours (Other than drilling)]]*$AF$1</f>
        <v>0</v>
      </c>
      <c r="AH120" s="44"/>
      <c r="AI120" s="13"/>
      <c r="AJ120" s="157" cm="1">
        <f t="array" ref="AJ120">SUM(Table3[[#This Row],[Inactive Hours (Other than client standby)]:[Standby Total Hours]]*$AI117)</f>
        <v>0</v>
      </c>
      <c r="AK120" s="45"/>
      <c r="AL120" s="23"/>
      <c r="AM120" s="25" t="str">
        <f t="shared" si="52"/>
        <v/>
      </c>
      <c r="AN120" s="396">
        <f t="shared" si="53"/>
        <v>0</v>
      </c>
      <c r="AO120" s="53"/>
      <c r="AP120" s="398"/>
      <c r="AQ120" s="401">
        <f t="shared" si="54"/>
        <v>0</v>
      </c>
      <c r="AR120" s="298"/>
      <c r="AS120" s="18">
        <f>SUM($AQ$6:AQ120)</f>
        <v>424427.97999999992</v>
      </c>
      <c r="AT120" t="str">
        <f t="shared" si="55"/>
        <v>09</v>
      </c>
      <c r="AU120">
        <f t="shared" si="56"/>
        <v>1</v>
      </c>
      <c r="AV120" t="str">
        <f t="shared" si="57"/>
        <v>D</v>
      </c>
    </row>
    <row r="121" spans="1:48">
      <c r="A121" s="152" t="str">
        <f t="shared" si="50"/>
        <v/>
      </c>
      <c r="B121" s="152"/>
      <c r="C121" s="1">
        <f t="shared" si="48"/>
        <v>45901.71</v>
      </c>
      <c r="D121" t="s">
        <v>172</v>
      </c>
      <c r="G121" s="4"/>
      <c r="H121" s="5" t="str">
        <f t="shared" si="51"/>
        <v/>
      </c>
      <c r="I121" s="21"/>
      <c r="J121" s="28"/>
      <c r="K121" s="28">
        <f t="shared" si="58"/>
        <v>0</v>
      </c>
      <c r="L121" s="30"/>
      <c r="M121" s="26"/>
      <c r="N121" s="31">
        <f t="shared" si="34"/>
        <v>0</v>
      </c>
      <c r="O121" s="21"/>
      <c r="P121" s="28"/>
      <c r="Q121" s="22">
        <f t="shared" si="35"/>
        <v>0</v>
      </c>
      <c r="R121" s="26"/>
      <c r="S121" s="26"/>
      <c r="T121" s="31">
        <f t="shared" si="36"/>
        <v>0</v>
      </c>
      <c r="U121" s="26">
        <f t="shared" si="46"/>
        <v>0</v>
      </c>
      <c r="V121" s="26">
        <f t="shared" si="47"/>
        <v>0</v>
      </c>
      <c r="W121" s="26">
        <f t="shared" si="37"/>
        <v>0</v>
      </c>
      <c r="X121" s="36">
        <f t="shared" si="38"/>
        <v>0</v>
      </c>
      <c r="Y121" s="389" t="str">
        <f t="shared" si="39"/>
        <v/>
      </c>
      <c r="Z121" s="38"/>
      <c r="AA121" s="38"/>
      <c r="AB121" s="38"/>
      <c r="AC121" s="38"/>
      <c r="AD121" s="157">
        <f t="shared" si="49"/>
        <v>0</v>
      </c>
      <c r="AE121" s="34"/>
      <c r="AF121" s="35"/>
      <c r="AG121" s="392">
        <f>Table3[[#This Row],[Active hours (Other than drilling)]]*$AF$1</f>
        <v>0</v>
      </c>
      <c r="AH121" s="44"/>
      <c r="AI121" s="13"/>
      <c r="AJ121" s="157" cm="1">
        <f t="array" ref="AJ121">SUM(Table3[[#This Row],[Inactive Hours (Other than client standby)]:[Standby Total Hours]]*$AI118)</f>
        <v>0</v>
      </c>
      <c r="AK121" s="45"/>
      <c r="AL121" s="23"/>
      <c r="AM121" s="25" t="str">
        <f t="shared" si="52"/>
        <v/>
      </c>
      <c r="AN121" s="396">
        <f t="shared" si="53"/>
        <v>0</v>
      </c>
      <c r="AO121" s="53"/>
      <c r="AP121" s="398"/>
      <c r="AQ121" s="401">
        <f t="shared" si="54"/>
        <v>0</v>
      </c>
      <c r="AR121" s="298"/>
      <c r="AS121" s="18">
        <f>SUM($AQ$6:AQ121)</f>
        <v>424427.97999999992</v>
      </c>
      <c r="AT121" t="str">
        <f t="shared" si="55"/>
        <v>09</v>
      </c>
      <c r="AU121">
        <f t="shared" si="56"/>
        <v>1</v>
      </c>
      <c r="AV121" t="str">
        <f t="shared" si="57"/>
        <v>N</v>
      </c>
    </row>
    <row r="122" spans="1:48">
      <c r="A122" s="152" t="str">
        <f t="shared" si="50"/>
        <v/>
      </c>
      <c r="B122" s="152"/>
      <c r="C122" s="1">
        <f t="shared" si="48"/>
        <v>45902.21</v>
      </c>
      <c r="D122" t="s">
        <v>171</v>
      </c>
      <c r="G122" s="4"/>
      <c r="H122" s="5" t="str">
        <f t="shared" si="51"/>
        <v/>
      </c>
      <c r="I122" s="21"/>
      <c r="J122" s="28"/>
      <c r="K122" s="28">
        <f t="shared" si="58"/>
        <v>0</v>
      </c>
      <c r="L122" s="30"/>
      <c r="M122" s="26"/>
      <c r="N122" s="31">
        <f t="shared" si="34"/>
        <v>0</v>
      </c>
      <c r="O122" s="21"/>
      <c r="P122" s="28"/>
      <c r="Q122" s="22">
        <f t="shared" si="35"/>
        <v>0</v>
      </c>
      <c r="R122" s="26"/>
      <c r="S122" s="26"/>
      <c r="T122" s="31">
        <f t="shared" si="36"/>
        <v>0</v>
      </c>
      <c r="U122" s="26">
        <f t="shared" si="46"/>
        <v>0</v>
      </c>
      <c r="V122" s="26">
        <f t="shared" si="47"/>
        <v>0</v>
      </c>
      <c r="W122" s="26">
        <f t="shared" si="37"/>
        <v>0</v>
      </c>
      <c r="X122" s="36">
        <f t="shared" si="38"/>
        <v>0</v>
      </c>
      <c r="Y122" s="389" t="str">
        <f t="shared" si="39"/>
        <v/>
      </c>
      <c r="Z122" s="38"/>
      <c r="AA122" s="38"/>
      <c r="AB122" s="38"/>
      <c r="AC122" s="38"/>
      <c r="AD122" s="157">
        <f t="shared" si="49"/>
        <v>0</v>
      </c>
      <c r="AE122" s="34"/>
      <c r="AF122" s="35"/>
      <c r="AG122" s="392">
        <f>Table3[[#This Row],[Active hours (Other than drilling)]]*$AF$1</f>
        <v>0</v>
      </c>
      <c r="AH122" s="44"/>
      <c r="AI122" s="13"/>
      <c r="AJ122" s="157" cm="1">
        <f t="array" ref="AJ122">SUM(Table3[[#This Row],[Inactive Hours (Other than client standby)]:[Standby Total Hours]]*$AI119)</f>
        <v>0</v>
      </c>
      <c r="AK122" s="45"/>
      <c r="AL122" s="23"/>
      <c r="AM122" s="25" t="str">
        <f t="shared" si="52"/>
        <v/>
      </c>
      <c r="AN122" s="396">
        <f t="shared" si="53"/>
        <v>0</v>
      </c>
      <c r="AO122" s="53"/>
      <c r="AP122" s="398"/>
      <c r="AQ122" s="401">
        <f t="shared" si="54"/>
        <v>0</v>
      </c>
      <c r="AR122" s="298"/>
      <c r="AS122" s="18">
        <f>SUM($AQ$6:AQ122)</f>
        <v>424427.97999999992</v>
      </c>
      <c r="AT122" t="str">
        <f t="shared" si="55"/>
        <v>09</v>
      </c>
      <c r="AU122">
        <f t="shared" si="56"/>
        <v>2</v>
      </c>
      <c r="AV122" t="str">
        <f t="shared" si="57"/>
        <v>D</v>
      </c>
    </row>
    <row r="123" spans="1:48">
      <c r="A123" s="152" t="str">
        <f t="shared" si="50"/>
        <v/>
      </c>
      <c r="B123" s="152"/>
      <c r="C123" s="1">
        <f t="shared" si="48"/>
        <v>45902.71</v>
      </c>
      <c r="D123" t="s">
        <v>172</v>
      </c>
      <c r="G123" s="4"/>
      <c r="H123" s="5" t="str">
        <f t="shared" si="51"/>
        <v/>
      </c>
      <c r="I123" s="21"/>
      <c r="J123" s="28"/>
      <c r="K123" s="28">
        <f t="shared" si="58"/>
        <v>0</v>
      </c>
      <c r="L123" s="30"/>
      <c r="M123" s="26"/>
      <c r="N123" s="31">
        <f t="shared" si="34"/>
        <v>0</v>
      </c>
      <c r="O123" s="21"/>
      <c r="P123" s="28"/>
      <c r="Q123" s="22">
        <f t="shared" si="35"/>
        <v>0</v>
      </c>
      <c r="R123" s="26"/>
      <c r="S123" s="26"/>
      <c r="T123" s="31">
        <f t="shared" si="36"/>
        <v>0</v>
      </c>
      <c r="U123" s="26">
        <f t="shared" si="46"/>
        <v>0</v>
      </c>
      <c r="V123" s="26">
        <f t="shared" si="47"/>
        <v>0</v>
      </c>
      <c r="W123" s="26">
        <f t="shared" si="37"/>
        <v>0</v>
      </c>
      <c r="X123" s="36">
        <f t="shared" si="38"/>
        <v>0</v>
      </c>
      <c r="Y123" s="389" t="str">
        <f t="shared" si="39"/>
        <v/>
      </c>
      <c r="Z123" s="38"/>
      <c r="AA123" s="38"/>
      <c r="AB123" s="38"/>
      <c r="AC123" s="38"/>
      <c r="AD123" s="157">
        <f t="shared" si="49"/>
        <v>0</v>
      </c>
      <c r="AE123" s="34"/>
      <c r="AF123" s="35"/>
      <c r="AG123" s="392">
        <f>Table3[[#This Row],[Active hours (Other than drilling)]]*$AF$1</f>
        <v>0</v>
      </c>
      <c r="AH123" s="44"/>
      <c r="AI123" s="13"/>
      <c r="AJ123" s="157" cm="1">
        <f t="array" ref="AJ123">SUM(Table3[[#This Row],[Inactive Hours (Other than client standby)]:[Standby Total Hours]]*$AI120)</f>
        <v>0</v>
      </c>
      <c r="AK123" s="45"/>
      <c r="AL123" s="23"/>
      <c r="AM123" s="25" t="str">
        <f t="shared" si="52"/>
        <v/>
      </c>
      <c r="AN123" s="396">
        <f t="shared" si="53"/>
        <v>0</v>
      </c>
      <c r="AO123" s="53"/>
      <c r="AP123" s="398"/>
      <c r="AQ123" s="401">
        <f t="shared" si="54"/>
        <v>0</v>
      </c>
      <c r="AR123" s="298"/>
      <c r="AS123" s="18">
        <f>SUM($AQ$6:AQ123)</f>
        <v>424427.97999999992</v>
      </c>
      <c r="AT123" t="str">
        <f t="shared" si="55"/>
        <v>09</v>
      </c>
      <c r="AU123">
        <f t="shared" si="56"/>
        <v>2</v>
      </c>
      <c r="AV123" t="str">
        <f t="shared" si="57"/>
        <v>N</v>
      </c>
    </row>
    <row r="124" spans="1:48">
      <c r="A124" s="152" t="str">
        <f t="shared" si="50"/>
        <v/>
      </c>
      <c r="B124" s="152"/>
      <c r="C124" s="1">
        <f t="shared" si="48"/>
        <v>45903.21</v>
      </c>
      <c r="D124" t="s">
        <v>171</v>
      </c>
      <c r="G124" s="4"/>
      <c r="H124" s="5" t="str">
        <f t="shared" si="51"/>
        <v/>
      </c>
      <c r="I124" s="21"/>
      <c r="J124" s="28"/>
      <c r="K124" s="28">
        <f t="shared" si="58"/>
        <v>0</v>
      </c>
      <c r="L124" s="30"/>
      <c r="M124" s="26"/>
      <c r="N124" s="31">
        <f t="shared" si="34"/>
        <v>0</v>
      </c>
      <c r="O124" s="21"/>
      <c r="P124" s="28"/>
      <c r="Q124" s="22">
        <f t="shared" si="35"/>
        <v>0</v>
      </c>
      <c r="R124" s="26"/>
      <c r="S124" s="26"/>
      <c r="T124" s="31">
        <f t="shared" si="36"/>
        <v>0</v>
      </c>
      <c r="U124" s="26">
        <f t="shared" si="46"/>
        <v>0</v>
      </c>
      <c r="V124" s="26">
        <f t="shared" si="47"/>
        <v>0</v>
      </c>
      <c r="W124" s="26">
        <f t="shared" si="37"/>
        <v>0</v>
      </c>
      <c r="X124" s="36">
        <f t="shared" si="38"/>
        <v>0</v>
      </c>
      <c r="Y124" s="389" t="str">
        <f t="shared" si="39"/>
        <v/>
      </c>
      <c r="Z124" s="38"/>
      <c r="AA124" s="38"/>
      <c r="AB124" s="38"/>
      <c r="AC124" s="38"/>
      <c r="AD124" s="157">
        <f t="shared" si="49"/>
        <v>0</v>
      </c>
      <c r="AE124" s="34"/>
      <c r="AF124" s="35"/>
      <c r="AG124" s="392">
        <f>Table3[[#This Row],[Active hours (Other than drilling)]]*$AF$1</f>
        <v>0</v>
      </c>
      <c r="AH124" s="44"/>
      <c r="AI124" s="13"/>
      <c r="AJ124" s="157" cm="1">
        <f t="array" ref="AJ124">SUM(Table3[[#This Row],[Inactive Hours (Other than client standby)]:[Standby Total Hours]]*$AI121)</f>
        <v>0</v>
      </c>
      <c r="AK124" s="45"/>
      <c r="AL124" s="23"/>
      <c r="AM124" s="25" t="str">
        <f t="shared" si="52"/>
        <v/>
      </c>
      <c r="AN124" s="396">
        <f t="shared" si="53"/>
        <v>0</v>
      </c>
      <c r="AO124" s="53"/>
      <c r="AP124" s="398"/>
      <c r="AQ124" s="401">
        <f t="shared" si="54"/>
        <v>0</v>
      </c>
      <c r="AR124" s="298"/>
      <c r="AS124" s="18">
        <f>SUM($AQ$6:AQ124)</f>
        <v>424427.97999999992</v>
      </c>
      <c r="AT124" t="str">
        <f t="shared" si="55"/>
        <v>09</v>
      </c>
      <c r="AU124">
        <f t="shared" si="56"/>
        <v>3</v>
      </c>
      <c r="AV124" t="str">
        <f t="shared" si="57"/>
        <v>D</v>
      </c>
    </row>
    <row r="125" spans="1:48">
      <c r="A125" s="152" t="str">
        <f t="shared" si="50"/>
        <v/>
      </c>
      <c r="B125" s="152"/>
      <c r="C125" s="1">
        <f t="shared" si="48"/>
        <v>45903.71</v>
      </c>
      <c r="D125" t="s">
        <v>172</v>
      </c>
      <c r="G125" s="4"/>
      <c r="H125" s="5" t="str">
        <f t="shared" si="51"/>
        <v/>
      </c>
      <c r="I125" s="21"/>
      <c r="J125" s="28"/>
      <c r="K125" s="28">
        <f t="shared" si="58"/>
        <v>0</v>
      </c>
      <c r="L125" s="30"/>
      <c r="M125" s="26"/>
      <c r="N125" s="31">
        <f t="shared" si="34"/>
        <v>0</v>
      </c>
      <c r="O125" s="21"/>
      <c r="P125" s="28"/>
      <c r="Q125" s="22">
        <f t="shared" si="35"/>
        <v>0</v>
      </c>
      <c r="R125" s="26"/>
      <c r="S125" s="26"/>
      <c r="T125" s="31">
        <f t="shared" si="36"/>
        <v>0</v>
      </c>
      <c r="U125" s="26">
        <f t="shared" si="46"/>
        <v>0</v>
      </c>
      <c r="V125" s="26">
        <f t="shared" si="47"/>
        <v>0</v>
      </c>
      <c r="W125" s="26">
        <f t="shared" si="37"/>
        <v>0</v>
      </c>
      <c r="X125" s="36">
        <f t="shared" si="38"/>
        <v>0</v>
      </c>
      <c r="Y125" s="389" t="str">
        <f t="shared" si="39"/>
        <v/>
      </c>
      <c r="Z125" s="38"/>
      <c r="AA125" s="38"/>
      <c r="AB125" s="38"/>
      <c r="AC125" s="38"/>
      <c r="AD125" s="157">
        <f t="shared" si="49"/>
        <v>0</v>
      </c>
      <c r="AE125" s="34"/>
      <c r="AF125" s="35"/>
      <c r="AG125" s="392">
        <f>Table3[[#This Row],[Active hours (Other than drilling)]]*$AF$1</f>
        <v>0</v>
      </c>
      <c r="AH125" s="44"/>
      <c r="AI125" s="13"/>
      <c r="AJ125" s="157" cm="1">
        <f t="array" ref="AJ125">SUM(Table3[[#This Row],[Inactive Hours (Other than client standby)]:[Standby Total Hours]]*$AI122)</f>
        <v>0</v>
      </c>
      <c r="AK125" s="45"/>
      <c r="AL125" s="23"/>
      <c r="AM125" s="25" t="str">
        <f t="shared" si="52"/>
        <v/>
      </c>
      <c r="AN125" s="396">
        <f t="shared" si="53"/>
        <v>0</v>
      </c>
      <c r="AO125" s="53"/>
      <c r="AP125" s="398"/>
      <c r="AQ125" s="401">
        <f t="shared" si="54"/>
        <v>0</v>
      </c>
      <c r="AR125" s="298"/>
      <c r="AS125" s="18">
        <f>SUM($AQ$6:AQ125)</f>
        <v>424427.97999999992</v>
      </c>
      <c r="AT125" t="str">
        <f t="shared" si="55"/>
        <v>09</v>
      </c>
      <c r="AU125">
        <f t="shared" si="56"/>
        <v>3</v>
      </c>
      <c r="AV125" t="str">
        <f t="shared" si="57"/>
        <v>N</v>
      </c>
    </row>
    <row r="126" spans="1:48">
      <c r="A126" s="152" t="str">
        <f t="shared" si="50"/>
        <v/>
      </c>
      <c r="B126" s="152"/>
      <c r="C126" s="1">
        <f t="shared" si="48"/>
        <v>45904.21</v>
      </c>
      <c r="D126" t="s">
        <v>171</v>
      </c>
      <c r="G126" s="4"/>
      <c r="H126" s="5" t="str">
        <f t="shared" si="51"/>
        <v/>
      </c>
      <c r="I126" s="21"/>
      <c r="J126" s="28"/>
      <c r="K126" s="28">
        <f t="shared" si="58"/>
        <v>0</v>
      </c>
      <c r="L126" s="30"/>
      <c r="M126" s="26"/>
      <c r="N126" s="31">
        <f t="shared" si="34"/>
        <v>0</v>
      </c>
      <c r="O126" s="21"/>
      <c r="P126" s="28"/>
      <c r="Q126" s="22">
        <f t="shared" si="35"/>
        <v>0</v>
      </c>
      <c r="R126" s="26"/>
      <c r="S126" s="26"/>
      <c r="T126" s="31">
        <f t="shared" si="36"/>
        <v>0</v>
      </c>
      <c r="U126" s="26">
        <f t="shared" si="46"/>
        <v>0</v>
      </c>
      <c r="V126" s="26">
        <f t="shared" si="47"/>
        <v>0</v>
      </c>
      <c r="W126" s="26">
        <f t="shared" si="37"/>
        <v>0</v>
      </c>
      <c r="X126" s="36">
        <f t="shared" si="38"/>
        <v>0</v>
      </c>
      <c r="Y126" s="389" t="str">
        <f t="shared" si="39"/>
        <v/>
      </c>
      <c r="Z126" s="38"/>
      <c r="AA126" s="38"/>
      <c r="AB126" s="38"/>
      <c r="AC126" s="38"/>
      <c r="AD126" s="157">
        <f t="shared" si="49"/>
        <v>0</v>
      </c>
      <c r="AE126" s="34"/>
      <c r="AF126" s="35"/>
      <c r="AG126" s="392">
        <f>Table3[[#This Row],[Active hours (Other than drilling)]]*$AF$1</f>
        <v>0</v>
      </c>
      <c r="AH126" s="44"/>
      <c r="AI126" s="13"/>
      <c r="AJ126" s="157" cm="1">
        <f t="array" ref="AJ126">SUM(Table3[[#This Row],[Inactive Hours (Other than client standby)]:[Standby Total Hours]]*$AI123)</f>
        <v>0</v>
      </c>
      <c r="AK126" s="45"/>
      <c r="AL126" s="23"/>
      <c r="AM126" s="25" t="str">
        <f t="shared" si="52"/>
        <v/>
      </c>
      <c r="AN126" s="396">
        <f t="shared" si="53"/>
        <v>0</v>
      </c>
      <c r="AO126" s="53"/>
      <c r="AP126" s="398"/>
      <c r="AQ126" s="401">
        <f t="shared" si="54"/>
        <v>0</v>
      </c>
      <c r="AR126" s="298"/>
      <c r="AS126" s="18">
        <f>SUM($AQ$6:AQ126)</f>
        <v>424427.97999999992</v>
      </c>
      <c r="AT126" t="str">
        <f t="shared" si="55"/>
        <v>09</v>
      </c>
      <c r="AU126">
        <f t="shared" si="56"/>
        <v>4</v>
      </c>
      <c r="AV126" t="str">
        <f t="shared" si="57"/>
        <v>D</v>
      </c>
    </row>
    <row r="127" spans="1:48">
      <c r="A127" s="152" t="str">
        <f t="shared" si="50"/>
        <v/>
      </c>
      <c r="B127" s="152"/>
      <c r="C127" s="1">
        <f t="shared" si="48"/>
        <v>45904.71</v>
      </c>
      <c r="D127" t="s">
        <v>172</v>
      </c>
      <c r="G127" s="4"/>
      <c r="H127" s="5" t="str">
        <f t="shared" si="51"/>
        <v/>
      </c>
      <c r="I127" s="21"/>
      <c r="J127" s="28"/>
      <c r="K127" s="28">
        <f t="shared" si="58"/>
        <v>0</v>
      </c>
      <c r="L127" s="30"/>
      <c r="M127" s="26"/>
      <c r="N127" s="31">
        <f t="shared" si="34"/>
        <v>0</v>
      </c>
      <c r="O127" s="21"/>
      <c r="P127" s="28"/>
      <c r="Q127" s="22">
        <f t="shared" si="35"/>
        <v>0</v>
      </c>
      <c r="R127" s="26"/>
      <c r="S127" s="26"/>
      <c r="T127" s="31">
        <f t="shared" si="36"/>
        <v>0</v>
      </c>
      <c r="U127" s="26">
        <f t="shared" si="46"/>
        <v>0</v>
      </c>
      <c r="V127" s="26">
        <f t="shared" si="47"/>
        <v>0</v>
      </c>
      <c r="W127" s="26">
        <f t="shared" si="37"/>
        <v>0</v>
      </c>
      <c r="X127" s="36">
        <f t="shared" si="38"/>
        <v>0</v>
      </c>
      <c r="Y127" s="389" t="str">
        <f t="shared" si="39"/>
        <v/>
      </c>
      <c r="Z127" s="38"/>
      <c r="AA127" s="38"/>
      <c r="AB127" s="38"/>
      <c r="AC127" s="38"/>
      <c r="AD127" s="157">
        <f t="shared" si="49"/>
        <v>0</v>
      </c>
      <c r="AE127" s="34"/>
      <c r="AF127" s="35"/>
      <c r="AG127" s="392">
        <f>Table3[[#This Row],[Active hours (Other than drilling)]]*$AF$1</f>
        <v>0</v>
      </c>
      <c r="AH127" s="44"/>
      <c r="AI127" s="13"/>
      <c r="AJ127" s="157" cm="1">
        <f t="array" ref="AJ127">SUM(Table3[[#This Row],[Inactive Hours (Other than client standby)]:[Standby Total Hours]]*$AI124)</f>
        <v>0</v>
      </c>
      <c r="AK127" s="45"/>
      <c r="AL127" s="23"/>
      <c r="AM127" s="25" t="str">
        <f t="shared" si="52"/>
        <v/>
      </c>
      <c r="AN127" s="396">
        <f t="shared" si="53"/>
        <v>0</v>
      </c>
      <c r="AO127" s="53"/>
      <c r="AP127" s="398"/>
      <c r="AQ127" s="401">
        <f t="shared" si="54"/>
        <v>0</v>
      </c>
      <c r="AR127" s="298"/>
      <c r="AS127" s="18">
        <f>SUM($AQ$6:AQ127)</f>
        <v>424427.97999999992</v>
      </c>
      <c r="AT127" t="str">
        <f t="shared" si="55"/>
        <v>09</v>
      </c>
      <c r="AU127">
        <f t="shared" si="56"/>
        <v>4</v>
      </c>
      <c r="AV127" t="str">
        <f t="shared" si="57"/>
        <v>N</v>
      </c>
    </row>
    <row r="128" spans="1:48">
      <c r="A128" s="152" t="str">
        <f t="shared" si="50"/>
        <v/>
      </c>
      <c r="B128" s="152"/>
      <c r="C128" s="1">
        <f t="shared" si="48"/>
        <v>45905.21</v>
      </c>
      <c r="D128" t="s">
        <v>171</v>
      </c>
      <c r="G128" s="4"/>
      <c r="H128" s="5" t="str">
        <f t="shared" si="51"/>
        <v/>
      </c>
      <c r="I128" s="21"/>
      <c r="J128" s="28"/>
      <c r="K128" s="28">
        <f t="shared" si="58"/>
        <v>0</v>
      </c>
      <c r="L128" s="30"/>
      <c r="M128" s="26"/>
      <c r="N128" s="31">
        <f t="shared" si="34"/>
        <v>0</v>
      </c>
      <c r="O128" s="21"/>
      <c r="P128" s="28"/>
      <c r="Q128" s="22">
        <f t="shared" si="35"/>
        <v>0</v>
      </c>
      <c r="R128" s="26"/>
      <c r="S128" s="26"/>
      <c r="T128" s="31">
        <f t="shared" si="36"/>
        <v>0</v>
      </c>
      <c r="U128" s="26">
        <f t="shared" si="46"/>
        <v>0</v>
      </c>
      <c r="V128" s="26">
        <f t="shared" si="47"/>
        <v>0</v>
      </c>
      <c r="W128" s="26">
        <f t="shared" si="37"/>
        <v>0</v>
      </c>
      <c r="X128" s="36">
        <f t="shared" si="38"/>
        <v>0</v>
      </c>
      <c r="Y128" s="389" t="str">
        <f t="shared" si="39"/>
        <v/>
      </c>
      <c r="Z128" s="38"/>
      <c r="AA128" s="38"/>
      <c r="AB128" s="38"/>
      <c r="AC128" s="38"/>
      <c r="AD128" s="157">
        <f t="shared" si="49"/>
        <v>0</v>
      </c>
      <c r="AE128" s="34"/>
      <c r="AF128" s="35"/>
      <c r="AG128" s="392">
        <f>Table3[[#This Row],[Active hours (Other than drilling)]]*$AF$1</f>
        <v>0</v>
      </c>
      <c r="AH128" s="44"/>
      <c r="AI128" s="13"/>
      <c r="AJ128" s="157" cm="1">
        <f t="array" ref="AJ128">SUM(Table3[[#This Row],[Inactive Hours (Other than client standby)]:[Standby Total Hours]]*$AI125)</f>
        <v>0</v>
      </c>
      <c r="AK128" s="45"/>
      <c r="AL128" s="23"/>
      <c r="AM128" s="25" t="str">
        <f t="shared" si="52"/>
        <v/>
      </c>
      <c r="AN128" s="396">
        <f t="shared" si="53"/>
        <v>0</v>
      </c>
      <c r="AO128" s="53"/>
      <c r="AP128" s="398"/>
      <c r="AQ128" s="401">
        <f t="shared" si="54"/>
        <v>0</v>
      </c>
      <c r="AR128" s="298"/>
      <c r="AS128" s="18">
        <f>SUM($AQ$6:AQ128)</f>
        <v>424427.97999999992</v>
      </c>
      <c r="AT128" t="str">
        <f t="shared" si="55"/>
        <v>09</v>
      </c>
      <c r="AU128">
        <f t="shared" si="56"/>
        <v>5</v>
      </c>
      <c r="AV128" t="str">
        <f t="shared" si="57"/>
        <v>D</v>
      </c>
    </row>
    <row r="129" spans="1:48">
      <c r="A129" s="152" t="str">
        <f t="shared" si="50"/>
        <v/>
      </c>
      <c r="B129" s="152"/>
      <c r="C129" s="1">
        <f t="shared" si="48"/>
        <v>45905.71</v>
      </c>
      <c r="D129" t="s">
        <v>172</v>
      </c>
      <c r="G129" s="4"/>
      <c r="H129" s="5" t="str">
        <f t="shared" si="51"/>
        <v/>
      </c>
      <c r="I129" s="21"/>
      <c r="J129" s="28"/>
      <c r="K129" s="28">
        <f t="shared" si="58"/>
        <v>0</v>
      </c>
      <c r="L129" s="30"/>
      <c r="M129" s="26"/>
      <c r="N129" s="31">
        <f t="shared" si="34"/>
        <v>0</v>
      </c>
      <c r="O129" s="21"/>
      <c r="P129" s="28"/>
      <c r="Q129" s="22">
        <f t="shared" si="35"/>
        <v>0</v>
      </c>
      <c r="R129" s="26"/>
      <c r="S129" s="26"/>
      <c r="T129" s="31">
        <f t="shared" si="36"/>
        <v>0</v>
      </c>
      <c r="U129" s="26">
        <f t="shared" si="46"/>
        <v>0</v>
      </c>
      <c r="V129" s="26">
        <f t="shared" si="47"/>
        <v>0</v>
      </c>
      <c r="W129" s="26">
        <f t="shared" si="37"/>
        <v>0</v>
      </c>
      <c r="X129" s="36">
        <f t="shared" si="38"/>
        <v>0</v>
      </c>
      <c r="Y129" s="389" t="str">
        <f t="shared" si="39"/>
        <v/>
      </c>
      <c r="Z129" s="38"/>
      <c r="AA129" s="38"/>
      <c r="AB129" s="38"/>
      <c r="AC129" s="38"/>
      <c r="AD129" s="157">
        <f t="shared" si="49"/>
        <v>0</v>
      </c>
      <c r="AE129" s="34"/>
      <c r="AF129" s="35"/>
      <c r="AG129" s="392">
        <f>Table3[[#This Row],[Active hours (Other than drilling)]]*$AF$1</f>
        <v>0</v>
      </c>
      <c r="AH129" s="44"/>
      <c r="AI129" s="13"/>
      <c r="AJ129" s="157" cm="1">
        <f t="array" ref="AJ129">SUM(Table3[[#This Row],[Inactive Hours (Other than client standby)]:[Standby Total Hours]]*$AI126)</f>
        <v>0</v>
      </c>
      <c r="AK129" s="45"/>
      <c r="AL129" s="23"/>
      <c r="AM129" s="25" t="str">
        <f t="shared" si="52"/>
        <v/>
      </c>
      <c r="AN129" s="396">
        <f t="shared" si="53"/>
        <v>0</v>
      </c>
      <c r="AO129" s="53"/>
      <c r="AP129" s="398"/>
      <c r="AQ129" s="401">
        <f t="shared" si="54"/>
        <v>0</v>
      </c>
      <c r="AR129" s="298"/>
      <c r="AS129" s="18">
        <f>SUM($AQ$6:AQ129)</f>
        <v>424427.97999999992</v>
      </c>
      <c r="AT129" t="str">
        <f t="shared" si="55"/>
        <v>09</v>
      </c>
      <c r="AU129">
        <f t="shared" si="56"/>
        <v>5</v>
      </c>
      <c r="AV129" t="str">
        <f t="shared" si="57"/>
        <v>N</v>
      </c>
    </row>
    <row r="130" spans="1:48">
      <c r="A130" s="152" t="str">
        <f t="shared" si="50"/>
        <v/>
      </c>
      <c r="B130" s="152"/>
      <c r="C130" s="1">
        <f t="shared" si="48"/>
        <v>45906.21</v>
      </c>
      <c r="D130" t="s">
        <v>171</v>
      </c>
      <c r="G130" s="4"/>
      <c r="H130" s="5" t="str">
        <f t="shared" si="51"/>
        <v/>
      </c>
      <c r="I130" s="21"/>
      <c r="J130" s="28"/>
      <c r="K130" s="28">
        <f t="shared" si="58"/>
        <v>0</v>
      </c>
      <c r="L130" s="30"/>
      <c r="M130" s="26"/>
      <c r="N130" s="31">
        <f t="shared" si="34"/>
        <v>0</v>
      </c>
      <c r="O130" s="21"/>
      <c r="P130" s="28"/>
      <c r="Q130" s="22">
        <f t="shared" si="35"/>
        <v>0</v>
      </c>
      <c r="R130" s="26"/>
      <c r="S130" s="26"/>
      <c r="T130" s="31">
        <f t="shared" si="36"/>
        <v>0</v>
      </c>
      <c r="U130" s="26">
        <f t="shared" si="46"/>
        <v>0</v>
      </c>
      <c r="V130" s="26">
        <f t="shared" si="47"/>
        <v>0</v>
      </c>
      <c r="W130" s="26">
        <f t="shared" si="37"/>
        <v>0</v>
      </c>
      <c r="X130" s="36">
        <f t="shared" si="38"/>
        <v>0</v>
      </c>
      <c r="Y130" s="389" t="str">
        <f t="shared" si="39"/>
        <v/>
      </c>
      <c r="Z130" s="38"/>
      <c r="AA130" s="38"/>
      <c r="AB130" s="38"/>
      <c r="AC130" s="38"/>
      <c r="AD130" s="157">
        <f t="shared" si="49"/>
        <v>0</v>
      </c>
      <c r="AE130" s="34"/>
      <c r="AF130" s="35"/>
      <c r="AG130" s="392">
        <f>Table3[[#This Row],[Active hours (Other than drilling)]]*$AF$1</f>
        <v>0</v>
      </c>
      <c r="AH130" s="44"/>
      <c r="AI130" s="13"/>
      <c r="AJ130" s="157" cm="1">
        <f t="array" ref="AJ130">SUM(Table3[[#This Row],[Inactive Hours (Other than client standby)]:[Standby Total Hours]]*$AI127)</f>
        <v>0</v>
      </c>
      <c r="AK130" s="45"/>
      <c r="AL130" s="23"/>
      <c r="AM130" s="25" t="str">
        <f t="shared" si="52"/>
        <v/>
      </c>
      <c r="AN130" s="396">
        <f t="shared" si="53"/>
        <v>0</v>
      </c>
      <c r="AO130" s="53"/>
      <c r="AP130" s="398"/>
      <c r="AQ130" s="401">
        <f t="shared" si="54"/>
        <v>0</v>
      </c>
      <c r="AR130" s="298"/>
      <c r="AS130" s="18">
        <f>SUM($AQ$6:AQ130)</f>
        <v>424427.97999999992</v>
      </c>
      <c r="AT130" t="str">
        <f t="shared" si="55"/>
        <v>09</v>
      </c>
      <c r="AU130">
        <f t="shared" si="56"/>
        <v>6</v>
      </c>
      <c r="AV130" t="str">
        <f t="shared" si="57"/>
        <v>D</v>
      </c>
    </row>
    <row r="131" spans="1:48">
      <c r="A131" s="152" t="str">
        <f t="shared" si="50"/>
        <v/>
      </c>
      <c r="B131" s="152"/>
      <c r="C131" s="1">
        <f t="shared" si="48"/>
        <v>45906.71</v>
      </c>
      <c r="D131" t="s">
        <v>172</v>
      </c>
      <c r="G131" s="4"/>
      <c r="H131" s="5" t="str">
        <f t="shared" si="51"/>
        <v/>
      </c>
      <c r="I131" s="21"/>
      <c r="J131" s="28"/>
      <c r="K131" s="28">
        <f t="shared" si="58"/>
        <v>0</v>
      </c>
      <c r="L131" s="30"/>
      <c r="M131" s="26"/>
      <c r="N131" s="31">
        <f t="shared" si="34"/>
        <v>0</v>
      </c>
      <c r="O131" s="21"/>
      <c r="P131" s="28"/>
      <c r="Q131" s="22">
        <f t="shared" si="35"/>
        <v>0</v>
      </c>
      <c r="R131" s="26"/>
      <c r="S131" s="26"/>
      <c r="T131" s="31">
        <f t="shared" si="36"/>
        <v>0</v>
      </c>
      <c r="U131" s="26">
        <f t="shared" si="46"/>
        <v>0</v>
      </c>
      <c r="V131" s="26">
        <f t="shared" si="47"/>
        <v>0</v>
      </c>
      <c r="W131" s="26">
        <f t="shared" si="37"/>
        <v>0</v>
      </c>
      <c r="X131" s="36">
        <f t="shared" si="38"/>
        <v>0</v>
      </c>
      <c r="Y131" s="389" t="str">
        <f t="shared" si="39"/>
        <v/>
      </c>
      <c r="Z131" s="38"/>
      <c r="AA131" s="38"/>
      <c r="AB131" s="38"/>
      <c r="AC131" s="38"/>
      <c r="AD131" s="157">
        <f t="shared" si="49"/>
        <v>0</v>
      </c>
      <c r="AE131" s="34"/>
      <c r="AF131" s="35"/>
      <c r="AG131" s="392">
        <f>Table3[[#This Row],[Active hours (Other than drilling)]]*$AF$1</f>
        <v>0</v>
      </c>
      <c r="AH131" s="44"/>
      <c r="AI131" s="13"/>
      <c r="AJ131" s="157" cm="1">
        <f t="array" ref="AJ131">SUM(Table3[[#This Row],[Inactive Hours (Other than client standby)]:[Standby Total Hours]]*$AI128)</f>
        <v>0</v>
      </c>
      <c r="AK131" s="45"/>
      <c r="AL131" s="23"/>
      <c r="AM131" s="25" t="str">
        <f t="shared" si="52"/>
        <v/>
      </c>
      <c r="AN131" s="396">
        <f t="shared" si="53"/>
        <v>0</v>
      </c>
      <c r="AO131" s="53"/>
      <c r="AP131" s="398"/>
      <c r="AQ131" s="401">
        <f t="shared" si="54"/>
        <v>0</v>
      </c>
      <c r="AR131" s="298"/>
      <c r="AS131" s="18">
        <f>SUM($AQ$6:AQ131)</f>
        <v>424427.97999999992</v>
      </c>
      <c r="AT131" t="str">
        <f t="shared" si="55"/>
        <v>09</v>
      </c>
      <c r="AU131">
        <f t="shared" si="56"/>
        <v>6</v>
      </c>
      <c r="AV131" t="str">
        <f t="shared" si="57"/>
        <v>N</v>
      </c>
    </row>
    <row r="132" spans="1:48">
      <c r="A132" s="152" t="str">
        <f t="shared" si="50"/>
        <v/>
      </c>
      <c r="B132" s="152"/>
      <c r="C132" s="1">
        <f t="shared" si="48"/>
        <v>45907.21</v>
      </c>
      <c r="D132" t="s">
        <v>171</v>
      </c>
      <c r="G132" s="4"/>
      <c r="H132" s="5" t="str">
        <f t="shared" ref="H132:H163" si="59">IF(ISBLANK(G132),"",G132*$H$1)</f>
        <v/>
      </c>
      <c r="I132" s="21"/>
      <c r="J132" s="28"/>
      <c r="K132" s="28">
        <f t="shared" si="58"/>
        <v>0</v>
      </c>
      <c r="L132" s="30"/>
      <c r="M132" s="26"/>
      <c r="N132" s="31">
        <f t="shared" ref="N132:N188" si="60">IF(ISBLANK(L132),,M132-L132)</f>
        <v>0</v>
      </c>
      <c r="O132" s="21"/>
      <c r="P132" s="28"/>
      <c r="Q132" s="22">
        <f t="shared" ref="Q132:Q188" si="61">IF(ISBLANK(O132),,P132-O132)</f>
        <v>0</v>
      </c>
      <c r="R132" s="26"/>
      <c r="S132" s="26"/>
      <c r="T132" s="31">
        <f t="shared" ref="T132:T188" si="62">IF(ISBLANK(R132),,S132-R132)</f>
        <v>0</v>
      </c>
      <c r="U132" s="26">
        <f t="shared" si="46"/>
        <v>0</v>
      </c>
      <c r="V132" s="26">
        <f t="shared" si="47"/>
        <v>0</v>
      </c>
      <c r="W132" s="26">
        <f t="shared" ref="W132:W195" si="63">IFERROR(K132+N132+Q132+T132,"")</f>
        <v>0</v>
      </c>
      <c r="X132" s="36">
        <f t="shared" ref="X132:X195" si="64">IFERROR((K132*$K$1)+(N132*$N$1)+(Q132*$Q$1)+(T132*$T$1),"")</f>
        <v>0</v>
      </c>
      <c r="Y132" s="389" t="str">
        <f t="shared" ref="Y132:Y195" si="65">IF(E132&lt;&gt;"",IF(X132&lt;(AE132*$AE$1),(AE132*$AE$1),X132),"")</f>
        <v/>
      </c>
      <c r="Z132" s="38"/>
      <c r="AA132" s="38"/>
      <c r="AB132" s="38"/>
      <c r="AC132" s="38"/>
      <c r="AD132" s="157">
        <f t="shared" si="49"/>
        <v>0</v>
      </c>
      <c r="AE132" s="34"/>
      <c r="AF132" s="35"/>
      <c r="AG132" s="392">
        <f>Table3[[#This Row],[Active hours (Other than drilling)]]*$AF$1</f>
        <v>0</v>
      </c>
      <c r="AH132" s="44"/>
      <c r="AI132" s="13"/>
      <c r="AJ132" s="157" cm="1">
        <f t="array" ref="AJ132">SUM(Table3[[#This Row],[Inactive Hours (Other than client standby)]:[Standby Total Hours]]*$AI129)</f>
        <v>0</v>
      </c>
      <c r="AK132" s="45"/>
      <c r="AL132" s="23"/>
      <c r="AM132" s="25" t="str">
        <f t="shared" ref="AM132:AM163" si="66">IF(ISBLANK(AE132),"",SUM(AE132:AF132,AH132:AI132,AK132:AL132))</f>
        <v/>
      </c>
      <c r="AN132" s="396">
        <f t="shared" ref="AN132:AN163" si="67">(AF132*$AF$1)+(AH132*$AH$1)+(AI132*$AI$1)</f>
        <v>0</v>
      </c>
      <c r="AO132" s="53"/>
      <c r="AP132" s="398"/>
      <c r="AQ132" s="401">
        <f t="shared" ref="AQ132:AQ163" si="68">SUM(Y132,AN132,AP132,H132)+AD132</f>
        <v>0</v>
      </c>
      <c r="AR132" s="298"/>
      <c r="AS132" s="18">
        <f>SUM($AQ$6:AQ132)</f>
        <v>424427.97999999992</v>
      </c>
      <c r="AT132" t="str">
        <f t="shared" ref="AT132:AT163" si="69">_xlfn.TEXTJOIN(,TRUE,"0",MONTH(C132))</f>
        <v>09</v>
      </c>
      <c r="AU132">
        <f t="shared" ref="AU132:AU163" si="70">DAY(C132)</f>
        <v>7</v>
      </c>
      <c r="AV132" t="str">
        <f t="shared" ref="AV132:AV163" si="71">LEFT(D132,1)</f>
        <v>D</v>
      </c>
    </row>
    <row r="133" spans="1:48">
      <c r="A133" s="152" t="str">
        <f t="shared" si="50"/>
        <v/>
      </c>
      <c r="B133" s="152"/>
      <c r="C133" s="1">
        <f t="shared" si="48"/>
        <v>45907.71</v>
      </c>
      <c r="D133" t="s">
        <v>172</v>
      </c>
      <c r="G133" s="4"/>
      <c r="H133" s="5" t="str">
        <f t="shared" si="59"/>
        <v/>
      </c>
      <c r="I133" s="21"/>
      <c r="J133" s="28"/>
      <c r="K133" s="28">
        <f t="shared" si="58"/>
        <v>0</v>
      </c>
      <c r="L133" s="30"/>
      <c r="M133" s="26"/>
      <c r="N133" s="31">
        <f t="shared" si="60"/>
        <v>0</v>
      </c>
      <c r="O133" s="21"/>
      <c r="P133" s="28"/>
      <c r="Q133" s="22">
        <f t="shared" si="61"/>
        <v>0</v>
      </c>
      <c r="R133" s="26"/>
      <c r="S133" s="26"/>
      <c r="T133" s="31">
        <f t="shared" si="62"/>
        <v>0</v>
      </c>
      <c r="U133" s="26">
        <f t="shared" ref="U133:U196" si="72">SUM(K133,Q133)</f>
        <v>0</v>
      </c>
      <c r="V133" s="26">
        <f t="shared" ref="V133:V196" si="73">SUM(N133,T133)</f>
        <v>0</v>
      </c>
      <c r="W133" s="26">
        <f t="shared" si="63"/>
        <v>0</v>
      </c>
      <c r="X133" s="36">
        <f t="shared" si="64"/>
        <v>0</v>
      </c>
      <c r="Y133" s="389" t="str">
        <f t="shared" si="65"/>
        <v/>
      </c>
      <c r="Z133" s="38"/>
      <c r="AA133" s="38"/>
      <c r="AB133" s="38"/>
      <c r="AC133" s="38"/>
      <c r="AD133" s="157">
        <f t="shared" si="49"/>
        <v>0</v>
      </c>
      <c r="AE133" s="34"/>
      <c r="AF133" s="35"/>
      <c r="AG133" s="392">
        <f>Table3[[#This Row],[Active hours (Other than drilling)]]*$AF$1</f>
        <v>0</v>
      </c>
      <c r="AH133" s="44"/>
      <c r="AI133" s="13"/>
      <c r="AJ133" s="157" cm="1">
        <f t="array" ref="AJ133">SUM(Table3[[#This Row],[Inactive Hours (Other than client standby)]:[Standby Total Hours]]*$AI130)</f>
        <v>0</v>
      </c>
      <c r="AK133" s="45"/>
      <c r="AL133" s="23"/>
      <c r="AM133" s="25" t="str">
        <f t="shared" si="66"/>
        <v/>
      </c>
      <c r="AN133" s="396">
        <f t="shared" si="67"/>
        <v>0</v>
      </c>
      <c r="AO133" s="53"/>
      <c r="AP133" s="398"/>
      <c r="AQ133" s="401">
        <f t="shared" si="68"/>
        <v>0</v>
      </c>
      <c r="AR133" s="298"/>
      <c r="AS133" s="18">
        <f>SUM($AQ$6:AQ133)</f>
        <v>424427.97999999992</v>
      </c>
      <c r="AT133" t="str">
        <f t="shared" si="69"/>
        <v>09</v>
      </c>
      <c r="AU133">
        <f t="shared" si="70"/>
        <v>7</v>
      </c>
      <c r="AV133" t="str">
        <f t="shared" si="71"/>
        <v>N</v>
      </c>
    </row>
    <row r="134" spans="1:48">
      <c r="A134" s="152" t="str">
        <f t="shared" ref="A134:A197" si="74">IFERROR(IF(FIND("MET",E134),"MET",IF(FIND("GT",E134),"GT",)),"")</f>
        <v/>
      </c>
      <c r="B134" s="152"/>
      <c r="C134" s="1">
        <f t="shared" si="48"/>
        <v>45908.21</v>
      </c>
      <c r="D134" t="s">
        <v>171</v>
      </c>
      <c r="G134" s="4"/>
      <c r="H134" s="5" t="str">
        <f t="shared" si="59"/>
        <v/>
      </c>
      <c r="I134" s="21"/>
      <c r="J134" s="28"/>
      <c r="K134" s="28">
        <f t="shared" si="58"/>
        <v>0</v>
      </c>
      <c r="L134" s="30"/>
      <c r="M134" s="26"/>
      <c r="N134" s="31">
        <f t="shared" si="60"/>
        <v>0</v>
      </c>
      <c r="O134" s="21"/>
      <c r="P134" s="28"/>
      <c r="Q134" s="22">
        <f t="shared" si="61"/>
        <v>0</v>
      </c>
      <c r="R134" s="26"/>
      <c r="S134" s="26"/>
      <c r="T134" s="31">
        <f t="shared" si="62"/>
        <v>0</v>
      </c>
      <c r="U134" s="26">
        <f t="shared" si="72"/>
        <v>0</v>
      </c>
      <c r="V134" s="26">
        <f t="shared" si="73"/>
        <v>0</v>
      </c>
      <c r="W134" s="26">
        <f t="shared" si="63"/>
        <v>0</v>
      </c>
      <c r="X134" s="36">
        <f t="shared" si="64"/>
        <v>0</v>
      </c>
      <c r="Y134" s="389" t="str">
        <f t="shared" si="65"/>
        <v/>
      </c>
      <c r="Z134" s="38"/>
      <c r="AA134" s="38"/>
      <c r="AB134" s="38"/>
      <c r="AC134" s="38"/>
      <c r="AD134" s="157">
        <f t="shared" si="49"/>
        <v>0</v>
      </c>
      <c r="AE134" s="34"/>
      <c r="AF134" s="35"/>
      <c r="AG134" s="392">
        <f>Table3[[#This Row],[Active hours (Other than drilling)]]*$AF$1</f>
        <v>0</v>
      </c>
      <c r="AH134" s="44"/>
      <c r="AI134" s="13"/>
      <c r="AJ134" s="157" cm="1">
        <f t="array" ref="AJ134">SUM(Table3[[#This Row],[Inactive Hours (Other than client standby)]:[Standby Total Hours]]*$AI131)</f>
        <v>0</v>
      </c>
      <c r="AK134" s="45"/>
      <c r="AL134" s="23"/>
      <c r="AM134" s="25" t="str">
        <f t="shared" si="66"/>
        <v/>
      </c>
      <c r="AN134" s="396">
        <f t="shared" si="67"/>
        <v>0</v>
      </c>
      <c r="AO134" s="53"/>
      <c r="AP134" s="398"/>
      <c r="AQ134" s="401">
        <f t="shared" si="68"/>
        <v>0</v>
      </c>
      <c r="AR134" s="298"/>
      <c r="AS134" s="18">
        <f>SUM($AQ$6:AQ134)</f>
        <v>424427.97999999992</v>
      </c>
      <c r="AT134" t="str">
        <f t="shared" si="69"/>
        <v>09</v>
      </c>
      <c r="AU134">
        <f t="shared" si="70"/>
        <v>8</v>
      </c>
      <c r="AV134" t="str">
        <f t="shared" si="71"/>
        <v>D</v>
      </c>
    </row>
    <row r="135" spans="1:48">
      <c r="A135" s="152" t="str">
        <f t="shared" si="74"/>
        <v/>
      </c>
      <c r="B135" s="152"/>
      <c r="C135" s="1">
        <f t="shared" si="48"/>
        <v>45908.71</v>
      </c>
      <c r="D135" t="s">
        <v>172</v>
      </c>
      <c r="G135" s="4"/>
      <c r="H135" s="5" t="str">
        <f t="shared" si="59"/>
        <v/>
      </c>
      <c r="I135" s="21"/>
      <c r="J135" s="28"/>
      <c r="K135" s="28">
        <f t="shared" si="58"/>
        <v>0</v>
      </c>
      <c r="L135" s="30"/>
      <c r="M135" s="26"/>
      <c r="N135" s="31">
        <f t="shared" si="60"/>
        <v>0</v>
      </c>
      <c r="O135" s="21"/>
      <c r="P135" s="28"/>
      <c r="Q135" s="22">
        <f t="shared" si="61"/>
        <v>0</v>
      </c>
      <c r="R135" s="26"/>
      <c r="S135" s="26"/>
      <c r="T135" s="31">
        <f t="shared" si="62"/>
        <v>0</v>
      </c>
      <c r="U135" s="26">
        <f t="shared" si="72"/>
        <v>0</v>
      </c>
      <c r="V135" s="26">
        <f t="shared" si="73"/>
        <v>0</v>
      </c>
      <c r="W135" s="26">
        <f t="shared" si="63"/>
        <v>0</v>
      </c>
      <c r="X135" s="36">
        <f t="shared" si="64"/>
        <v>0</v>
      </c>
      <c r="Y135" s="389" t="str">
        <f t="shared" si="65"/>
        <v/>
      </c>
      <c r="Z135" s="38"/>
      <c r="AA135" s="38"/>
      <c r="AB135" s="38"/>
      <c r="AC135" s="38"/>
      <c r="AD135" s="157">
        <f t="shared" si="49"/>
        <v>0</v>
      </c>
      <c r="AE135" s="34"/>
      <c r="AF135" s="35"/>
      <c r="AG135" s="392">
        <f>Table3[[#This Row],[Active hours (Other than drilling)]]*$AF$1</f>
        <v>0</v>
      </c>
      <c r="AH135" s="44"/>
      <c r="AI135" s="13"/>
      <c r="AJ135" s="157" cm="1">
        <f t="array" ref="AJ135">SUM(Table3[[#This Row],[Inactive Hours (Other than client standby)]:[Standby Total Hours]]*$AI132)</f>
        <v>0</v>
      </c>
      <c r="AK135" s="45"/>
      <c r="AL135" s="23"/>
      <c r="AM135" s="25" t="str">
        <f t="shared" si="66"/>
        <v/>
      </c>
      <c r="AN135" s="396">
        <f t="shared" si="67"/>
        <v>0</v>
      </c>
      <c r="AO135" s="53"/>
      <c r="AP135" s="398"/>
      <c r="AQ135" s="401">
        <f t="shared" si="68"/>
        <v>0</v>
      </c>
      <c r="AR135" s="298"/>
      <c r="AS135" s="18">
        <f>SUM($AQ$6:AQ135)</f>
        <v>424427.97999999992</v>
      </c>
      <c r="AT135" t="str">
        <f t="shared" si="69"/>
        <v>09</v>
      </c>
      <c r="AU135">
        <f t="shared" si="70"/>
        <v>8</v>
      </c>
      <c r="AV135" t="str">
        <f t="shared" si="71"/>
        <v>N</v>
      </c>
    </row>
    <row r="136" spans="1:48">
      <c r="A136" s="152" t="str">
        <f t="shared" si="74"/>
        <v/>
      </c>
      <c r="B136" s="152"/>
      <c r="C136" s="1">
        <f t="shared" ref="C136:C199" si="75">C134+1</f>
        <v>45909.21</v>
      </c>
      <c r="D136" t="s">
        <v>171</v>
      </c>
      <c r="G136" s="4"/>
      <c r="H136" s="5" t="str">
        <f t="shared" si="59"/>
        <v/>
      </c>
      <c r="I136" s="21"/>
      <c r="J136" s="28"/>
      <c r="K136" s="28">
        <f t="shared" si="58"/>
        <v>0</v>
      </c>
      <c r="L136" s="30"/>
      <c r="M136" s="26"/>
      <c r="N136" s="31">
        <f t="shared" si="60"/>
        <v>0</v>
      </c>
      <c r="O136" s="21"/>
      <c r="P136" s="28"/>
      <c r="Q136" s="22">
        <f t="shared" si="61"/>
        <v>0</v>
      </c>
      <c r="R136" s="26"/>
      <c r="S136" s="26"/>
      <c r="T136" s="31">
        <f t="shared" si="62"/>
        <v>0</v>
      </c>
      <c r="U136" s="26">
        <f t="shared" si="72"/>
        <v>0</v>
      </c>
      <c r="V136" s="26">
        <f t="shared" si="73"/>
        <v>0</v>
      </c>
      <c r="W136" s="26">
        <f t="shared" si="63"/>
        <v>0</v>
      </c>
      <c r="X136" s="36">
        <f t="shared" si="64"/>
        <v>0</v>
      </c>
      <c r="Y136" s="389" t="str">
        <f t="shared" si="65"/>
        <v/>
      </c>
      <c r="Z136" s="38"/>
      <c r="AA136" s="38"/>
      <c r="AB136" s="38"/>
      <c r="AC136" s="38"/>
      <c r="AD136" s="157">
        <f t="shared" si="49"/>
        <v>0</v>
      </c>
      <c r="AE136" s="34"/>
      <c r="AF136" s="35"/>
      <c r="AG136" s="392">
        <f>Table3[[#This Row],[Active hours (Other than drilling)]]*$AF$1</f>
        <v>0</v>
      </c>
      <c r="AH136" s="44"/>
      <c r="AI136" s="13"/>
      <c r="AJ136" s="157" cm="1">
        <f t="array" ref="AJ136">SUM(Table3[[#This Row],[Inactive Hours (Other than client standby)]:[Standby Total Hours]]*$AI133)</f>
        <v>0</v>
      </c>
      <c r="AK136" s="45"/>
      <c r="AL136" s="23"/>
      <c r="AM136" s="25" t="str">
        <f t="shared" si="66"/>
        <v/>
      </c>
      <c r="AN136" s="396">
        <f t="shared" si="67"/>
        <v>0</v>
      </c>
      <c r="AO136" s="53"/>
      <c r="AP136" s="398"/>
      <c r="AQ136" s="401">
        <f t="shared" si="68"/>
        <v>0</v>
      </c>
      <c r="AR136" s="298"/>
      <c r="AS136" s="18">
        <f>SUM($AQ$6:AQ136)</f>
        <v>424427.97999999992</v>
      </c>
      <c r="AT136" t="str">
        <f t="shared" si="69"/>
        <v>09</v>
      </c>
      <c r="AU136">
        <f t="shared" si="70"/>
        <v>9</v>
      </c>
      <c r="AV136" t="str">
        <f t="shared" si="71"/>
        <v>D</v>
      </c>
    </row>
    <row r="137" spans="1:48">
      <c r="A137" s="152" t="str">
        <f t="shared" si="74"/>
        <v/>
      </c>
      <c r="B137" s="152"/>
      <c r="C137" s="1">
        <f t="shared" si="75"/>
        <v>45909.71</v>
      </c>
      <c r="D137" t="s">
        <v>172</v>
      </c>
      <c r="G137" s="4"/>
      <c r="H137" s="5" t="str">
        <f t="shared" si="59"/>
        <v/>
      </c>
      <c r="I137" s="21"/>
      <c r="J137" s="28"/>
      <c r="K137" s="28">
        <f t="shared" si="58"/>
        <v>0</v>
      </c>
      <c r="L137" s="30"/>
      <c r="M137" s="26"/>
      <c r="N137" s="31">
        <f t="shared" si="60"/>
        <v>0</v>
      </c>
      <c r="O137" s="21"/>
      <c r="P137" s="28"/>
      <c r="Q137" s="22">
        <f t="shared" si="61"/>
        <v>0</v>
      </c>
      <c r="R137" s="26"/>
      <c r="S137" s="26"/>
      <c r="T137" s="31">
        <f t="shared" si="62"/>
        <v>0</v>
      </c>
      <c r="U137" s="26">
        <f t="shared" si="72"/>
        <v>0</v>
      </c>
      <c r="V137" s="26">
        <f t="shared" si="73"/>
        <v>0</v>
      </c>
      <c r="W137" s="26">
        <f t="shared" si="63"/>
        <v>0</v>
      </c>
      <c r="X137" s="36">
        <f t="shared" si="64"/>
        <v>0</v>
      </c>
      <c r="Y137" s="389" t="str">
        <f t="shared" si="65"/>
        <v/>
      </c>
      <c r="Z137" s="38"/>
      <c r="AA137" s="38"/>
      <c r="AB137" s="38"/>
      <c r="AC137" s="38"/>
      <c r="AD137" s="157">
        <f t="shared" ref="AD137:AD200" si="76">SUMPRODUCT(Z137:AB137,$Z$1:$AB$1)</f>
        <v>0</v>
      </c>
      <c r="AE137" s="34"/>
      <c r="AF137" s="35"/>
      <c r="AG137" s="392">
        <f>Table3[[#This Row],[Active hours (Other than drilling)]]*$AF$1</f>
        <v>0</v>
      </c>
      <c r="AH137" s="44"/>
      <c r="AI137" s="13"/>
      <c r="AJ137" s="157" cm="1">
        <f t="array" ref="AJ137">SUM(Table3[[#This Row],[Inactive Hours (Other than client standby)]:[Standby Total Hours]]*$AI134)</f>
        <v>0</v>
      </c>
      <c r="AK137" s="45"/>
      <c r="AL137" s="23"/>
      <c r="AM137" s="25" t="str">
        <f t="shared" si="66"/>
        <v/>
      </c>
      <c r="AN137" s="396">
        <f t="shared" si="67"/>
        <v>0</v>
      </c>
      <c r="AO137" s="53"/>
      <c r="AP137" s="398"/>
      <c r="AQ137" s="401">
        <f t="shared" si="68"/>
        <v>0</v>
      </c>
      <c r="AR137" s="298"/>
      <c r="AS137" s="18">
        <f>SUM($AQ$6:AQ137)</f>
        <v>424427.97999999992</v>
      </c>
      <c r="AT137" t="str">
        <f t="shared" si="69"/>
        <v>09</v>
      </c>
      <c r="AU137">
        <f t="shared" si="70"/>
        <v>9</v>
      </c>
      <c r="AV137" t="str">
        <f t="shared" si="71"/>
        <v>N</v>
      </c>
    </row>
    <row r="138" spans="1:48">
      <c r="A138" s="152" t="str">
        <f t="shared" si="74"/>
        <v/>
      </c>
      <c r="B138" s="152"/>
      <c r="C138" s="1">
        <f t="shared" si="75"/>
        <v>45910.21</v>
      </c>
      <c r="D138" t="s">
        <v>171</v>
      </c>
      <c r="G138" s="4"/>
      <c r="H138" s="5" t="str">
        <f t="shared" si="59"/>
        <v/>
      </c>
      <c r="I138" s="21"/>
      <c r="J138" s="28"/>
      <c r="K138" s="28">
        <f t="shared" si="58"/>
        <v>0</v>
      </c>
      <c r="L138" s="30"/>
      <c r="M138" s="26"/>
      <c r="N138" s="31">
        <f t="shared" si="60"/>
        <v>0</v>
      </c>
      <c r="O138" s="21"/>
      <c r="P138" s="28"/>
      <c r="Q138" s="22">
        <f t="shared" si="61"/>
        <v>0</v>
      </c>
      <c r="R138" s="26"/>
      <c r="S138" s="26"/>
      <c r="T138" s="31">
        <f t="shared" si="62"/>
        <v>0</v>
      </c>
      <c r="U138" s="26">
        <f t="shared" si="72"/>
        <v>0</v>
      </c>
      <c r="V138" s="26">
        <f t="shared" si="73"/>
        <v>0</v>
      </c>
      <c r="W138" s="26">
        <f t="shared" si="63"/>
        <v>0</v>
      </c>
      <c r="X138" s="36">
        <f t="shared" si="64"/>
        <v>0</v>
      </c>
      <c r="Y138" s="389" t="str">
        <f t="shared" si="65"/>
        <v/>
      </c>
      <c r="Z138" s="38"/>
      <c r="AA138" s="38"/>
      <c r="AB138" s="38"/>
      <c r="AC138" s="38"/>
      <c r="AD138" s="157">
        <f t="shared" si="76"/>
        <v>0</v>
      </c>
      <c r="AE138" s="34"/>
      <c r="AF138" s="35"/>
      <c r="AG138" s="392">
        <f>Table3[[#This Row],[Active hours (Other than drilling)]]*$AF$1</f>
        <v>0</v>
      </c>
      <c r="AH138" s="44"/>
      <c r="AI138" s="13"/>
      <c r="AJ138" s="157" cm="1">
        <f t="array" ref="AJ138">SUM(Table3[[#This Row],[Inactive Hours (Other than client standby)]:[Standby Total Hours]]*$AI135)</f>
        <v>0</v>
      </c>
      <c r="AK138" s="45"/>
      <c r="AL138" s="23"/>
      <c r="AM138" s="25" t="str">
        <f t="shared" si="66"/>
        <v/>
      </c>
      <c r="AN138" s="396">
        <f t="shared" si="67"/>
        <v>0</v>
      </c>
      <c r="AO138" s="53"/>
      <c r="AP138" s="398"/>
      <c r="AQ138" s="401">
        <f t="shared" si="68"/>
        <v>0</v>
      </c>
      <c r="AR138" s="298"/>
      <c r="AS138" s="18">
        <f>SUM($AQ$6:AQ138)</f>
        <v>424427.97999999992</v>
      </c>
      <c r="AT138" t="str">
        <f t="shared" si="69"/>
        <v>09</v>
      </c>
      <c r="AU138">
        <f t="shared" si="70"/>
        <v>10</v>
      </c>
      <c r="AV138" t="str">
        <f t="shared" si="71"/>
        <v>D</v>
      </c>
    </row>
    <row r="139" spans="1:48">
      <c r="A139" s="152" t="str">
        <f t="shared" si="74"/>
        <v/>
      </c>
      <c r="B139" s="152"/>
      <c r="C139" s="1">
        <f t="shared" si="75"/>
        <v>45910.71</v>
      </c>
      <c r="D139" t="s">
        <v>172</v>
      </c>
      <c r="G139" s="4"/>
      <c r="H139" s="5" t="str">
        <f t="shared" si="59"/>
        <v/>
      </c>
      <c r="I139" s="21"/>
      <c r="J139" s="28"/>
      <c r="K139" s="28">
        <f t="shared" si="58"/>
        <v>0</v>
      </c>
      <c r="L139" s="30"/>
      <c r="M139" s="26"/>
      <c r="N139" s="31">
        <f t="shared" si="60"/>
        <v>0</v>
      </c>
      <c r="O139" s="21"/>
      <c r="P139" s="28"/>
      <c r="Q139" s="22">
        <f t="shared" si="61"/>
        <v>0</v>
      </c>
      <c r="R139" s="26"/>
      <c r="S139" s="26"/>
      <c r="T139" s="31">
        <f t="shared" si="62"/>
        <v>0</v>
      </c>
      <c r="U139" s="26">
        <f t="shared" si="72"/>
        <v>0</v>
      </c>
      <c r="V139" s="26">
        <f t="shared" si="73"/>
        <v>0</v>
      </c>
      <c r="W139" s="26">
        <f t="shared" si="63"/>
        <v>0</v>
      </c>
      <c r="X139" s="36">
        <f t="shared" si="64"/>
        <v>0</v>
      </c>
      <c r="Y139" s="389" t="str">
        <f t="shared" si="65"/>
        <v/>
      </c>
      <c r="Z139" s="38"/>
      <c r="AA139" s="38"/>
      <c r="AB139" s="38"/>
      <c r="AC139" s="38"/>
      <c r="AD139" s="157">
        <f t="shared" si="76"/>
        <v>0</v>
      </c>
      <c r="AE139" s="34"/>
      <c r="AF139" s="35"/>
      <c r="AG139" s="392">
        <f>Table3[[#This Row],[Active hours (Other than drilling)]]*$AF$1</f>
        <v>0</v>
      </c>
      <c r="AH139" s="44"/>
      <c r="AI139" s="13"/>
      <c r="AJ139" s="157" cm="1">
        <f t="array" ref="AJ139">SUM(Table3[[#This Row],[Inactive Hours (Other than client standby)]:[Standby Total Hours]]*$AI136)</f>
        <v>0</v>
      </c>
      <c r="AK139" s="45"/>
      <c r="AL139" s="23"/>
      <c r="AM139" s="25" t="str">
        <f t="shared" si="66"/>
        <v/>
      </c>
      <c r="AN139" s="396">
        <f t="shared" si="67"/>
        <v>0</v>
      </c>
      <c r="AO139" s="53"/>
      <c r="AP139" s="398"/>
      <c r="AQ139" s="401">
        <f t="shared" si="68"/>
        <v>0</v>
      </c>
      <c r="AR139" s="298"/>
      <c r="AS139" s="18">
        <f>SUM($AQ$6:AQ139)</f>
        <v>424427.97999999992</v>
      </c>
      <c r="AT139" t="str">
        <f t="shared" si="69"/>
        <v>09</v>
      </c>
      <c r="AU139">
        <f t="shared" si="70"/>
        <v>10</v>
      </c>
      <c r="AV139" t="str">
        <f t="shared" si="71"/>
        <v>N</v>
      </c>
    </row>
    <row r="140" spans="1:48">
      <c r="A140" s="152" t="str">
        <f t="shared" si="74"/>
        <v/>
      </c>
      <c r="B140" s="152"/>
      <c r="C140" s="1">
        <f t="shared" si="75"/>
        <v>45911.21</v>
      </c>
      <c r="D140" t="s">
        <v>171</v>
      </c>
      <c r="G140" s="4"/>
      <c r="H140" s="5" t="str">
        <f t="shared" si="59"/>
        <v/>
      </c>
      <c r="I140" s="21"/>
      <c r="J140" s="28"/>
      <c r="K140" s="28">
        <f t="shared" si="58"/>
        <v>0</v>
      </c>
      <c r="L140" s="30"/>
      <c r="M140" s="26"/>
      <c r="N140" s="31">
        <f t="shared" si="60"/>
        <v>0</v>
      </c>
      <c r="O140" s="21"/>
      <c r="P140" s="28"/>
      <c r="Q140" s="22">
        <f t="shared" si="61"/>
        <v>0</v>
      </c>
      <c r="R140" s="26"/>
      <c r="S140" s="26"/>
      <c r="T140" s="31">
        <f t="shared" si="62"/>
        <v>0</v>
      </c>
      <c r="U140" s="26">
        <f t="shared" si="72"/>
        <v>0</v>
      </c>
      <c r="V140" s="26">
        <f t="shared" si="73"/>
        <v>0</v>
      </c>
      <c r="W140" s="26">
        <f t="shared" si="63"/>
        <v>0</v>
      </c>
      <c r="X140" s="36">
        <f t="shared" si="64"/>
        <v>0</v>
      </c>
      <c r="Y140" s="389" t="str">
        <f t="shared" si="65"/>
        <v/>
      </c>
      <c r="Z140" s="38"/>
      <c r="AA140" s="38"/>
      <c r="AB140" s="38"/>
      <c r="AC140" s="38"/>
      <c r="AD140" s="157">
        <f t="shared" si="76"/>
        <v>0</v>
      </c>
      <c r="AE140" s="34"/>
      <c r="AF140" s="35"/>
      <c r="AG140" s="392">
        <f>Table3[[#This Row],[Active hours (Other than drilling)]]*$AF$1</f>
        <v>0</v>
      </c>
      <c r="AH140" s="44"/>
      <c r="AI140" s="13"/>
      <c r="AJ140" s="157" cm="1">
        <f t="array" ref="AJ140">SUM(Table3[[#This Row],[Inactive Hours (Other than client standby)]:[Standby Total Hours]]*$AI137)</f>
        <v>0</v>
      </c>
      <c r="AK140" s="45"/>
      <c r="AL140" s="23"/>
      <c r="AM140" s="25" t="str">
        <f t="shared" si="66"/>
        <v/>
      </c>
      <c r="AN140" s="396">
        <f t="shared" si="67"/>
        <v>0</v>
      </c>
      <c r="AO140" s="53"/>
      <c r="AP140" s="398"/>
      <c r="AQ140" s="401">
        <f t="shared" si="68"/>
        <v>0</v>
      </c>
      <c r="AR140" s="298"/>
      <c r="AS140" s="18">
        <f>SUM($AQ$6:AQ140)</f>
        <v>424427.97999999992</v>
      </c>
      <c r="AT140" t="str">
        <f t="shared" si="69"/>
        <v>09</v>
      </c>
      <c r="AU140">
        <f t="shared" si="70"/>
        <v>11</v>
      </c>
      <c r="AV140" t="str">
        <f t="shared" si="71"/>
        <v>D</v>
      </c>
    </row>
    <row r="141" spans="1:48">
      <c r="A141" s="152" t="str">
        <f t="shared" si="74"/>
        <v/>
      </c>
      <c r="B141" s="152"/>
      <c r="C141" s="1">
        <f t="shared" si="75"/>
        <v>45911.71</v>
      </c>
      <c r="D141" t="s">
        <v>172</v>
      </c>
      <c r="G141" s="4"/>
      <c r="H141" s="5" t="str">
        <f t="shared" si="59"/>
        <v/>
      </c>
      <c r="I141" s="21"/>
      <c r="J141" s="28"/>
      <c r="K141" s="28">
        <f t="shared" si="58"/>
        <v>0</v>
      </c>
      <c r="L141" s="30"/>
      <c r="M141" s="26"/>
      <c r="N141" s="31">
        <f t="shared" si="60"/>
        <v>0</v>
      </c>
      <c r="O141" s="21"/>
      <c r="P141" s="28"/>
      <c r="Q141" s="22">
        <f t="shared" si="61"/>
        <v>0</v>
      </c>
      <c r="R141" s="26"/>
      <c r="S141" s="26"/>
      <c r="T141" s="31">
        <f t="shared" si="62"/>
        <v>0</v>
      </c>
      <c r="U141" s="26">
        <f t="shared" si="72"/>
        <v>0</v>
      </c>
      <c r="V141" s="26">
        <f t="shared" si="73"/>
        <v>0</v>
      </c>
      <c r="W141" s="26">
        <f t="shared" si="63"/>
        <v>0</v>
      </c>
      <c r="X141" s="36">
        <f t="shared" si="64"/>
        <v>0</v>
      </c>
      <c r="Y141" s="389" t="str">
        <f t="shared" si="65"/>
        <v/>
      </c>
      <c r="Z141" s="38"/>
      <c r="AA141" s="38"/>
      <c r="AB141" s="38"/>
      <c r="AC141" s="38"/>
      <c r="AD141" s="157">
        <f t="shared" si="76"/>
        <v>0</v>
      </c>
      <c r="AE141" s="34"/>
      <c r="AF141" s="35"/>
      <c r="AG141" s="392">
        <f>Table3[[#This Row],[Active hours (Other than drilling)]]*$AF$1</f>
        <v>0</v>
      </c>
      <c r="AH141" s="44"/>
      <c r="AI141" s="13"/>
      <c r="AJ141" s="157" cm="1">
        <f t="array" ref="AJ141">SUM(Table3[[#This Row],[Inactive Hours (Other than client standby)]:[Standby Total Hours]]*$AI138)</f>
        <v>0</v>
      </c>
      <c r="AK141" s="45"/>
      <c r="AL141" s="23"/>
      <c r="AM141" s="25" t="str">
        <f t="shared" si="66"/>
        <v/>
      </c>
      <c r="AN141" s="396">
        <f t="shared" si="67"/>
        <v>0</v>
      </c>
      <c r="AO141" s="53"/>
      <c r="AP141" s="398"/>
      <c r="AQ141" s="401">
        <f t="shared" si="68"/>
        <v>0</v>
      </c>
      <c r="AR141" s="298"/>
      <c r="AS141" s="18">
        <f>SUM($AQ$6:AQ141)</f>
        <v>424427.97999999992</v>
      </c>
      <c r="AT141" t="str">
        <f t="shared" si="69"/>
        <v>09</v>
      </c>
      <c r="AU141">
        <f t="shared" si="70"/>
        <v>11</v>
      </c>
      <c r="AV141" t="str">
        <f t="shared" si="71"/>
        <v>N</v>
      </c>
    </row>
    <row r="142" spans="1:48">
      <c r="A142" s="152" t="str">
        <f t="shared" si="74"/>
        <v/>
      </c>
      <c r="B142" s="152"/>
      <c r="C142" s="1">
        <f t="shared" si="75"/>
        <v>45912.21</v>
      </c>
      <c r="D142" t="s">
        <v>171</v>
      </c>
      <c r="G142" s="4"/>
      <c r="H142" s="5" t="str">
        <f t="shared" si="59"/>
        <v/>
      </c>
      <c r="I142" s="21"/>
      <c r="J142" s="28"/>
      <c r="K142" s="28">
        <f t="shared" si="58"/>
        <v>0</v>
      </c>
      <c r="L142" s="30"/>
      <c r="M142" s="26"/>
      <c r="N142" s="31">
        <f t="shared" si="60"/>
        <v>0</v>
      </c>
      <c r="O142" s="21"/>
      <c r="P142" s="28"/>
      <c r="Q142" s="22">
        <f t="shared" si="61"/>
        <v>0</v>
      </c>
      <c r="R142" s="26"/>
      <c r="S142" s="26"/>
      <c r="T142" s="31">
        <f t="shared" si="62"/>
        <v>0</v>
      </c>
      <c r="U142" s="26">
        <f t="shared" si="72"/>
        <v>0</v>
      </c>
      <c r="V142" s="26">
        <f t="shared" si="73"/>
        <v>0</v>
      </c>
      <c r="W142" s="26">
        <f t="shared" si="63"/>
        <v>0</v>
      </c>
      <c r="X142" s="36">
        <f t="shared" si="64"/>
        <v>0</v>
      </c>
      <c r="Y142" s="389" t="str">
        <f t="shared" si="65"/>
        <v/>
      </c>
      <c r="Z142" s="38"/>
      <c r="AA142" s="38"/>
      <c r="AB142" s="38"/>
      <c r="AC142" s="38"/>
      <c r="AD142" s="157">
        <f t="shared" si="76"/>
        <v>0</v>
      </c>
      <c r="AE142" s="34"/>
      <c r="AF142" s="35"/>
      <c r="AG142" s="392">
        <f>Table3[[#This Row],[Active hours (Other than drilling)]]*$AF$1</f>
        <v>0</v>
      </c>
      <c r="AH142" s="44"/>
      <c r="AI142" s="13"/>
      <c r="AJ142" s="157" cm="1">
        <f t="array" ref="AJ142">SUM(Table3[[#This Row],[Inactive Hours (Other than client standby)]:[Standby Total Hours]]*$AI139)</f>
        <v>0</v>
      </c>
      <c r="AK142" s="45"/>
      <c r="AL142" s="23"/>
      <c r="AM142" s="25" t="str">
        <f t="shared" si="66"/>
        <v/>
      </c>
      <c r="AN142" s="396">
        <f t="shared" si="67"/>
        <v>0</v>
      </c>
      <c r="AO142" s="53"/>
      <c r="AP142" s="398"/>
      <c r="AQ142" s="401">
        <f t="shared" si="68"/>
        <v>0</v>
      </c>
      <c r="AR142" s="298"/>
      <c r="AS142" s="18">
        <f>SUM($AQ$6:AQ142)</f>
        <v>424427.97999999992</v>
      </c>
      <c r="AT142" t="str">
        <f t="shared" si="69"/>
        <v>09</v>
      </c>
      <c r="AU142">
        <f t="shared" si="70"/>
        <v>12</v>
      </c>
      <c r="AV142" t="str">
        <f t="shared" si="71"/>
        <v>D</v>
      </c>
    </row>
    <row r="143" spans="1:48">
      <c r="A143" s="152" t="str">
        <f t="shared" si="74"/>
        <v/>
      </c>
      <c r="B143" s="152"/>
      <c r="C143" s="1">
        <f t="shared" si="75"/>
        <v>45912.71</v>
      </c>
      <c r="D143" t="s">
        <v>172</v>
      </c>
      <c r="G143" s="4"/>
      <c r="H143" s="5" t="str">
        <f t="shared" si="59"/>
        <v/>
      </c>
      <c r="I143" s="21"/>
      <c r="J143" s="28"/>
      <c r="K143" s="28">
        <f t="shared" si="58"/>
        <v>0</v>
      </c>
      <c r="L143" s="30"/>
      <c r="M143" s="26"/>
      <c r="N143" s="31">
        <f t="shared" si="60"/>
        <v>0</v>
      </c>
      <c r="O143" s="21"/>
      <c r="P143" s="28"/>
      <c r="Q143" s="22">
        <f t="shared" si="61"/>
        <v>0</v>
      </c>
      <c r="R143" s="26"/>
      <c r="S143" s="26"/>
      <c r="T143" s="31">
        <f t="shared" si="62"/>
        <v>0</v>
      </c>
      <c r="U143" s="26">
        <f t="shared" si="72"/>
        <v>0</v>
      </c>
      <c r="V143" s="26">
        <f t="shared" si="73"/>
        <v>0</v>
      </c>
      <c r="W143" s="26">
        <f t="shared" si="63"/>
        <v>0</v>
      </c>
      <c r="X143" s="36">
        <f t="shared" si="64"/>
        <v>0</v>
      </c>
      <c r="Y143" s="389" t="str">
        <f t="shared" si="65"/>
        <v/>
      </c>
      <c r="Z143" s="38"/>
      <c r="AA143" s="38"/>
      <c r="AB143" s="38"/>
      <c r="AC143" s="38"/>
      <c r="AD143" s="157">
        <f t="shared" si="76"/>
        <v>0</v>
      </c>
      <c r="AE143" s="34"/>
      <c r="AF143" s="35"/>
      <c r="AG143" s="392">
        <f>Table3[[#This Row],[Active hours (Other than drilling)]]*$AF$1</f>
        <v>0</v>
      </c>
      <c r="AH143" s="44"/>
      <c r="AI143" s="13"/>
      <c r="AJ143" s="157" cm="1">
        <f t="array" ref="AJ143">SUM(Table3[[#This Row],[Inactive Hours (Other than client standby)]:[Standby Total Hours]]*$AI140)</f>
        <v>0</v>
      </c>
      <c r="AK143" s="45"/>
      <c r="AL143" s="23"/>
      <c r="AM143" s="25" t="str">
        <f t="shared" si="66"/>
        <v/>
      </c>
      <c r="AN143" s="396">
        <f t="shared" si="67"/>
        <v>0</v>
      </c>
      <c r="AO143" s="53"/>
      <c r="AP143" s="398"/>
      <c r="AQ143" s="401">
        <f t="shared" si="68"/>
        <v>0</v>
      </c>
      <c r="AR143" s="298"/>
      <c r="AS143" s="18">
        <f>SUM($AQ$6:AQ143)</f>
        <v>424427.97999999992</v>
      </c>
      <c r="AT143" t="str">
        <f t="shared" si="69"/>
        <v>09</v>
      </c>
      <c r="AU143">
        <f t="shared" si="70"/>
        <v>12</v>
      </c>
      <c r="AV143" t="str">
        <f t="shared" si="71"/>
        <v>N</v>
      </c>
    </row>
    <row r="144" spans="1:48">
      <c r="A144" s="152" t="str">
        <f t="shared" si="74"/>
        <v/>
      </c>
      <c r="B144" s="152"/>
      <c r="C144" s="1">
        <f t="shared" si="75"/>
        <v>45913.21</v>
      </c>
      <c r="D144" t="s">
        <v>171</v>
      </c>
      <c r="G144" s="4"/>
      <c r="H144" s="5" t="str">
        <f t="shared" si="59"/>
        <v/>
      </c>
      <c r="I144" s="21"/>
      <c r="J144" s="28"/>
      <c r="K144" s="28">
        <f t="shared" si="58"/>
        <v>0</v>
      </c>
      <c r="L144" s="30"/>
      <c r="M144" s="26"/>
      <c r="N144" s="31">
        <f t="shared" si="60"/>
        <v>0</v>
      </c>
      <c r="O144" s="21"/>
      <c r="P144" s="28"/>
      <c r="Q144" s="22">
        <f t="shared" si="61"/>
        <v>0</v>
      </c>
      <c r="R144" s="26"/>
      <c r="S144" s="26"/>
      <c r="T144" s="31">
        <f t="shared" si="62"/>
        <v>0</v>
      </c>
      <c r="U144" s="26">
        <f t="shared" si="72"/>
        <v>0</v>
      </c>
      <c r="V144" s="26">
        <f t="shared" si="73"/>
        <v>0</v>
      </c>
      <c r="W144" s="26">
        <f t="shared" si="63"/>
        <v>0</v>
      </c>
      <c r="X144" s="36">
        <f t="shared" si="64"/>
        <v>0</v>
      </c>
      <c r="Y144" s="389" t="str">
        <f t="shared" si="65"/>
        <v/>
      </c>
      <c r="Z144" s="38"/>
      <c r="AA144" s="38"/>
      <c r="AB144" s="38"/>
      <c r="AC144" s="38"/>
      <c r="AD144" s="157">
        <f t="shared" si="76"/>
        <v>0</v>
      </c>
      <c r="AE144" s="34"/>
      <c r="AF144" s="35"/>
      <c r="AG144" s="392">
        <f>Table3[[#This Row],[Active hours (Other than drilling)]]*$AF$1</f>
        <v>0</v>
      </c>
      <c r="AH144" s="44"/>
      <c r="AI144" s="13"/>
      <c r="AJ144" s="157" cm="1">
        <f t="array" ref="AJ144">SUM(Table3[[#This Row],[Inactive Hours (Other than client standby)]:[Standby Total Hours]]*$AI141)</f>
        <v>0</v>
      </c>
      <c r="AK144" s="45"/>
      <c r="AL144" s="23"/>
      <c r="AM144" s="25" t="str">
        <f t="shared" si="66"/>
        <v/>
      </c>
      <c r="AN144" s="396">
        <f t="shared" si="67"/>
        <v>0</v>
      </c>
      <c r="AO144" s="53"/>
      <c r="AP144" s="398"/>
      <c r="AQ144" s="401">
        <f t="shared" si="68"/>
        <v>0</v>
      </c>
      <c r="AR144" s="298"/>
      <c r="AS144" s="18">
        <f>SUM($AQ$6:AQ144)</f>
        <v>424427.97999999992</v>
      </c>
      <c r="AT144" t="str">
        <f t="shared" si="69"/>
        <v>09</v>
      </c>
      <c r="AU144">
        <f t="shared" si="70"/>
        <v>13</v>
      </c>
      <c r="AV144" t="str">
        <f t="shared" si="71"/>
        <v>D</v>
      </c>
    </row>
    <row r="145" spans="1:48">
      <c r="A145" s="152" t="str">
        <f t="shared" si="74"/>
        <v/>
      </c>
      <c r="B145" s="152"/>
      <c r="C145" s="1">
        <f t="shared" si="75"/>
        <v>45913.71</v>
      </c>
      <c r="D145" t="s">
        <v>172</v>
      </c>
      <c r="G145" s="4"/>
      <c r="H145" s="5" t="str">
        <f t="shared" si="59"/>
        <v/>
      </c>
      <c r="I145" s="21"/>
      <c r="J145" s="28"/>
      <c r="K145" s="28">
        <f t="shared" si="58"/>
        <v>0</v>
      </c>
      <c r="L145" s="30"/>
      <c r="M145" s="26"/>
      <c r="N145" s="31">
        <f t="shared" si="60"/>
        <v>0</v>
      </c>
      <c r="O145" s="21"/>
      <c r="P145" s="28"/>
      <c r="Q145" s="22">
        <f t="shared" si="61"/>
        <v>0</v>
      </c>
      <c r="R145" s="26"/>
      <c r="S145" s="26"/>
      <c r="T145" s="31">
        <f t="shared" si="62"/>
        <v>0</v>
      </c>
      <c r="U145" s="26">
        <f t="shared" si="72"/>
        <v>0</v>
      </c>
      <c r="V145" s="26">
        <f t="shared" si="73"/>
        <v>0</v>
      </c>
      <c r="W145" s="26">
        <f t="shared" si="63"/>
        <v>0</v>
      </c>
      <c r="X145" s="36">
        <f t="shared" si="64"/>
        <v>0</v>
      </c>
      <c r="Y145" s="389" t="str">
        <f t="shared" si="65"/>
        <v/>
      </c>
      <c r="Z145" s="38"/>
      <c r="AA145" s="38"/>
      <c r="AB145" s="38"/>
      <c r="AC145" s="38"/>
      <c r="AD145" s="157">
        <f t="shared" si="76"/>
        <v>0</v>
      </c>
      <c r="AE145" s="34"/>
      <c r="AF145" s="35"/>
      <c r="AG145" s="392">
        <f>Table3[[#This Row],[Active hours (Other than drilling)]]*$AF$1</f>
        <v>0</v>
      </c>
      <c r="AH145" s="44"/>
      <c r="AI145" s="13"/>
      <c r="AJ145" s="157" cm="1">
        <f t="array" ref="AJ145">SUM(Table3[[#This Row],[Inactive Hours (Other than client standby)]:[Standby Total Hours]]*$AI142)</f>
        <v>0</v>
      </c>
      <c r="AK145" s="45"/>
      <c r="AL145" s="23"/>
      <c r="AM145" s="25" t="str">
        <f t="shared" si="66"/>
        <v/>
      </c>
      <c r="AN145" s="396">
        <f t="shared" si="67"/>
        <v>0</v>
      </c>
      <c r="AO145" s="53"/>
      <c r="AP145" s="398"/>
      <c r="AQ145" s="401">
        <f t="shared" si="68"/>
        <v>0</v>
      </c>
      <c r="AR145" s="298"/>
      <c r="AS145" s="18">
        <f>SUM($AQ$6:AQ145)</f>
        <v>424427.97999999992</v>
      </c>
      <c r="AT145" t="str">
        <f t="shared" si="69"/>
        <v>09</v>
      </c>
      <c r="AU145">
        <f t="shared" si="70"/>
        <v>13</v>
      </c>
      <c r="AV145" t="str">
        <f t="shared" si="71"/>
        <v>N</v>
      </c>
    </row>
    <row r="146" spans="1:48">
      <c r="A146" s="152" t="str">
        <f t="shared" si="74"/>
        <v/>
      </c>
      <c r="B146" s="152"/>
      <c r="C146" s="1">
        <f t="shared" si="75"/>
        <v>45914.21</v>
      </c>
      <c r="D146" t="s">
        <v>171</v>
      </c>
      <c r="G146" s="4"/>
      <c r="H146" s="5" t="str">
        <f t="shared" si="59"/>
        <v/>
      </c>
      <c r="I146" s="21"/>
      <c r="J146" s="28"/>
      <c r="K146" s="28">
        <f t="shared" si="58"/>
        <v>0</v>
      </c>
      <c r="L146" s="30"/>
      <c r="M146" s="26"/>
      <c r="N146" s="31">
        <f t="shared" si="60"/>
        <v>0</v>
      </c>
      <c r="O146" s="21"/>
      <c r="P146" s="28"/>
      <c r="Q146" s="22">
        <f t="shared" si="61"/>
        <v>0</v>
      </c>
      <c r="R146" s="26"/>
      <c r="S146" s="26"/>
      <c r="T146" s="31">
        <f t="shared" si="62"/>
        <v>0</v>
      </c>
      <c r="U146" s="26">
        <f t="shared" si="72"/>
        <v>0</v>
      </c>
      <c r="V146" s="26">
        <f t="shared" si="73"/>
        <v>0</v>
      </c>
      <c r="W146" s="26">
        <f t="shared" si="63"/>
        <v>0</v>
      </c>
      <c r="X146" s="36">
        <f t="shared" si="64"/>
        <v>0</v>
      </c>
      <c r="Y146" s="389" t="str">
        <f t="shared" si="65"/>
        <v/>
      </c>
      <c r="Z146" s="38"/>
      <c r="AA146" s="38"/>
      <c r="AB146" s="38"/>
      <c r="AC146" s="38"/>
      <c r="AD146" s="157">
        <f t="shared" si="76"/>
        <v>0</v>
      </c>
      <c r="AE146" s="34"/>
      <c r="AF146" s="35"/>
      <c r="AG146" s="392">
        <f>Table3[[#This Row],[Active hours (Other than drilling)]]*$AF$1</f>
        <v>0</v>
      </c>
      <c r="AH146" s="44"/>
      <c r="AI146" s="13"/>
      <c r="AJ146" s="157" cm="1">
        <f t="array" ref="AJ146">SUM(Table3[[#This Row],[Inactive Hours (Other than client standby)]:[Standby Total Hours]]*$AI143)</f>
        <v>0</v>
      </c>
      <c r="AK146" s="45"/>
      <c r="AL146" s="23"/>
      <c r="AM146" s="25" t="str">
        <f t="shared" si="66"/>
        <v/>
      </c>
      <c r="AN146" s="396">
        <f t="shared" si="67"/>
        <v>0</v>
      </c>
      <c r="AO146" s="53"/>
      <c r="AP146" s="398"/>
      <c r="AQ146" s="401">
        <f t="shared" si="68"/>
        <v>0</v>
      </c>
      <c r="AR146" s="298"/>
      <c r="AS146" s="18">
        <f>SUM($AQ$6:AQ146)</f>
        <v>424427.97999999992</v>
      </c>
      <c r="AT146" t="str">
        <f t="shared" si="69"/>
        <v>09</v>
      </c>
      <c r="AU146">
        <f t="shared" si="70"/>
        <v>14</v>
      </c>
      <c r="AV146" t="str">
        <f t="shared" si="71"/>
        <v>D</v>
      </c>
    </row>
    <row r="147" spans="1:48">
      <c r="A147" s="152" t="str">
        <f t="shared" si="74"/>
        <v/>
      </c>
      <c r="B147" s="152"/>
      <c r="C147" s="1">
        <f t="shared" si="75"/>
        <v>45914.71</v>
      </c>
      <c r="D147" t="s">
        <v>172</v>
      </c>
      <c r="G147" s="4"/>
      <c r="H147" s="5" t="str">
        <f t="shared" si="59"/>
        <v/>
      </c>
      <c r="I147" s="21"/>
      <c r="J147" s="28"/>
      <c r="K147" s="28">
        <f t="shared" si="58"/>
        <v>0</v>
      </c>
      <c r="L147" s="30"/>
      <c r="M147" s="26"/>
      <c r="N147" s="31">
        <f t="shared" si="60"/>
        <v>0</v>
      </c>
      <c r="O147" s="21"/>
      <c r="P147" s="28"/>
      <c r="Q147" s="22">
        <f t="shared" si="61"/>
        <v>0</v>
      </c>
      <c r="R147" s="26"/>
      <c r="S147" s="26"/>
      <c r="T147" s="31">
        <f t="shared" si="62"/>
        <v>0</v>
      </c>
      <c r="U147" s="26">
        <f t="shared" si="72"/>
        <v>0</v>
      </c>
      <c r="V147" s="26">
        <f t="shared" si="73"/>
        <v>0</v>
      </c>
      <c r="W147" s="26">
        <f t="shared" si="63"/>
        <v>0</v>
      </c>
      <c r="X147" s="36">
        <f t="shared" si="64"/>
        <v>0</v>
      </c>
      <c r="Y147" s="389" t="str">
        <f t="shared" si="65"/>
        <v/>
      </c>
      <c r="Z147" s="38"/>
      <c r="AA147" s="38"/>
      <c r="AB147" s="38"/>
      <c r="AC147" s="38"/>
      <c r="AD147" s="157">
        <f t="shared" si="76"/>
        <v>0</v>
      </c>
      <c r="AE147" s="34"/>
      <c r="AF147" s="35"/>
      <c r="AG147" s="392">
        <f>Table3[[#This Row],[Active hours (Other than drilling)]]*$AF$1</f>
        <v>0</v>
      </c>
      <c r="AH147" s="44"/>
      <c r="AI147" s="13"/>
      <c r="AJ147" s="157" cm="1">
        <f t="array" ref="AJ147">SUM(Table3[[#This Row],[Inactive Hours (Other than client standby)]:[Standby Total Hours]]*$AI144)</f>
        <v>0</v>
      </c>
      <c r="AK147" s="45"/>
      <c r="AL147" s="23"/>
      <c r="AM147" s="25" t="str">
        <f t="shared" si="66"/>
        <v/>
      </c>
      <c r="AN147" s="396">
        <f t="shared" si="67"/>
        <v>0</v>
      </c>
      <c r="AO147" s="53"/>
      <c r="AP147" s="398"/>
      <c r="AQ147" s="401">
        <f t="shared" si="68"/>
        <v>0</v>
      </c>
      <c r="AR147" s="298"/>
      <c r="AS147" s="18">
        <f>SUM($AQ$6:AQ147)</f>
        <v>424427.97999999992</v>
      </c>
      <c r="AT147" t="str">
        <f t="shared" si="69"/>
        <v>09</v>
      </c>
      <c r="AU147">
        <f t="shared" si="70"/>
        <v>14</v>
      </c>
      <c r="AV147" t="str">
        <f t="shared" si="71"/>
        <v>N</v>
      </c>
    </row>
    <row r="148" spans="1:48">
      <c r="A148" s="152" t="str">
        <f t="shared" si="74"/>
        <v/>
      </c>
      <c r="B148" s="152"/>
      <c r="C148" s="1">
        <f t="shared" si="75"/>
        <v>45915.21</v>
      </c>
      <c r="D148" t="s">
        <v>171</v>
      </c>
      <c r="G148" s="4"/>
      <c r="H148" s="5" t="str">
        <f t="shared" si="59"/>
        <v/>
      </c>
      <c r="I148" s="21"/>
      <c r="J148" s="28"/>
      <c r="K148" s="28">
        <f t="shared" si="58"/>
        <v>0</v>
      </c>
      <c r="L148" s="30"/>
      <c r="M148" s="26"/>
      <c r="N148" s="31">
        <f t="shared" si="60"/>
        <v>0</v>
      </c>
      <c r="O148" s="21"/>
      <c r="P148" s="28"/>
      <c r="Q148" s="22">
        <f t="shared" si="61"/>
        <v>0</v>
      </c>
      <c r="R148" s="26"/>
      <c r="S148" s="26"/>
      <c r="T148" s="31">
        <f t="shared" si="62"/>
        <v>0</v>
      </c>
      <c r="U148" s="26">
        <f t="shared" si="72"/>
        <v>0</v>
      </c>
      <c r="V148" s="26">
        <f t="shared" si="73"/>
        <v>0</v>
      </c>
      <c r="W148" s="26">
        <f t="shared" si="63"/>
        <v>0</v>
      </c>
      <c r="X148" s="36">
        <f t="shared" si="64"/>
        <v>0</v>
      </c>
      <c r="Y148" s="389" t="str">
        <f t="shared" si="65"/>
        <v/>
      </c>
      <c r="Z148" s="38"/>
      <c r="AA148" s="38"/>
      <c r="AB148" s="38"/>
      <c r="AC148" s="38"/>
      <c r="AD148" s="157">
        <f t="shared" si="76"/>
        <v>0</v>
      </c>
      <c r="AE148" s="34"/>
      <c r="AF148" s="35"/>
      <c r="AG148" s="392">
        <f>Table3[[#This Row],[Active hours (Other than drilling)]]*$AF$1</f>
        <v>0</v>
      </c>
      <c r="AH148" s="44"/>
      <c r="AI148" s="13"/>
      <c r="AJ148" s="157" cm="1">
        <f t="array" ref="AJ148">SUM(Table3[[#This Row],[Inactive Hours (Other than client standby)]:[Standby Total Hours]]*$AI145)</f>
        <v>0</v>
      </c>
      <c r="AK148" s="45"/>
      <c r="AL148" s="23"/>
      <c r="AM148" s="25" t="str">
        <f t="shared" si="66"/>
        <v/>
      </c>
      <c r="AN148" s="396">
        <f t="shared" si="67"/>
        <v>0</v>
      </c>
      <c r="AO148" s="53"/>
      <c r="AP148" s="398"/>
      <c r="AQ148" s="401">
        <f t="shared" si="68"/>
        <v>0</v>
      </c>
      <c r="AR148" s="298"/>
      <c r="AS148" s="18">
        <f>SUM($AQ$6:AQ148)</f>
        <v>424427.97999999992</v>
      </c>
      <c r="AT148" t="str">
        <f t="shared" si="69"/>
        <v>09</v>
      </c>
      <c r="AU148">
        <f t="shared" si="70"/>
        <v>15</v>
      </c>
      <c r="AV148" t="str">
        <f t="shared" si="71"/>
        <v>D</v>
      </c>
    </row>
    <row r="149" spans="1:48">
      <c r="A149" s="152" t="str">
        <f t="shared" si="74"/>
        <v/>
      </c>
      <c r="B149" s="152"/>
      <c r="C149" s="1">
        <f t="shared" si="75"/>
        <v>45915.71</v>
      </c>
      <c r="D149" t="s">
        <v>172</v>
      </c>
      <c r="G149" s="4"/>
      <c r="H149" s="5" t="str">
        <f t="shared" si="59"/>
        <v/>
      </c>
      <c r="I149" s="21"/>
      <c r="J149" s="28"/>
      <c r="K149" s="28">
        <f t="shared" si="58"/>
        <v>0</v>
      </c>
      <c r="L149" s="30"/>
      <c r="M149" s="26"/>
      <c r="N149" s="31">
        <f t="shared" si="60"/>
        <v>0</v>
      </c>
      <c r="O149" s="21"/>
      <c r="P149" s="28"/>
      <c r="Q149" s="22">
        <f t="shared" si="61"/>
        <v>0</v>
      </c>
      <c r="R149" s="26"/>
      <c r="S149" s="26"/>
      <c r="T149" s="31">
        <f t="shared" si="62"/>
        <v>0</v>
      </c>
      <c r="U149" s="26">
        <f t="shared" si="72"/>
        <v>0</v>
      </c>
      <c r="V149" s="26">
        <f t="shared" si="73"/>
        <v>0</v>
      </c>
      <c r="W149" s="26">
        <f t="shared" si="63"/>
        <v>0</v>
      </c>
      <c r="X149" s="36">
        <f t="shared" si="64"/>
        <v>0</v>
      </c>
      <c r="Y149" s="389" t="str">
        <f t="shared" si="65"/>
        <v/>
      </c>
      <c r="Z149" s="38"/>
      <c r="AA149" s="38"/>
      <c r="AB149" s="38"/>
      <c r="AC149" s="38"/>
      <c r="AD149" s="157">
        <f t="shared" si="76"/>
        <v>0</v>
      </c>
      <c r="AE149" s="34"/>
      <c r="AF149" s="35"/>
      <c r="AG149" s="392">
        <f>Table3[[#This Row],[Active hours (Other than drilling)]]*$AF$1</f>
        <v>0</v>
      </c>
      <c r="AH149" s="44"/>
      <c r="AI149" s="13"/>
      <c r="AJ149" s="157" cm="1">
        <f t="array" ref="AJ149">SUM(Table3[[#This Row],[Inactive Hours (Other than client standby)]:[Standby Total Hours]]*$AI146)</f>
        <v>0</v>
      </c>
      <c r="AK149" s="45"/>
      <c r="AL149" s="23"/>
      <c r="AM149" s="25" t="str">
        <f t="shared" si="66"/>
        <v/>
      </c>
      <c r="AN149" s="396">
        <f t="shared" si="67"/>
        <v>0</v>
      </c>
      <c r="AO149" s="53"/>
      <c r="AP149" s="398"/>
      <c r="AQ149" s="401">
        <f t="shared" si="68"/>
        <v>0</v>
      </c>
      <c r="AR149" s="298"/>
      <c r="AS149" s="18">
        <f>SUM($AQ$6:AQ149)</f>
        <v>424427.97999999992</v>
      </c>
      <c r="AT149" t="str">
        <f t="shared" si="69"/>
        <v>09</v>
      </c>
      <c r="AU149">
        <f t="shared" si="70"/>
        <v>15</v>
      </c>
      <c r="AV149" t="str">
        <f t="shared" si="71"/>
        <v>N</v>
      </c>
    </row>
    <row r="150" spans="1:48">
      <c r="A150" s="152" t="str">
        <f t="shared" si="74"/>
        <v/>
      </c>
      <c r="B150" s="152"/>
      <c r="C150" s="1">
        <f t="shared" si="75"/>
        <v>45916.21</v>
      </c>
      <c r="D150" t="s">
        <v>171</v>
      </c>
      <c r="G150" s="4"/>
      <c r="H150" s="5" t="str">
        <f t="shared" si="59"/>
        <v/>
      </c>
      <c r="I150" s="21"/>
      <c r="J150" s="28"/>
      <c r="K150" s="28">
        <f t="shared" si="58"/>
        <v>0</v>
      </c>
      <c r="L150" s="30"/>
      <c r="M150" s="26"/>
      <c r="N150" s="31">
        <f t="shared" si="60"/>
        <v>0</v>
      </c>
      <c r="O150" s="21"/>
      <c r="P150" s="28"/>
      <c r="Q150" s="22">
        <f t="shared" si="61"/>
        <v>0</v>
      </c>
      <c r="R150" s="26"/>
      <c r="S150" s="26"/>
      <c r="T150" s="31">
        <f t="shared" si="62"/>
        <v>0</v>
      </c>
      <c r="U150" s="26">
        <f t="shared" si="72"/>
        <v>0</v>
      </c>
      <c r="V150" s="26">
        <f t="shared" si="73"/>
        <v>0</v>
      </c>
      <c r="W150" s="26">
        <f t="shared" si="63"/>
        <v>0</v>
      </c>
      <c r="X150" s="36">
        <f t="shared" si="64"/>
        <v>0</v>
      </c>
      <c r="Y150" s="389" t="str">
        <f t="shared" si="65"/>
        <v/>
      </c>
      <c r="Z150" s="38"/>
      <c r="AA150" s="38"/>
      <c r="AB150" s="38"/>
      <c r="AC150" s="38"/>
      <c r="AD150" s="157">
        <f t="shared" si="76"/>
        <v>0</v>
      </c>
      <c r="AE150" s="34"/>
      <c r="AF150" s="35"/>
      <c r="AG150" s="392">
        <f>Table3[[#This Row],[Active hours (Other than drilling)]]*$AF$1</f>
        <v>0</v>
      </c>
      <c r="AH150" s="44"/>
      <c r="AI150" s="13"/>
      <c r="AJ150" s="157" cm="1">
        <f t="array" ref="AJ150">SUM(Table3[[#This Row],[Inactive Hours (Other than client standby)]:[Standby Total Hours]]*$AI147)</f>
        <v>0</v>
      </c>
      <c r="AK150" s="45"/>
      <c r="AL150" s="23"/>
      <c r="AM150" s="25" t="str">
        <f t="shared" si="66"/>
        <v/>
      </c>
      <c r="AN150" s="396">
        <f t="shared" si="67"/>
        <v>0</v>
      </c>
      <c r="AO150" s="53"/>
      <c r="AP150" s="398"/>
      <c r="AQ150" s="401">
        <f t="shared" si="68"/>
        <v>0</v>
      </c>
      <c r="AR150" s="298"/>
      <c r="AS150" s="18">
        <f>SUM($AQ$6:AQ150)</f>
        <v>424427.97999999992</v>
      </c>
      <c r="AT150" t="str">
        <f t="shared" si="69"/>
        <v>09</v>
      </c>
      <c r="AU150">
        <f t="shared" si="70"/>
        <v>16</v>
      </c>
      <c r="AV150" t="str">
        <f t="shared" si="71"/>
        <v>D</v>
      </c>
    </row>
    <row r="151" spans="1:48">
      <c r="A151" s="152" t="str">
        <f t="shared" si="74"/>
        <v/>
      </c>
      <c r="B151" s="152"/>
      <c r="C151" s="1">
        <f t="shared" si="75"/>
        <v>45916.71</v>
      </c>
      <c r="D151" t="s">
        <v>172</v>
      </c>
      <c r="G151" s="4"/>
      <c r="H151" s="5" t="str">
        <f t="shared" si="59"/>
        <v/>
      </c>
      <c r="I151" s="21"/>
      <c r="J151" s="28"/>
      <c r="K151" s="28">
        <f t="shared" si="58"/>
        <v>0</v>
      </c>
      <c r="L151" s="30"/>
      <c r="M151" s="26"/>
      <c r="N151" s="31">
        <f t="shared" si="60"/>
        <v>0</v>
      </c>
      <c r="O151" s="21"/>
      <c r="P151" s="28"/>
      <c r="Q151" s="22">
        <f t="shared" si="61"/>
        <v>0</v>
      </c>
      <c r="R151" s="26"/>
      <c r="S151" s="26"/>
      <c r="T151" s="31">
        <f t="shared" si="62"/>
        <v>0</v>
      </c>
      <c r="U151" s="26">
        <f t="shared" si="72"/>
        <v>0</v>
      </c>
      <c r="V151" s="26">
        <f t="shared" si="73"/>
        <v>0</v>
      </c>
      <c r="W151" s="26">
        <f t="shared" si="63"/>
        <v>0</v>
      </c>
      <c r="X151" s="36">
        <f t="shared" si="64"/>
        <v>0</v>
      </c>
      <c r="Y151" s="389" t="str">
        <f t="shared" si="65"/>
        <v/>
      </c>
      <c r="Z151" s="38"/>
      <c r="AA151" s="38"/>
      <c r="AB151" s="38"/>
      <c r="AC151" s="38"/>
      <c r="AD151" s="157">
        <f t="shared" si="76"/>
        <v>0</v>
      </c>
      <c r="AE151" s="34"/>
      <c r="AF151" s="35"/>
      <c r="AG151" s="392">
        <f>Table3[[#This Row],[Active hours (Other than drilling)]]*$AF$1</f>
        <v>0</v>
      </c>
      <c r="AH151" s="44"/>
      <c r="AI151" s="13"/>
      <c r="AJ151" s="157" cm="1">
        <f t="array" ref="AJ151">SUM(Table3[[#This Row],[Inactive Hours (Other than client standby)]:[Standby Total Hours]]*$AI148)</f>
        <v>0</v>
      </c>
      <c r="AK151" s="45"/>
      <c r="AL151" s="23"/>
      <c r="AM151" s="25" t="str">
        <f t="shared" si="66"/>
        <v/>
      </c>
      <c r="AN151" s="396">
        <f t="shared" si="67"/>
        <v>0</v>
      </c>
      <c r="AO151" s="53"/>
      <c r="AP151" s="398"/>
      <c r="AQ151" s="401">
        <f t="shared" si="68"/>
        <v>0</v>
      </c>
      <c r="AR151" s="298"/>
      <c r="AS151" s="18">
        <f>SUM($AQ$6:AQ151)</f>
        <v>424427.97999999992</v>
      </c>
      <c r="AT151" t="str">
        <f t="shared" si="69"/>
        <v>09</v>
      </c>
      <c r="AU151">
        <f t="shared" si="70"/>
        <v>16</v>
      </c>
      <c r="AV151" t="str">
        <f t="shared" si="71"/>
        <v>N</v>
      </c>
    </row>
    <row r="152" spans="1:48">
      <c r="A152" s="152" t="str">
        <f t="shared" si="74"/>
        <v/>
      </c>
      <c r="B152" s="152"/>
      <c r="C152" s="1">
        <f t="shared" si="75"/>
        <v>45917.21</v>
      </c>
      <c r="D152" t="s">
        <v>171</v>
      </c>
      <c r="G152" s="4"/>
      <c r="H152" s="5" t="str">
        <f t="shared" si="59"/>
        <v/>
      </c>
      <c r="I152" s="21"/>
      <c r="J152" s="28"/>
      <c r="K152" s="28">
        <f t="shared" si="58"/>
        <v>0</v>
      </c>
      <c r="L152" s="30"/>
      <c r="M152" s="26"/>
      <c r="N152" s="31">
        <f t="shared" si="60"/>
        <v>0</v>
      </c>
      <c r="O152" s="21"/>
      <c r="P152" s="28"/>
      <c r="Q152" s="22">
        <f t="shared" si="61"/>
        <v>0</v>
      </c>
      <c r="R152" s="26"/>
      <c r="S152" s="26"/>
      <c r="T152" s="31">
        <f t="shared" si="62"/>
        <v>0</v>
      </c>
      <c r="U152" s="26">
        <f t="shared" si="72"/>
        <v>0</v>
      </c>
      <c r="V152" s="26">
        <f t="shared" si="73"/>
        <v>0</v>
      </c>
      <c r="W152" s="26">
        <f t="shared" si="63"/>
        <v>0</v>
      </c>
      <c r="X152" s="36">
        <f t="shared" si="64"/>
        <v>0</v>
      </c>
      <c r="Y152" s="389" t="str">
        <f t="shared" si="65"/>
        <v/>
      </c>
      <c r="Z152" s="38"/>
      <c r="AA152" s="38"/>
      <c r="AB152" s="38"/>
      <c r="AC152" s="38"/>
      <c r="AD152" s="157">
        <f t="shared" si="76"/>
        <v>0</v>
      </c>
      <c r="AE152" s="34"/>
      <c r="AF152" s="35"/>
      <c r="AG152" s="392">
        <f>Table3[[#This Row],[Active hours (Other than drilling)]]*$AF$1</f>
        <v>0</v>
      </c>
      <c r="AH152" s="44"/>
      <c r="AI152" s="13"/>
      <c r="AJ152" s="157" cm="1">
        <f t="array" ref="AJ152">SUM(Table3[[#This Row],[Inactive Hours (Other than client standby)]:[Standby Total Hours]]*$AI149)</f>
        <v>0</v>
      </c>
      <c r="AK152" s="45"/>
      <c r="AL152" s="23"/>
      <c r="AM152" s="25" t="str">
        <f t="shared" si="66"/>
        <v/>
      </c>
      <c r="AN152" s="396">
        <f t="shared" si="67"/>
        <v>0</v>
      </c>
      <c r="AO152" s="53"/>
      <c r="AP152" s="398"/>
      <c r="AQ152" s="401">
        <f t="shared" si="68"/>
        <v>0</v>
      </c>
      <c r="AR152" s="298"/>
      <c r="AS152" s="18">
        <f>SUM($AQ$6:AQ152)</f>
        <v>424427.97999999992</v>
      </c>
      <c r="AT152" t="str">
        <f t="shared" si="69"/>
        <v>09</v>
      </c>
      <c r="AU152">
        <f t="shared" si="70"/>
        <v>17</v>
      </c>
      <c r="AV152" t="str">
        <f t="shared" si="71"/>
        <v>D</v>
      </c>
    </row>
    <row r="153" spans="1:48">
      <c r="A153" s="152" t="str">
        <f t="shared" si="74"/>
        <v/>
      </c>
      <c r="B153" s="152"/>
      <c r="C153" s="1">
        <f t="shared" si="75"/>
        <v>45917.71</v>
      </c>
      <c r="D153" t="s">
        <v>172</v>
      </c>
      <c r="G153" s="4"/>
      <c r="H153" s="5" t="str">
        <f t="shared" si="59"/>
        <v/>
      </c>
      <c r="I153" s="21"/>
      <c r="J153" s="28"/>
      <c r="K153" s="28">
        <f t="shared" si="58"/>
        <v>0</v>
      </c>
      <c r="L153" s="30"/>
      <c r="M153" s="26"/>
      <c r="N153" s="31">
        <f t="shared" si="60"/>
        <v>0</v>
      </c>
      <c r="O153" s="21"/>
      <c r="P153" s="28"/>
      <c r="Q153" s="22">
        <f t="shared" si="61"/>
        <v>0</v>
      </c>
      <c r="R153" s="26"/>
      <c r="S153" s="26"/>
      <c r="T153" s="31">
        <f t="shared" si="62"/>
        <v>0</v>
      </c>
      <c r="U153" s="26">
        <f t="shared" si="72"/>
        <v>0</v>
      </c>
      <c r="V153" s="26">
        <f t="shared" si="73"/>
        <v>0</v>
      </c>
      <c r="W153" s="26">
        <f t="shared" si="63"/>
        <v>0</v>
      </c>
      <c r="X153" s="36">
        <f t="shared" si="64"/>
        <v>0</v>
      </c>
      <c r="Y153" s="389" t="str">
        <f t="shared" si="65"/>
        <v/>
      </c>
      <c r="Z153" s="38"/>
      <c r="AA153" s="38"/>
      <c r="AB153" s="38"/>
      <c r="AC153" s="38"/>
      <c r="AD153" s="157">
        <f t="shared" si="76"/>
        <v>0</v>
      </c>
      <c r="AE153" s="34"/>
      <c r="AF153" s="35"/>
      <c r="AG153" s="392">
        <f>Table3[[#This Row],[Active hours (Other than drilling)]]*$AF$1</f>
        <v>0</v>
      </c>
      <c r="AH153" s="44"/>
      <c r="AI153" s="13"/>
      <c r="AJ153" s="157" cm="1">
        <f t="array" ref="AJ153">SUM(Table3[[#This Row],[Inactive Hours (Other than client standby)]:[Standby Total Hours]]*$AI150)</f>
        <v>0</v>
      </c>
      <c r="AK153" s="45"/>
      <c r="AL153" s="23"/>
      <c r="AM153" s="25" t="str">
        <f t="shared" si="66"/>
        <v/>
      </c>
      <c r="AN153" s="396">
        <f t="shared" si="67"/>
        <v>0</v>
      </c>
      <c r="AO153" s="53"/>
      <c r="AP153" s="398"/>
      <c r="AQ153" s="401">
        <f t="shared" si="68"/>
        <v>0</v>
      </c>
      <c r="AR153" s="298"/>
      <c r="AS153" s="18">
        <f>SUM($AQ$6:AQ153)</f>
        <v>424427.97999999992</v>
      </c>
      <c r="AT153" t="str">
        <f t="shared" si="69"/>
        <v>09</v>
      </c>
      <c r="AU153">
        <f t="shared" si="70"/>
        <v>17</v>
      </c>
      <c r="AV153" t="str">
        <f t="shared" si="71"/>
        <v>N</v>
      </c>
    </row>
    <row r="154" spans="1:48">
      <c r="A154" s="152" t="str">
        <f t="shared" si="74"/>
        <v/>
      </c>
      <c r="B154" s="152"/>
      <c r="C154" s="1">
        <f t="shared" si="75"/>
        <v>45918.21</v>
      </c>
      <c r="D154" t="s">
        <v>171</v>
      </c>
      <c r="G154" s="4"/>
      <c r="H154" s="5" t="str">
        <f t="shared" si="59"/>
        <v/>
      </c>
      <c r="I154" s="21"/>
      <c r="J154" s="28"/>
      <c r="K154" s="28">
        <f t="shared" si="58"/>
        <v>0</v>
      </c>
      <c r="L154" s="30"/>
      <c r="M154" s="26"/>
      <c r="N154" s="31">
        <f t="shared" si="60"/>
        <v>0</v>
      </c>
      <c r="O154" s="21"/>
      <c r="P154" s="28"/>
      <c r="Q154" s="22">
        <f t="shared" si="61"/>
        <v>0</v>
      </c>
      <c r="R154" s="26"/>
      <c r="S154" s="26"/>
      <c r="T154" s="31">
        <f t="shared" si="62"/>
        <v>0</v>
      </c>
      <c r="U154" s="26">
        <f t="shared" si="72"/>
        <v>0</v>
      </c>
      <c r="V154" s="26">
        <f t="shared" si="73"/>
        <v>0</v>
      </c>
      <c r="W154" s="26">
        <f t="shared" si="63"/>
        <v>0</v>
      </c>
      <c r="X154" s="36">
        <f t="shared" si="64"/>
        <v>0</v>
      </c>
      <c r="Y154" s="389" t="str">
        <f t="shared" si="65"/>
        <v/>
      </c>
      <c r="Z154" s="38"/>
      <c r="AA154" s="38"/>
      <c r="AB154" s="38"/>
      <c r="AC154" s="38"/>
      <c r="AD154" s="157">
        <f t="shared" si="76"/>
        <v>0</v>
      </c>
      <c r="AE154" s="34"/>
      <c r="AF154" s="35"/>
      <c r="AG154" s="392">
        <f>Table3[[#This Row],[Active hours (Other than drilling)]]*$AF$1</f>
        <v>0</v>
      </c>
      <c r="AH154" s="44"/>
      <c r="AI154" s="13"/>
      <c r="AJ154" s="157" cm="1">
        <f t="array" ref="AJ154">SUM(Table3[[#This Row],[Inactive Hours (Other than client standby)]:[Standby Total Hours]]*$AI151)</f>
        <v>0</v>
      </c>
      <c r="AK154" s="45"/>
      <c r="AL154" s="23"/>
      <c r="AM154" s="25" t="str">
        <f t="shared" si="66"/>
        <v/>
      </c>
      <c r="AN154" s="396">
        <f t="shared" si="67"/>
        <v>0</v>
      </c>
      <c r="AO154" s="53"/>
      <c r="AP154" s="398"/>
      <c r="AQ154" s="401">
        <f t="shared" si="68"/>
        <v>0</v>
      </c>
      <c r="AR154" s="298"/>
      <c r="AS154" s="18">
        <f>SUM($AQ$6:AQ154)</f>
        <v>424427.97999999992</v>
      </c>
      <c r="AT154" t="str">
        <f t="shared" si="69"/>
        <v>09</v>
      </c>
      <c r="AU154">
        <f t="shared" si="70"/>
        <v>18</v>
      </c>
      <c r="AV154" t="str">
        <f t="shared" si="71"/>
        <v>D</v>
      </c>
    </row>
    <row r="155" spans="1:48">
      <c r="A155" s="152" t="str">
        <f t="shared" si="74"/>
        <v/>
      </c>
      <c r="B155" s="152"/>
      <c r="C155" s="1">
        <f t="shared" si="75"/>
        <v>45918.71</v>
      </c>
      <c r="D155" t="s">
        <v>172</v>
      </c>
      <c r="G155" s="4"/>
      <c r="H155" s="5" t="str">
        <f t="shared" si="59"/>
        <v/>
      </c>
      <c r="I155" s="21"/>
      <c r="J155" s="28"/>
      <c r="K155" s="28">
        <f t="shared" si="58"/>
        <v>0</v>
      </c>
      <c r="L155" s="30"/>
      <c r="M155" s="26"/>
      <c r="N155" s="31">
        <f t="shared" si="60"/>
        <v>0</v>
      </c>
      <c r="O155" s="21"/>
      <c r="P155" s="28"/>
      <c r="Q155" s="22">
        <f t="shared" si="61"/>
        <v>0</v>
      </c>
      <c r="R155" s="26"/>
      <c r="S155" s="26"/>
      <c r="T155" s="31">
        <f t="shared" si="62"/>
        <v>0</v>
      </c>
      <c r="U155" s="26">
        <f t="shared" si="72"/>
        <v>0</v>
      </c>
      <c r="V155" s="26">
        <f t="shared" si="73"/>
        <v>0</v>
      </c>
      <c r="W155" s="26">
        <f t="shared" si="63"/>
        <v>0</v>
      </c>
      <c r="X155" s="36">
        <f t="shared" si="64"/>
        <v>0</v>
      </c>
      <c r="Y155" s="389" t="str">
        <f t="shared" si="65"/>
        <v/>
      </c>
      <c r="Z155" s="38"/>
      <c r="AA155" s="38"/>
      <c r="AB155" s="38"/>
      <c r="AC155" s="38"/>
      <c r="AD155" s="157">
        <f t="shared" si="76"/>
        <v>0</v>
      </c>
      <c r="AE155" s="34"/>
      <c r="AF155" s="35"/>
      <c r="AG155" s="392">
        <f>Table3[[#This Row],[Active hours (Other than drilling)]]*$AF$1</f>
        <v>0</v>
      </c>
      <c r="AH155" s="44"/>
      <c r="AI155" s="13"/>
      <c r="AJ155" s="157" cm="1">
        <f t="array" ref="AJ155">SUM(Table3[[#This Row],[Inactive Hours (Other than client standby)]:[Standby Total Hours]]*$AI152)</f>
        <v>0</v>
      </c>
      <c r="AK155" s="45"/>
      <c r="AL155" s="23"/>
      <c r="AM155" s="25" t="str">
        <f t="shared" si="66"/>
        <v/>
      </c>
      <c r="AN155" s="396">
        <f t="shared" si="67"/>
        <v>0</v>
      </c>
      <c r="AO155" s="53"/>
      <c r="AP155" s="398"/>
      <c r="AQ155" s="401">
        <f t="shared" si="68"/>
        <v>0</v>
      </c>
      <c r="AR155" s="298"/>
      <c r="AS155" s="18">
        <f>SUM($AQ$6:AQ155)</f>
        <v>424427.97999999992</v>
      </c>
      <c r="AT155" t="str">
        <f t="shared" si="69"/>
        <v>09</v>
      </c>
      <c r="AU155">
        <f t="shared" si="70"/>
        <v>18</v>
      </c>
      <c r="AV155" t="str">
        <f t="shared" si="71"/>
        <v>N</v>
      </c>
    </row>
    <row r="156" spans="1:48">
      <c r="A156" s="152" t="str">
        <f t="shared" si="74"/>
        <v/>
      </c>
      <c r="B156" s="152"/>
      <c r="C156" s="1">
        <f t="shared" si="75"/>
        <v>45919.21</v>
      </c>
      <c r="D156" t="s">
        <v>171</v>
      </c>
      <c r="G156" s="4"/>
      <c r="H156" s="5" t="str">
        <f t="shared" si="59"/>
        <v/>
      </c>
      <c r="I156" s="21"/>
      <c r="J156" s="28"/>
      <c r="K156" s="28">
        <f t="shared" si="58"/>
        <v>0</v>
      </c>
      <c r="L156" s="30"/>
      <c r="M156" s="26"/>
      <c r="N156" s="31">
        <f t="shared" si="60"/>
        <v>0</v>
      </c>
      <c r="O156" s="21"/>
      <c r="P156" s="28"/>
      <c r="Q156" s="22">
        <f t="shared" si="61"/>
        <v>0</v>
      </c>
      <c r="R156" s="26"/>
      <c r="S156" s="26"/>
      <c r="T156" s="31">
        <f t="shared" si="62"/>
        <v>0</v>
      </c>
      <c r="U156" s="26">
        <f t="shared" si="72"/>
        <v>0</v>
      </c>
      <c r="V156" s="26">
        <f t="shared" si="73"/>
        <v>0</v>
      </c>
      <c r="W156" s="26">
        <f t="shared" si="63"/>
        <v>0</v>
      </c>
      <c r="X156" s="36">
        <f t="shared" si="64"/>
        <v>0</v>
      </c>
      <c r="Y156" s="389" t="str">
        <f t="shared" si="65"/>
        <v/>
      </c>
      <c r="Z156" s="38"/>
      <c r="AA156" s="38"/>
      <c r="AB156" s="38"/>
      <c r="AC156" s="38"/>
      <c r="AD156" s="157">
        <f t="shared" si="76"/>
        <v>0</v>
      </c>
      <c r="AE156" s="34"/>
      <c r="AF156" s="35"/>
      <c r="AG156" s="392">
        <f>Table3[[#This Row],[Active hours (Other than drilling)]]*$AF$1</f>
        <v>0</v>
      </c>
      <c r="AH156" s="44"/>
      <c r="AI156" s="13"/>
      <c r="AJ156" s="157" cm="1">
        <f t="array" ref="AJ156">SUM(Table3[[#This Row],[Inactive Hours (Other than client standby)]:[Standby Total Hours]]*$AI153)</f>
        <v>0</v>
      </c>
      <c r="AK156" s="45"/>
      <c r="AL156" s="23"/>
      <c r="AM156" s="25" t="str">
        <f t="shared" si="66"/>
        <v/>
      </c>
      <c r="AN156" s="396">
        <f t="shared" si="67"/>
        <v>0</v>
      </c>
      <c r="AO156" s="53"/>
      <c r="AP156" s="398"/>
      <c r="AQ156" s="401">
        <f t="shared" si="68"/>
        <v>0</v>
      </c>
      <c r="AR156" s="298"/>
      <c r="AS156" s="18">
        <f>SUM($AQ$6:AQ156)</f>
        <v>424427.97999999992</v>
      </c>
      <c r="AT156" t="str">
        <f t="shared" si="69"/>
        <v>09</v>
      </c>
      <c r="AU156">
        <f t="shared" si="70"/>
        <v>19</v>
      </c>
      <c r="AV156" t="str">
        <f t="shared" si="71"/>
        <v>D</v>
      </c>
    </row>
    <row r="157" spans="1:48">
      <c r="A157" s="152" t="str">
        <f t="shared" si="74"/>
        <v/>
      </c>
      <c r="B157" s="152"/>
      <c r="C157" s="1">
        <f t="shared" si="75"/>
        <v>45919.71</v>
      </c>
      <c r="D157" t="s">
        <v>172</v>
      </c>
      <c r="G157" s="4"/>
      <c r="H157" s="5" t="str">
        <f t="shared" si="59"/>
        <v/>
      </c>
      <c r="I157" s="21"/>
      <c r="J157" s="28"/>
      <c r="K157" s="28">
        <f t="shared" si="58"/>
        <v>0</v>
      </c>
      <c r="L157" s="30"/>
      <c r="M157" s="26"/>
      <c r="N157" s="31">
        <f t="shared" si="60"/>
        <v>0</v>
      </c>
      <c r="O157" s="21"/>
      <c r="P157" s="28"/>
      <c r="Q157" s="22">
        <f t="shared" si="61"/>
        <v>0</v>
      </c>
      <c r="R157" s="26"/>
      <c r="S157" s="26"/>
      <c r="T157" s="31">
        <f t="shared" si="62"/>
        <v>0</v>
      </c>
      <c r="U157" s="26">
        <f t="shared" si="72"/>
        <v>0</v>
      </c>
      <c r="V157" s="26">
        <f t="shared" si="73"/>
        <v>0</v>
      </c>
      <c r="W157" s="26">
        <f t="shared" si="63"/>
        <v>0</v>
      </c>
      <c r="X157" s="36">
        <f t="shared" si="64"/>
        <v>0</v>
      </c>
      <c r="Y157" s="389" t="str">
        <f t="shared" si="65"/>
        <v/>
      </c>
      <c r="Z157" s="38"/>
      <c r="AA157" s="38"/>
      <c r="AB157" s="38"/>
      <c r="AC157" s="38"/>
      <c r="AD157" s="157">
        <f t="shared" si="76"/>
        <v>0</v>
      </c>
      <c r="AE157" s="34"/>
      <c r="AF157" s="35"/>
      <c r="AG157" s="392">
        <f>Table3[[#This Row],[Active hours (Other than drilling)]]*$AF$1</f>
        <v>0</v>
      </c>
      <c r="AH157" s="44"/>
      <c r="AI157" s="13"/>
      <c r="AJ157" s="157" cm="1">
        <f t="array" ref="AJ157">SUM(Table3[[#This Row],[Inactive Hours (Other than client standby)]:[Standby Total Hours]]*$AI154)</f>
        <v>0</v>
      </c>
      <c r="AK157" s="45"/>
      <c r="AL157" s="23"/>
      <c r="AM157" s="25" t="str">
        <f t="shared" si="66"/>
        <v/>
      </c>
      <c r="AN157" s="396">
        <f t="shared" si="67"/>
        <v>0</v>
      </c>
      <c r="AO157" s="53"/>
      <c r="AP157" s="398"/>
      <c r="AQ157" s="401">
        <f t="shared" si="68"/>
        <v>0</v>
      </c>
      <c r="AR157" s="298"/>
      <c r="AS157" s="18">
        <f>SUM($AQ$6:AQ157)</f>
        <v>424427.97999999992</v>
      </c>
      <c r="AT157" t="str">
        <f t="shared" si="69"/>
        <v>09</v>
      </c>
      <c r="AU157">
        <f t="shared" si="70"/>
        <v>19</v>
      </c>
      <c r="AV157" t="str">
        <f t="shared" si="71"/>
        <v>N</v>
      </c>
    </row>
    <row r="158" spans="1:48">
      <c r="A158" s="152" t="str">
        <f t="shared" si="74"/>
        <v/>
      </c>
      <c r="B158" s="152"/>
      <c r="C158" s="1">
        <f t="shared" si="75"/>
        <v>45920.21</v>
      </c>
      <c r="D158" t="s">
        <v>171</v>
      </c>
      <c r="G158" s="4"/>
      <c r="H158" s="5" t="str">
        <f t="shared" si="59"/>
        <v/>
      </c>
      <c r="I158" s="21"/>
      <c r="J158" s="28"/>
      <c r="K158" s="28">
        <f t="shared" si="58"/>
        <v>0</v>
      </c>
      <c r="L158" s="30"/>
      <c r="M158" s="26"/>
      <c r="N158" s="31">
        <f t="shared" si="60"/>
        <v>0</v>
      </c>
      <c r="O158" s="21"/>
      <c r="P158" s="28"/>
      <c r="Q158" s="22">
        <f t="shared" si="61"/>
        <v>0</v>
      </c>
      <c r="R158" s="26"/>
      <c r="S158" s="26"/>
      <c r="T158" s="31">
        <f t="shared" si="62"/>
        <v>0</v>
      </c>
      <c r="U158" s="26">
        <f t="shared" si="72"/>
        <v>0</v>
      </c>
      <c r="V158" s="26">
        <f t="shared" si="73"/>
        <v>0</v>
      </c>
      <c r="W158" s="26">
        <f t="shared" si="63"/>
        <v>0</v>
      </c>
      <c r="X158" s="36">
        <f t="shared" si="64"/>
        <v>0</v>
      </c>
      <c r="Y158" s="389" t="str">
        <f t="shared" si="65"/>
        <v/>
      </c>
      <c r="Z158" s="38"/>
      <c r="AA158" s="38"/>
      <c r="AB158" s="38"/>
      <c r="AC158" s="38"/>
      <c r="AD158" s="157">
        <f t="shared" si="76"/>
        <v>0</v>
      </c>
      <c r="AE158" s="34"/>
      <c r="AF158" s="35"/>
      <c r="AG158" s="392">
        <f>Table3[[#This Row],[Active hours (Other than drilling)]]*$AF$1</f>
        <v>0</v>
      </c>
      <c r="AH158" s="44"/>
      <c r="AI158" s="13"/>
      <c r="AJ158" s="157" cm="1">
        <f t="array" ref="AJ158">SUM(Table3[[#This Row],[Inactive Hours (Other than client standby)]:[Standby Total Hours]]*$AI155)</f>
        <v>0</v>
      </c>
      <c r="AK158" s="45"/>
      <c r="AL158" s="23"/>
      <c r="AM158" s="25" t="str">
        <f t="shared" si="66"/>
        <v/>
      </c>
      <c r="AN158" s="396">
        <f t="shared" si="67"/>
        <v>0</v>
      </c>
      <c r="AO158" s="53"/>
      <c r="AP158" s="398"/>
      <c r="AQ158" s="401">
        <f t="shared" si="68"/>
        <v>0</v>
      </c>
      <c r="AR158" s="298"/>
      <c r="AS158" s="18">
        <f>SUM($AQ$6:AQ158)</f>
        <v>424427.97999999992</v>
      </c>
      <c r="AT158" t="str">
        <f t="shared" si="69"/>
        <v>09</v>
      </c>
      <c r="AU158">
        <f t="shared" si="70"/>
        <v>20</v>
      </c>
      <c r="AV158" t="str">
        <f t="shared" si="71"/>
        <v>D</v>
      </c>
    </row>
    <row r="159" spans="1:48">
      <c r="A159" s="152" t="str">
        <f t="shared" si="74"/>
        <v/>
      </c>
      <c r="B159" s="152"/>
      <c r="C159" s="1">
        <f t="shared" si="75"/>
        <v>45920.71</v>
      </c>
      <c r="D159" t="s">
        <v>172</v>
      </c>
      <c r="G159" s="4"/>
      <c r="H159" s="5" t="str">
        <f t="shared" si="59"/>
        <v/>
      </c>
      <c r="I159" s="21"/>
      <c r="J159" s="28"/>
      <c r="K159" s="28">
        <f t="shared" si="58"/>
        <v>0</v>
      </c>
      <c r="L159" s="30"/>
      <c r="M159" s="26"/>
      <c r="N159" s="31">
        <f t="shared" si="60"/>
        <v>0</v>
      </c>
      <c r="O159" s="21"/>
      <c r="P159" s="28"/>
      <c r="Q159" s="22">
        <f t="shared" si="61"/>
        <v>0</v>
      </c>
      <c r="R159" s="26"/>
      <c r="S159" s="26"/>
      <c r="T159" s="31">
        <f t="shared" si="62"/>
        <v>0</v>
      </c>
      <c r="U159" s="26">
        <f t="shared" si="72"/>
        <v>0</v>
      </c>
      <c r="V159" s="26">
        <f t="shared" si="73"/>
        <v>0</v>
      </c>
      <c r="W159" s="26">
        <f t="shared" si="63"/>
        <v>0</v>
      </c>
      <c r="X159" s="36">
        <f t="shared" si="64"/>
        <v>0</v>
      </c>
      <c r="Y159" s="389" t="str">
        <f t="shared" si="65"/>
        <v/>
      </c>
      <c r="Z159" s="38"/>
      <c r="AA159" s="38"/>
      <c r="AB159" s="38"/>
      <c r="AC159" s="38"/>
      <c r="AD159" s="157">
        <f t="shared" si="76"/>
        <v>0</v>
      </c>
      <c r="AE159" s="34"/>
      <c r="AF159" s="35"/>
      <c r="AG159" s="392">
        <f>Table3[[#This Row],[Active hours (Other than drilling)]]*$AF$1</f>
        <v>0</v>
      </c>
      <c r="AH159" s="44"/>
      <c r="AI159" s="13"/>
      <c r="AJ159" s="157" cm="1">
        <f t="array" ref="AJ159">SUM(Table3[[#This Row],[Inactive Hours (Other than client standby)]:[Standby Total Hours]]*$AI156)</f>
        <v>0</v>
      </c>
      <c r="AK159" s="45"/>
      <c r="AL159" s="23"/>
      <c r="AM159" s="25" t="str">
        <f t="shared" si="66"/>
        <v/>
      </c>
      <c r="AN159" s="396">
        <f t="shared" si="67"/>
        <v>0</v>
      </c>
      <c r="AO159" s="53"/>
      <c r="AP159" s="398"/>
      <c r="AQ159" s="401">
        <f t="shared" si="68"/>
        <v>0</v>
      </c>
      <c r="AR159" s="298"/>
      <c r="AS159" s="18">
        <f>SUM($AQ$6:AQ159)</f>
        <v>424427.97999999992</v>
      </c>
      <c r="AT159" t="str">
        <f t="shared" si="69"/>
        <v>09</v>
      </c>
      <c r="AU159">
        <f t="shared" si="70"/>
        <v>20</v>
      </c>
      <c r="AV159" t="str">
        <f t="shared" si="71"/>
        <v>N</v>
      </c>
    </row>
    <row r="160" spans="1:48">
      <c r="A160" s="152" t="str">
        <f t="shared" si="74"/>
        <v/>
      </c>
      <c r="B160" s="152"/>
      <c r="C160" s="1">
        <f t="shared" si="75"/>
        <v>45921.21</v>
      </c>
      <c r="D160" t="s">
        <v>171</v>
      </c>
      <c r="G160" s="4"/>
      <c r="H160" s="5" t="str">
        <f t="shared" si="59"/>
        <v/>
      </c>
      <c r="I160" s="21"/>
      <c r="J160" s="28"/>
      <c r="K160" s="28">
        <f t="shared" si="58"/>
        <v>0</v>
      </c>
      <c r="L160" s="30"/>
      <c r="M160" s="26"/>
      <c r="N160" s="31">
        <f t="shared" si="60"/>
        <v>0</v>
      </c>
      <c r="O160" s="21"/>
      <c r="P160" s="28"/>
      <c r="Q160" s="22">
        <f t="shared" si="61"/>
        <v>0</v>
      </c>
      <c r="R160" s="26"/>
      <c r="S160" s="26"/>
      <c r="T160" s="31">
        <f t="shared" si="62"/>
        <v>0</v>
      </c>
      <c r="U160" s="26">
        <f t="shared" si="72"/>
        <v>0</v>
      </c>
      <c r="V160" s="26">
        <f t="shared" si="73"/>
        <v>0</v>
      </c>
      <c r="W160" s="26">
        <f t="shared" si="63"/>
        <v>0</v>
      </c>
      <c r="X160" s="36">
        <f t="shared" si="64"/>
        <v>0</v>
      </c>
      <c r="Y160" s="389" t="str">
        <f t="shared" si="65"/>
        <v/>
      </c>
      <c r="Z160" s="38"/>
      <c r="AA160" s="38"/>
      <c r="AB160" s="38"/>
      <c r="AC160" s="38"/>
      <c r="AD160" s="157">
        <f t="shared" si="76"/>
        <v>0</v>
      </c>
      <c r="AE160" s="34"/>
      <c r="AF160" s="35"/>
      <c r="AG160" s="392">
        <f>Table3[[#This Row],[Active hours (Other than drilling)]]*$AF$1</f>
        <v>0</v>
      </c>
      <c r="AH160" s="44"/>
      <c r="AI160" s="13"/>
      <c r="AJ160" s="157" cm="1">
        <f t="array" ref="AJ160">SUM(Table3[[#This Row],[Inactive Hours (Other than client standby)]:[Standby Total Hours]]*$AI157)</f>
        <v>0</v>
      </c>
      <c r="AK160" s="45"/>
      <c r="AL160" s="23"/>
      <c r="AM160" s="25" t="str">
        <f t="shared" si="66"/>
        <v/>
      </c>
      <c r="AN160" s="396">
        <f t="shared" si="67"/>
        <v>0</v>
      </c>
      <c r="AO160" s="53"/>
      <c r="AP160" s="398"/>
      <c r="AQ160" s="401">
        <f t="shared" si="68"/>
        <v>0</v>
      </c>
      <c r="AR160" s="298"/>
      <c r="AS160" s="18">
        <f>SUM($AQ$6:AQ160)</f>
        <v>424427.97999999992</v>
      </c>
      <c r="AT160" t="str">
        <f t="shared" si="69"/>
        <v>09</v>
      </c>
      <c r="AU160">
        <f t="shared" si="70"/>
        <v>21</v>
      </c>
      <c r="AV160" t="str">
        <f t="shared" si="71"/>
        <v>D</v>
      </c>
    </row>
    <row r="161" spans="1:48">
      <c r="A161" s="152" t="str">
        <f t="shared" si="74"/>
        <v/>
      </c>
      <c r="B161" s="152"/>
      <c r="C161" s="1">
        <f t="shared" si="75"/>
        <v>45921.71</v>
      </c>
      <c r="D161" t="s">
        <v>172</v>
      </c>
      <c r="G161" s="4"/>
      <c r="H161" s="5" t="str">
        <f t="shared" si="59"/>
        <v/>
      </c>
      <c r="I161" s="21"/>
      <c r="J161" s="28"/>
      <c r="K161" s="28">
        <f t="shared" si="58"/>
        <v>0</v>
      </c>
      <c r="L161" s="30"/>
      <c r="M161" s="26"/>
      <c r="N161" s="31">
        <f t="shared" si="60"/>
        <v>0</v>
      </c>
      <c r="O161" s="21"/>
      <c r="P161" s="28"/>
      <c r="Q161" s="22">
        <f t="shared" si="61"/>
        <v>0</v>
      </c>
      <c r="R161" s="26"/>
      <c r="S161" s="26"/>
      <c r="T161" s="31">
        <f t="shared" si="62"/>
        <v>0</v>
      </c>
      <c r="U161" s="26">
        <f t="shared" si="72"/>
        <v>0</v>
      </c>
      <c r="V161" s="26">
        <f t="shared" si="73"/>
        <v>0</v>
      </c>
      <c r="W161" s="26">
        <f t="shared" si="63"/>
        <v>0</v>
      </c>
      <c r="X161" s="36">
        <f t="shared" si="64"/>
        <v>0</v>
      </c>
      <c r="Y161" s="389" t="str">
        <f t="shared" si="65"/>
        <v/>
      </c>
      <c r="Z161" s="38"/>
      <c r="AA161" s="38"/>
      <c r="AB161" s="38"/>
      <c r="AC161" s="38"/>
      <c r="AD161" s="157">
        <f t="shared" si="76"/>
        <v>0</v>
      </c>
      <c r="AE161" s="34"/>
      <c r="AF161" s="35"/>
      <c r="AG161" s="392">
        <f>Table3[[#This Row],[Active hours (Other than drilling)]]*$AF$1</f>
        <v>0</v>
      </c>
      <c r="AH161" s="44"/>
      <c r="AI161" s="13"/>
      <c r="AJ161" s="157" cm="1">
        <f t="array" ref="AJ161">SUM(Table3[[#This Row],[Inactive Hours (Other than client standby)]:[Standby Total Hours]]*$AI158)</f>
        <v>0</v>
      </c>
      <c r="AK161" s="45"/>
      <c r="AL161" s="23"/>
      <c r="AM161" s="25" t="str">
        <f t="shared" si="66"/>
        <v/>
      </c>
      <c r="AN161" s="396">
        <f t="shared" si="67"/>
        <v>0</v>
      </c>
      <c r="AO161" s="53"/>
      <c r="AP161" s="398"/>
      <c r="AQ161" s="401">
        <f t="shared" si="68"/>
        <v>0</v>
      </c>
      <c r="AR161" s="298"/>
      <c r="AS161" s="18">
        <f>SUM($AQ$6:AQ161)</f>
        <v>424427.97999999992</v>
      </c>
      <c r="AT161" t="str">
        <f t="shared" si="69"/>
        <v>09</v>
      </c>
      <c r="AU161">
        <f t="shared" si="70"/>
        <v>21</v>
      </c>
      <c r="AV161" t="str">
        <f t="shared" si="71"/>
        <v>N</v>
      </c>
    </row>
    <row r="162" spans="1:48">
      <c r="A162" s="152" t="str">
        <f t="shared" si="74"/>
        <v/>
      </c>
      <c r="B162" s="152"/>
      <c r="C162" s="1">
        <f t="shared" si="75"/>
        <v>45922.21</v>
      </c>
      <c r="D162" t="s">
        <v>171</v>
      </c>
      <c r="G162" s="4"/>
      <c r="H162" s="5" t="str">
        <f t="shared" si="59"/>
        <v/>
      </c>
      <c r="I162" s="21"/>
      <c r="J162" s="28"/>
      <c r="K162" s="28">
        <f t="shared" si="58"/>
        <v>0</v>
      </c>
      <c r="L162" s="30"/>
      <c r="M162" s="26"/>
      <c r="N162" s="31">
        <f t="shared" si="60"/>
        <v>0</v>
      </c>
      <c r="O162" s="21"/>
      <c r="P162" s="28"/>
      <c r="Q162" s="22">
        <f t="shared" si="61"/>
        <v>0</v>
      </c>
      <c r="R162" s="26"/>
      <c r="S162" s="26"/>
      <c r="T162" s="31">
        <f t="shared" si="62"/>
        <v>0</v>
      </c>
      <c r="U162" s="26">
        <f t="shared" si="72"/>
        <v>0</v>
      </c>
      <c r="V162" s="26">
        <f t="shared" si="73"/>
        <v>0</v>
      </c>
      <c r="W162" s="26">
        <f t="shared" si="63"/>
        <v>0</v>
      </c>
      <c r="X162" s="36">
        <f t="shared" si="64"/>
        <v>0</v>
      </c>
      <c r="Y162" s="389" t="str">
        <f t="shared" si="65"/>
        <v/>
      </c>
      <c r="Z162" s="38"/>
      <c r="AA162" s="38"/>
      <c r="AB162" s="38"/>
      <c r="AC162" s="38"/>
      <c r="AD162" s="157">
        <f t="shared" si="76"/>
        <v>0</v>
      </c>
      <c r="AE162" s="34"/>
      <c r="AF162" s="35"/>
      <c r="AG162" s="392">
        <f>Table3[[#This Row],[Active hours (Other than drilling)]]*$AF$1</f>
        <v>0</v>
      </c>
      <c r="AH162" s="44"/>
      <c r="AI162" s="13"/>
      <c r="AJ162" s="157" cm="1">
        <f t="array" ref="AJ162">SUM(Table3[[#This Row],[Inactive Hours (Other than client standby)]:[Standby Total Hours]]*$AI159)</f>
        <v>0</v>
      </c>
      <c r="AK162" s="45"/>
      <c r="AL162" s="23"/>
      <c r="AM162" s="25" t="str">
        <f t="shared" si="66"/>
        <v/>
      </c>
      <c r="AN162" s="396">
        <f t="shared" si="67"/>
        <v>0</v>
      </c>
      <c r="AO162" s="53"/>
      <c r="AP162" s="398"/>
      <c r="AQ162" s="401">
        <f t="shared" si="68"/>
        <v>0</v>
      </c>
      <c r="AR162" s="298"/>
      <c r="AS162" s="18">
        <f>SUM($AQ$6:AQ162)</f>
        <v>424427.97999999992</v>
      </c>
      <c r="AT162" t="str">
        <f t="shared" si="69"/>
        <v>09</v>
      </c>
      <c r="AU162">
        <f t="shared" si="70"/>
        <v>22</v>
      </c>
      <c r="AV162" t="str">
        <f t="shared" si="71"/>
        <v>D</v>
      </c>
    </row>
    <row r="163" spans="1:48">
      <c r="A163" s="152" t="str">
        <f t="shared" si="74"/>
        <v/>
      </c>
      <c r="B163" s="152"/>
      <c r="C163" s="1">
        <f t="shared" si="75"/>
        <v>45922.71</v>
      </c>
      <c r="D163" t="s">
        <v>172</v>
      </c>
      <c r="G163" s="4"/>
      <c r="H163" s="5" t="str">
        <f t="shared" si="59"/>
        <v/>
      </c>
      <c r="I163" s="21"/>
      <c r="J163" s="28"/>
      <c r="K163" s="28">
        <f t="shared" si="58"/>
        <v>0</v>
      </c>
      <c r="L163" s="30"/>
      <c r="M163" s="26"/>
      <c r="N163" s="31">
        <f t="shared" si="60"/>
        <v>0</v>
      </c>
      <c r="O163" s="21"/>
      <c r="P163" s="28"/>
      <c r="Q163" s="22">
        <f t="shared" si="61"/>
        <v>0</v>
      </c>
      <c r="R163" s="26"/>
      <c r="S163" s="26"/>
      <c r="T163" s="31">
        <f t="shared" si="62"/>
        <v>0</v>
      </c>
      <c r="U163" s="26">
        <f t="shared" si="72"/>
        <v>0</v>
      </c>
      <c r="V163" s="26">
        <f t="shared" si="73"/>
        <v>0</v>
      </c>
      <c r="W163" s="26">
        <f t="shared" si="63"/>
        <v>0</v>
      </c>
      <c r="X163" s="36">
        <f t="shared" si="64"/>
        <v>0</v>
      </c>
      <c r="Y163" s="389" t="str">
        <f t="shared" si="65"/>
        <v/>
      </c>
      <c r="Z163" s="38"/>
      <c r="AA163" s="38"/>
      <c r="AB163" s="38"/>
      <c r="AC163" s="38"/>
      <c r="AD163" s="157">
        <f t="shared" si="76"/>
        <v>0</v>
      </c>
      <c r="AE163" s="34"/>
      <c r="AF163" s="35"/>
      <c r="AG163" s="392">
        <f>Table3[[#This Row],[Active hours (Other than drilling)]]*$AF$1</f>
        <v>0</v>
      </c>
      <c r="AH163" s="44"/>
      <c r="AI163" s="13"/>
      <c r="AJ163" s="157" cm="1">
        <f t="array" ref="AJ163">SUM(Table3[[#This Row],[Inactive Hours (Other than client standby)]:[Standby Total Hours]]*$AI160)</f>
        <v>0</v>
      </c>
      <c r="AK163" s="45"/>
      <c r="AL163" s="23"/>
      <c r="AM163" s="25" t="str">
        <f t="shared" si="66"/>
        <v/>
      </c>
      <c r="AN163" s="396">
        <f t="shared" si="67"/>
        <v>0</v>
      </c>
      <c r="AO163" s="53"/>
      <c r="AP163" s="398"/>
      <c r="AQ163" s="401">
        <f t="shared" si="68"/>
        <v>0</v>
      </c>
      <c r="AR163" s="298"/>
      <c r="AS163" s="18">
        <f>SUM($AQ$6:AQ163)</f>
        <v>424427.97999999992</v>
      </c>
      <c r="AT163" t="str">
        <f t="shared" si="69"/>
        <v>09</v>
      </c>
      <c r="AU163">
        <f t="shared" si="70"/>
        <v>22</v>
      </c>
      <c r="AV163" t="str">
        <f t="shared" si="71"/>
        <v>N</v>
      </c>
    </row>
    <row r="164" spans="1:48">
      <c r="A164" s="152" t="str">
        <f t="shared" si="74"/>
        <v/>
      </c>
      <c r="B164" s="152"/>
      <c r="C164" s="1">
        <f t="shared" si="75"/>
        <v>45923.21</v>
      </c>
      <c r="D164" t="s">
        <v>171</v>
      </c>
      <c r="G164" s="4"/>
      <c r="H164" s="5" t="str">
        <f t="shared" ref="H164:H188" si="77">IF(ISBLANK(G164),"",G164*$H$1)</f>
        <v/>
      </c>
      <c r="I164" s="21"/>
      <c r="J164" s="28"/>
      <c r="K164" s="28">
        <f t="shared" si="58"/>
        <v>0</v>
      </c>
      <c r="L164" s="30"/>
      <c r="M164" s="26"/>
      <c r="N164" s="31">
        <f t="shared" si="60"/>
        <v>0</v>
      </c>
      <c r="O164" s="21"/>
      <c r="P164" s="28"/>
      <c r="Q164" s="22">
        <f t="shared" si="61"/>
        <v>0</v>
      </c>
      <c r="R164" s="26"/>
      <c r="S164" s="26"/>
      <c r="T164" s="31">
        <f t="shared" si="62"/>
        <v>0</v>
      </c>
      <c r="U164" s="26">
        <f t="shared" si="72"/>
        <v>0</v>
      </c>
      <c r="V164" s="26">
        <f t="shared" si="73"/>
        <v>0</v>
      </c>
      <c r="W164" s="26">
        <f t="shared" si="63"/>
        <v>0</v>
      </c>
      <c r="X164" s="36">
        <f t="shared" si="64"/>
        <v>0</v>
      </c>
      <c r="Y164" s="389" t="str">
        <f t="shared" si="65"/>
        <v/>
      </c>
      <c r="Z164" s="38"/>
      <c r="AA164" s="38"/>
      <c r="AB164" s="38"/>
      <c r="AC164" s="38"/>
      <c r="AD164" s="157">
        <f t="shared" si="76"/>
        <v>0</v>
      </c>
      <c r="AE164" s="34"/>
      <c r="AF164" s="35"/>
      <c r="AG164" s="392">
        <f>Table3[[#This Row],[Active hours (Other than drilling)]]*$AF$1</f>
        <v>0</v>
      </c>
      <c r="AH164" s="44"/>
      <c r="AI164" s="13"/>
      <c r="AJ164" s="157" cm="1">
        <f t="array" ref="AJ164">SUM(Table3[[#This Row],[Inactive Hours (Other than client standby)]:[Standby Total Hours]]*$AI161)</f>
        <v>0</v>
      </c>
      <c r="AK164" s="45"/>
      <c r="AL164" s="23"/>
      <c r="AM164" s="25" t="str">
        <f t="shared" ref="AM164:AM188" si="78">IF(ISBLANK(AE164),"",SUM(AE164:AF164,AH164:AI164,AK164:AL164))</f>
        <v/>
      </c>
      <c r="AN164" s="396">
        <f t="shared" ref="AN164:AN188" si="79">(AF164*$AF$1)+(AH164*$AH$1)+(AI164*$AI$1)</f>
        <v>0</v>
      </c>
      <c r="AO164" s="53"/>
      <c r="AP164" s="398"/>
      <c r="AQ164" s="401">
        <f t="shared" ref="AQ164:AQ188" si="80">SUM(Y164,AN164,AP164,H164)+AD164</f>
        <v>0</v>
      </c>
      <c r="AR164" s="298"/>
      <c r="AS164" s="18">
        <f>SUM($AQ$6:AQ164)</f>
        <v>424427.97999999992</v>
      </c>
      <c r="AT164" t="str">
        <f t="shared" ref="AT164:AT188" si="81">_xlfn.TEXTJOIN(,TRUE,"0",MONTH(C164))</f>
        <v>09</v>
      </c>
      <c r="AU164">
        <f t="shared" ref="AU164:AU188" si="82">DAY(C164)</f>
        <v>23</v>
      </c>
      <c r="AV164" t="str">
        <f t="shared" ref="AV164:AV188" si="83">LEFT(D164,1)</f>
        <v>D</v>
      </c>
    </row>
    <row r="165" spans="1:48">
      <c r="A165" s="152" t="str">
        <f t="shared" si="74"/>
        <v/>
      </c>
      <c r="B165" s="152"/>
      <c r="C165" s="1">
        <f t="shared" si="75"/>
        <v>45923.71</v>
      </c>
      <c r="D165" t="s">
        <v>172</v>
      </c>
      <c r="G165" s="4"/>
      <c r="H165" s="5" t="str">
        <f t="shared" si="77"/>
        <v/>
      </c>
      <c r="I165" s="21"/>
      <c r="J165" s="28"/>
      <c r="K165" s="28">
        <f t="shared" si="58"/>
        <v>0</v>
      </c>
      <c r="L165" s="30"/>
      <c r="M165" s="26"/>
      <c r="N165" s="31">
        <f t="shared" si="60"/>
        <v>0</v>
      </c>
      <c r="O165" s="21"/>
      <c r="P165" s="28"/>
      <c r="Q165" s="22">
        <f t="shared" si="61"/>
        <v>0</v>
      </c>
      <c r="R165" s="26"/>
      <c r="S165" s="26"/>
      <c r="T165" s="31">
        <f t="shared" si="62"/>
        <v>0</v>
      </c>
      <c r="U165" s="26">
        <f t="shared" si="72"/>
        <v>0</v>
      </c>
      <c r="V165" s="26">
        <f t="shared" si="73"/>
        <v>0</v>
      </c>
      <c r="W165" s="26">
        <f t="shared" si="63"/>
        <v>0</v>
      </c>
      <c r="X165" s="36">
        <f t="shared" si="64"/>
        <v>0</v>
      </c>
      <c r="Y165" s="389" t="str">
        <f t="shared" si="65"/>
        <v/>
      </c>
      <c r="Z165" s="38"/>
      <c r="AA165" s="38"/>
      <c r="AB165" s="38"/>
      <c r="AC165" s="38"/>
      <c r="AD165" s="157">
        <f t="shared" si="76"/>
        <v>0</v>
      </c>
      <c r="AE165" s="34"/>
      <c r="AF165" s="35"/>
      <c r="AG165" s="392">
        <f>Table3[[#This Row],[Active hours (Other than drilling)]]*$AF$1</f>
        <v>0</v>
      </c>
      <c r="AH165" s="44"/>
      <c r="AI165" s="13"/>
      <c r="AJ165" s="157" cm="1">
        <f t="array" ref="AJ165">SUM(Table3[[#This Row],[Inactive Hours (Other than client standby)]:[Standby Total Hours]]*$AI162)</f>
        <v>0</v>
      </c>
      <c r="AK165" s="45"/>
      <c r="AL165" s="23"/>
      <c r="AM165" s="25" t="str">
        <f t="shared" si="78"/>
        <v/>
      </c>
      <c r="AN165" s="396">
        <f t="shared" si="79"/>
        <v>0</v>
      </c>
      <c r="AO165" s="53"/>
      <c r="AP165" s="398"/>
      <c r="AQ165" s="401">
        <f t="shared" si="80"/>
        <v>0</v>
      </c>
      <c r="AR165" s="298"/>
      <c r="AS165" s="18">
        <f>SUM($AQ$6:AQ165)</f>
        <v>424427.97999999992</v>
      </c>
      <c r="AT165" t="str">
        <f t="shared" si="81"/>
        <v>09</v>
      </c>
      <c r="AU165">
        <f t="shared" si="82"/>
        <v>23</v>
      </c>
      <c r="AV165" t="str">
        <f t="shared" si="83"/>
        <v>N</v>
      </c>
    </row>
    <row r="166" spans="1:48">
      <c r="A166" s="152" t="str">
        <f t="shared" si="74"/>
        <v/>
      </c>
      <c r="B166" s="152"/>
      <c r="C166" s="1">
        <f t="shared" si="75"/>
        <v>45924.21</v>
      </c>
      <c r="D166" t="s">
        <v>171</v>
      </c>
      <c r="G166" s="4"/>
      <c r="H166" s="5" t="str">
        <f t="shared" si="77"/>
        <v/>
      </c>
      <c r="I166" s="21"/>
      <c r="J166" s="28"/>
      <c r="K166" s="28">
        <f t="shared" si="58"/>
        <v>0</v>
      </c>
      <c r="L166" s="30"/>
      <c r="M166" s="26"/>
      <c r="N166" s="31">
        <f t="shared" si="60"/>
        <v>0</v>
      </c>
      <c r="O166" s="21"/>
      <c r="P166" s="28"/>
      <c r="Q166" s="22">
        <f t="shared" si="61"/>
        <v>0</v>
      </c>
      <c r="R166" s="26"/>
      <c r="S166" s="26"/>
      <c r="T166" s="31">
        <f t="shared" si="62"/>
        <v>0</v>
      </c>
      <c r="U166" s="26">
        <f t="shared" si="72"/>
        <v>0</v>
      </c>
      <c r="V166" s="26">
        <f t="shared" si="73"/>
        <v>0</v>
      </c>
      <c r="W166" s="26">
        <f t="shared" si="63"/>
        <v>0</v>
      </c>
      <c r="X166" s="36">
        <f t="shared" si="64"/>
        <v>0</v>
      </c>
      <c r="Y166" s="389" t="str">
        <f t="shared" si="65"/>
        <v/>
      </c>
      <c r="Z166" s="38"/>
      <c r="AA166" s="38"/>
      <c r="AB166" s="38"/>
      <c r="AC166" s="38"/>
      <c r="AD166" s="157">
        <f t="shared" si="76"/>
        <v>0</v>
      </c>
      <c r="AE166" s="34"/>
      <c r="AF166" s="35"/>
      <c r="AG166" s="392">
        <f>Table3[[#This Row],[Active hours (Other than drilling)]]*$AF$1</f>
        <v>0</v>
      </c>
      <c r="AH166" s="44"/>
      <c r="AI166" s="13"/>
      <c r="AJ166" s="157" cm="1">
        <f t="array" ref="AJ166">SUM(Table3[[#This Row],[Inactive Hours (Other than client standby)]:[Standby Total Hours]]*$AI163)</f>
        <v>0</v>
      </c>
      <c r="AK166" s="45"/>
      <c r="AL166" s="23"/>
      <c r="AM166" s="25" t="str">
        <f t="shared" si="78"/>
        <v/>
      </c>
      <c r="AN166" s="396">
        <f t="shared" si="79"/>
        <v>0</v>
      </c>
      <c r="AO166" s="53"/>
      <c r="AP166" s="398"/>
      <c r="AQ166" s="401">
        <f t="shared" si="80"/>
        <v>0</v>
      </c>
      <c r="AR166" s="298"/>
      <c r="AS166" s="18">
        <f>SUM($AQ$6:AQ166)</f>
        <v>424427.97999999992</v>
      </c>
      <c r="AT166" t="str">
        <f t="shared" si="81"/>
        <v>09</v>
      </c>
      <c r="AU166">
        <f t="shared" si="82"/>
        <v>24</v>
      </c>
      <c r="AV166" t="str">
        <f t="shared" si="83"/>
        <v>D</v>
      </c>
    </row>
    <row r="167" spans="1:48">
      <c r="A167" s="152" t="str">
        <f t="shared" si="74"/>
        <v/>
      </c>
      <c r="B167" s="152"/>
      <c r="C167" s="1">
        <f t="shared" si="75"/>
        <v>45924.71</v>
      </c>
      <c r="D167" t="s">
        <v>172</v>
      </c>
      <c r="G167" s="4"/>
      <c r="H167" s="5" t="str">
        <f t="shared" si="77"/>
        <v/>
      </c>
      <c r="I167" s="21"/>
      <c r="J167" s="28"/>
      <c r="K167" s="28">
        <f t="shared" si="58"/>
        <v>0</v>
      </c>
      <c r="L167" s="30"/>
      <c r="M167" s="26"/>
      <c r="N167" s="31">
        <f t="shared" si="60"/>
        <v>0</v>
      </c>
      <c r="O167" s="21"/>
      <c r="P167" s="28"/>
      <c r="Q167" s="22">
        <f t="shared" si="61"/>
        <v>0</v>
      </c>
      <c r="R167" s="26"/>
      <c r="S167" s="26"/>
      <c r="T167" s="31">
        <f t="shared" si="62"/>
        <v>0</v>
      </c>
      <c r="U167" s="26">
        <f t="shared" si="72"/>
        <v>0</v>
      </c>
      <c r="V167" s="26">
        <f t="shared" si="73"/>
        <v>0</v>
      </c>
      <c r="W167" s="26">
        <f t="shared" si="63"/>
        <v>0</v>
      </c>
      <c r="X167" s="36">
        <f t="shared" si="64"/>
        <v>0</v>
      </c>
      <c r="Y167" s="389" t="str">
        <f t="shared" si="65"/>
        <v/>
      </c>
      <c r="Z167" s="38"/>
      <c r="AA167" s="38"/>
      <c r="AB167" s="38"/>
      <c r="AC167" s="38"/>
      <c r="AD167" s="157">
        <f t="shared" si="76"/>
        <v>0</v>
      </c>
      <c r="AE167" s="34"/>
      <c r="AF167" s="35"/>
      <c r="AG167" s="392">
        <f>Table3[[#This Row],[Active hours (Other than drilling)]]*$AF$1</f>
        <v>0</v>
      </c>
      <c r="AH167" s="44"/>
      <c r="AI167" s="13"/>
      <c r="AJ167" s="157" cm="1">
        <f t="array" ref="AJ167">SUM(Table3[[#This Row],[Inactive Hours (Other than client standby)]:[Standby Total Hours]]*$AI164)</f>
        <v>0</v>
      </c>
      <c r="AK167" s="45"/>
      <c r="AL167" s="23"/>
      <c r="AM167" s="25" t="str">
        <f t="shared" si="78"/>
        <v/>
      </c>
      <c r="AN167" s="396">
        <f t="shared" si="79"/>
        <v>0</v>
      </c>
      <c r="AO167" s="53"/>
      <c r="AP167" s="398"/>
      <c r="AQ167" s="401">
        <f t="shared" si="80"/>
        <v>0</v>
      </c>
      <c r="AR167" s="298"/>
      <c r="AS167" s="18">
        <f>SUM($AQ$6:AQ167)</f>
        <v>424427.97999999992</v>
      </c>
      <c r="AT167" t="str">
        <f t="shared" si="81"/>
        <v>09</v>
      </c>
      <c r="AU167">
        <f t="shared" si="82"/>
        <v>24</v>
      </c>
      <c r="AV167" t="str">
        <f t="shared" si="83"/>
        <v>N</v>
      </c>
    </row>
    <row r="168" spans="1:48">
      <c r="A168" s="152" t="str">
        <f t="shared" si="74"/>
        <v/>
      </c>
      <c r="B168" s="152"/>
      <c r="C168" s="1">
        <f t="shared" si="75"/>
        <v>45925.21</v>
      </c>
      <c r="D168" t="s">
        <v>171</v>
      </c>
      <c r="G168" s="4"/>
      <c r="H168" s="5" t="str">
        <f t="shared" si="77"/>
        <v/>
      </c>
      <c r="I168" s="21"/>
      <c r="J168" s="28"/>
      <c r="K168" s="28">
        <f t="shared" si="58"/>
        <v>0</v>
      </c>
      <c r="L168" s="30"/>
      <c r="M168" s="26"/>
      <c r="N168" s="31">
        <f t="shared" si="60"/>
        <v>0</v>
      </c>
      <c r="O168" s="21"/>
      <c r="P168" s="28"/>
      <c r="Q168" s="22">
        <f t="shared" si="61"/>
        <v>0</v>
      </c>
      <c r="R168" s="26"/>
      <c r="S168" s="26"/>
      <c r="T168" s="31">
        <f t="shared" si="62"/>
        <v>0</v>
      </c>
      <c r="U168" s="26">
        <f t="shared" si="72"/>
        <v>0</v>
      </c>
      <c r="V168" s="26">
        <f t="shared" si="73"/>
        <v>0</v>
      </c>
      <c r="W168" s="26">
        <f t="shared" si="63"/>
        <v>0</v>
      </c>
      <c r="X168" s="36">
        <f t="shared" si="64"/>
        <v>0</v>
      </c>
      <c r="Y168" s="389" t="str">
        <f t="shared" si="65"/>
        <v/>
      </c>
      <c r="Z168" s="38"/>
      <c r="AA168" s="38"/>
      <c r="AB168" s="38"/>
      <c r="AC168" s="38"/>
      <c r="AD168" s="157">
        <f t="shared" si="76"/>
        <v>0</v>
      </c>
      <c r="AE168" s="34"/>
      <c r="AF168" s="35"/>
      <c r="AG168" s="392">
        <f>Table3[[#This Row],[Active hours (Other than drilling)]]*$AF$1</f>
        <v>0</v>
      </c>
      <c r="AH168" s="44"/>
      <c r="AI168" s="13"/>
      <c r="AJ168" s="157" cm="1">
        <f t="array" ref="AJ168">SUM(Table3[[#This Row],[Inactive Hours (Other than client standby)]:[Standby Total Hours]]*$AI165)</f>
        <v>0</v>
      </c>
      <c r="AK168" s="45"/>
      <c r="AL168" s="23"/>
      <c r="AM168" s="25" t="str">
        <f t="shared" si="78"/>
        <v/>
      </c>
      <c r="AN168" s="396">
        <f t="shared" si="79"/>
        <v>0</v>
      </c>
      <c r="AO168" s="53"/>
      <c r="AP168" s="398"/>
      <c r="AQ168" s="401">
        <f t="shared" si="80"/>
        <v>0</v>
      </c>
      <c r="AR168" s="298"/>
      <c r="AS168" s="18">
        <f>SUM($AQ$6:AQ168)</f>
        <v>424427.97999999992</v>
      </c>
      <c r="AT168" t="str">
        <f t="shared" si="81"/>
        <v>09</v>
      </c>
      <c r="AU168">
        <f t="shared" si="82"/>
        <v>25</v>
      </c>
      <c r="AV168" t="str">
        <f t="shared" si="83"/>
        <v>D</v>
      </c>
    </row>
    <row r="169" spans="1:48">
      <c r="A169" s="152" t="str">
        <f t="shared" si="74"/>
        <v/>
      </c>
      <c r="B169" s="152"/>
      <c r="C169" s="1">
        <f t="shared" si="75"/>
        <v>45925.71</v>
      </c>
      <c r="D169" t="s">
        <v>172</v>
      </c>
      <c r="G169" s="4"/>
      <c r="H169" s="5" t="str">
        <f t="shared" si="77"/>
        <v/>
      </c>
      <c r="I169" s="21"/>
      <c r="J169" s="28"/>
      <c r="K169" s="28">
        <f t="shared" si="58"/>
        <v>0</v>
      </c>
      <c r="L169" s="30"/>
      <c r="M169" s="26"/>
      <c r="N169" s="31">
        <f t="shared" si="60"/>
        <v>0</v>
      </c>
      <c r="O169" s="21"/>
      <c r="P169" s="28"/>
      <c r="Q169" s="22">
        <f t="shared" si="61"/>
        <v>0</v>
      </c>
      <c r="R169" s="26"/>
      <c r="S169" s="26"/>
      <c r="T169" s="31">
        <f t="shared" si="62"/>
        <v>0</v>
      </c>
      <c r="U169" s="26">
        <f t="shared" si="72"/>
        <v>0</v>
      </c>
      <c r="V169" s="26">
        <f t="shared" si="73"/>
        <v>0</v>
      </c>
      <c r="W169" s="26">
        <f t="shared" si="63"/>
        <v>0</v>
      </c>
      <c r="X169" s="36">
        <f t="shared" si="64"/>
        <v>0</v>
      </c>
      <c r="Y169" s="389" t="str">
        <f t="shared" si="65"/>
        <v/>
      </c>
      <c r="Z169" s="38"/>
      <c r="AA169" s="38"/>
      <c r="AB169" s="38"/>
      <c r="AC169" s="38"/>
      <c r="AD169" s="157">
        <f t="shared" si="76"/>
        <v>0</v>
      </c>
      <c r="AE169" s="34"/>
      <c r="AF169" s="35"/>
      <c r="AG169" s="392">
        <f>Table3[[#This Row],[Active hours (Other than drilling)]]*$AF$1</f>
        <v>0</v>
      </c>
      <c r="AH169" s="44"/>
      <c r="AI169" s="13"/>
      <c r="AJ169" s="157" cm="1">
        <f t="array" ref="AJ169">SUM(Table3[[#This Row],[Inactive Hours (Other than client standby)]:[Standby Total Hours]]*$AI166)</f>
        <v>0</v>
      </c>
      <c r="AK169" s="45"/>
      <c r="AL169" s="23"/>
      <c r="AM169" s="25" t="str">
        <f t="shared" si="78"/>
        <v/>
      </c>
      <c r="AN169" s="396">
        <f t="shared" si="79"/>
        <v>0</v>
      </c>
      <c r="AO169" s="53"/>
      <c r="AP169" s="398"/>
      <c r="AQ169" s="401">
        <f t="shared" si="80"/>
        <v>0</v>
      </c>
      <c r="AR169" s="298"/>
      <c r="AS169" s="18">
        <f>SUM($AQ$6:AQ169)</f>
        <v>424427.97999999992</v>
      </c>
      <c r="AT169" t="str">
        <f t="shared" si="81"/>
        <v>09</v>
      </c>
      <c r="AU169">
        <f t="shared" si="82"/>
        <v>25</v>
      </c>
      <c r="AV169" t="str">
        <f t="shared" si="83"/>
        <v>N</v>
      </c>
    </row>
    <row r="170" spans="1:48">
      <c r="A170" s="152" t="str">
        <f t="shared" si="74"/>
        <v/>
      </c>
      <c r="B170" s="152"/>
      <c r="C170" s="1">
        <f t="shared" si="75"/>
        <v>45926.21</v>
      </c>
      <c r="D170" t="s">
        <v>171</v>
      </c>
      <c r="G170" s="4"/>
      <c r="H170" s="5" t="str">
        <f t="shared" si="77"/>
        <v/>
      </c>
      <c r="I170" s="21"/>
      <c r="J170" s="28"/>
      <c r="K170" s="28">
        <f t="shared" si="58"/>
        <v>0</v>
      </c>
      <c r="L170" s="30"/>
      <c r="M170" s="26"/>
      <c r="N170" s="31">
        <f t="shared" si="60"/>
        <v>0</v>
      </c>
      <c r="O170" s="21"/>
      <c r="P170" s="28"/>
      <c r="Q170" s="22">
        <f t="shared" si="61"/>
        <v>0</v>
      </c>
      <c r="R170" s="26"/>
      <c r="S170" s="26"/>
      <c r="T170" s="31">
        <f t="shared" si="62"/>
        <v>0</v>
      </c>
      <c r="U170" s="26">
        <f t="shared" si="72"/>
        <v>0</v>
      </c>
      <c r="V170" s="26">
        <f t="shared" si="73"/>
        <v>0</v>
      </c>
      <c r="W170" s="26">
        <f t="shared" si="63"/>
        <v>0</v>
      </c>
      <c r="X170" s="36">
        <f t="shared" si="64"/>
        <v>0</v>
      </c>
      <c r="Y170" s="389" t="str">
        <f t="shared" si="65"/>
        <v/>
      </c>
      <c r="Z170" s="38"/>
      <c r="AA170" s="38"/>
      <c r="AB170" s="38"/>
      <c r="AC170" s="38"/>
      <c r="AD170" s="157">
        <f t="shared" si="76"/>
        <v>0</v>
      </c>
      <c r="AE170" s="34"/>
      <c r="AF170" s="35"/>
      <c r="AG170" s="392">
        <f>Table3[[#This Row],[Active hours (Other than drilling)]]*$AF$1</f>
        <v>0</v>
      </c>
      <c r="AH170" s="44"/>
      <c r="AI170" s="13"/>
      <c r="AJ170" s="157" cm="1">
        <f t="array" ref="AJ170">SUM(Table3[[#This Row],[Inactive Hours (Other than client standby)]:[Standby Total Hours]]*$AI167)</f>
        <v>0</v>
      </c>
      <c r="AK170" s="45"/>
      <c r="AL170" s="23"/>
      <c r="AM170" s="25" t="str">
        <f t="shared" si="78"/>
        <v/>
      </c>
      <c r="AN170" s="396">
        <f t="shared" si="79"/>
        <v>0</v>
      </c>
      <c r="AO170" s="53"/>
      <c r="AP170" s="398"/>
      <c r="AQ170" s="401">
        <f t="shared" si="80"/>
        <v>0</v>
      </c>
      <c r="AR170" s="298"/>
      <c r="AS170" s="18">
        <f>SUM($AQ$6:AQ170)</f>
        <v>424427.97999999992</v>
      </c>
      <c r="AT170" t="str">
        <f t="shared" si="81"/>
        <v>09</v>
      </c>
      <c r="AU170">
        <f t="shared" si="82"/>
        <v>26</v>
      </c>
      <c r="AV170" t="str">
        <f t="shared" si="83"/>
        <v>D</v>
      </c>
    </row>
    <row r="171" spans="1:48">
      <c r="A171" s="152" t="str">
        <f t="shared" si="74"/>
        <v/>
      </c>
      <c r="B171" s="152"/>
      <c r="C171" s="1">
        <f t="shared" si="75"/>
        <v>45926.71</v>
      </c>
      <c r="D171" t="s">
        <v>172</v>
      </c>
      <c r="G171" s="4"/>
      <c r="H171" s="5" t="str">
        <f t="shared" si="77"/>
        <v/>
      </c>
      <c r="I171" s="21"/>
      <c r="J171" s="28"/>
      <c r="K171" s="28">
        <f t="shared" si="58"/>
        <v>0</v>
      </c>
      <c r="L171" s="30"/>
      <c r="M171" s="26"/>
      <c r="N171" s="31">
        <f t="shared" si="60"/>
        <v>0</v>
      </c>
      <c r="O171" s="21"/>
      <c r="P171" s="28"/>
      <c r="Q171" s="22">
        <f t="shared" si="61"/>
        <v>0</v>
      </c>
      <c r="R171" s="26"/>
      <c r="S171" s="26"/>
      <c r="T171" s="31">
        <f t="shared" si="62"/>
        <v>0</v>
      </c>
      <c r="U171" s="26">
        <f t="shared" si="72"/>
        <v>0</v>
      </c>
      <c r="V171" s="26">
        <f t="shared" si="73"/>
        <v>0</v>
      </c>
      <c r="W171" s="26">
        <f t="shared" si="63"/>
        <v>0</v>
      </c>
      <c r="X171" s="36">
        <f t="shared" si="64"/>
        <v>0</v>
      </c>
      <c r="Y171" s="389" t="str">
        <f t="shared" si="65"/>
        <v/>
      </c>
      <c r="Z171" s="38"/>
      <c r="AA171" s="38"/>
      <c r="AB171" s="38"/>
      <c r="AC171" s="38"/>
      <c r="AD171" s="157">
        <f t="shared" si="76"/>
        <v>0</v>
      </c>
      <c r="AE171" s="34"/>
      <c r="AF171" s="35"/>
      <c r="AG171" s="392">
        <f>Table3[[#This Row],[Active hours (Other than drilling)]]*$AF$1</f>
        <v>0</v>
      </c>
      <c r="AH171" s="44"/>
      <c r="AI171" s="13"/>
      <c r="AJ171" s="157" cm="1">
        <f t="array" ref="AJ171">SUM(Table3[[#This Row],[Inactive Hours (Other than client standby)]:[Standby Total Hours]]*$AI168)</f>
        <v>0</v>
      </c>
      <c r="AK171" s="45"/>
      <c r="AL171" s="23"/>
      <c r="AM171" s="25" t="str">
        <f t="shared" si="78"/>
        <v/>
      </c>
      <c r="AN171" s="396">
        <f t="shared" si="79"/>
        <v>0</v>
      </c>
      <c r="AO171" s="53"/>
      <c r="AP171" s="398"/>
      <c r="AQ171" s="401">
        <f t="shared" si="80"/>
        <v>0</v>
      </c>
      <c r="AR171" s="298"/>
      <c r="AS171" s="18">
        <f>SUM($AQ$6:AQ171)</f>
        <v>424427.97999999992</v>
      </c>
      <c r="AT171" t="str">
        <f t="shared" si="81"/>
        <v>09</v>
      </c>
      <c r="AU171">
        <f t="shared" si="82"/>
        <v>26</v>
      </c>
      <c r="AV171" t="str">
        <f t="shared" si="83"/>
        <v>N</v>
      </c>
    </row>
    <row r="172" spans="1:48">
      <c r="A172" s="152" t="str">
        <f t="shared" si="74"/>
        <v/>
      </c>
      <c r="B172" s="152"/>
      <c r="C172" s="1">
        <f t="shared" si="75"/>
        <v>45927.21</v>
      </c>
      <c r="D172" t="s">
        <v>171</v>
      </c>
      <c r="G172" s="4"/>
      <c r="H172" s="5" t="str">
        <f t="shared" si="77"/>
        <v/>
      </c>
      <c r="I172" s="21"/>
      <c r="J172" s="28"/>
      <c r="K172" s="28">
        <f t="shared" ref="K172:K188" si="84">IF(ISBLANK(I172),0,J172-I172)</f>
        <v>0</v>
      </c>
      <c r="L172" s="30"/>
      <c r="M172" s="26"/>
      <c r="N172" s="31">
        <f t="shared" si="60"/>
        <v>0</v>
      </c>
      <c r="O172" s="21"/>
      <c r="P172" s="28"/>
      <c r="Q172" s="22">
        <f t="shared" si="61"/>
        <v>0</v>
      </c>
      <c r="R172" s="26"/>
      <c r="S172" s="26"/>
      <c r="T172" s="31">
        <f t="shared" si="62"/>
        <v>0</v>
      </c>
      <c r="U172" s="26">
        <f t="shared" si="72"/>
        <v>0</v>
      </c>
      <c r="V172" s="26">
        <f t="shared" si="73"/>
        <v>0</v>
      </c>
      <c r="W172" s="26">
        <f t="shared" si="63"/>
        <v>0</v>
      </c>
      <c r="X172" s="36">
        <f t="shared" si="64"/>
        <v>0</v>
      </c>
      <c r="Y172" s="389" t="str">
        <f t="shared" si="65"/>
        <v/>
      </c>
      <c r="Z172" s="38"/>
      <c r="AA172" s="38"/>
      <c r="AB172" s="38"/>
      <c r="AC172" s="38"/>
      <c r="AD172" s="157">
        <f t="shared" si="76"/>
        <v>0</v>
      </c>
      <c r="AE172" s="34"/>
      <c r="AF172" s="35"/>
      <c r="AG172" s="392">
        <f>Table3[[#This Row],[Active hours (Other than drilling)]]*$AF$1</f>
        <v>0</v>
      </c>
      <c r="AH172" s="44"/>
      <c r="AI172" s="13"/>
      <c r="AJ172" s="157" cm="1">
        <f t="array" ref="AJ172">SUM(Table3[[#This Row],[Inactive Hours (Other than client standby)]:[Standby Total Hours]]*$AI169)</f>
        <v>0</v>
      </c>
      <c r="AK172" s="45"/>
      <c r="AL172" s="23"/>
      <c r="AM172" s="25" t="str">
        <f t="shared" si="78"/>
        <v/>
      </c>
      <c r="AN172" s="396">
        <f t="shared" si="79"/>
        <v>0</v>
      </c>
      <c r="AO172" s="53"/>
      <c r="AP172" s="398"/>
      <c r="AQ172" s="401">
        <f t="shared" si="80"/>
        <v>0</v>
      </c>
      <c r="AR172" s="298"/>
      <c r="AS172" s="18">
        <f>SUM($AQ$6:AQ172)</f>
        <v>424427.97999999992</v>
      </c>
      <c r="AT172" t="str">
        <f t="shared" si="81"/>
        <v>09</v>
      </c>
      <c r="AU172">
        <f t="shared" si="82"/>
        <v>27</v>
      </c>
      <c r="AV172" t="str">
        <f t="shared" si="83"/>
        <v>D</v>
      </c>
    </row>
    <row r="173" spans="1:48">
      <c r="A173" s="152" t="str">
        <f t="shared" si="74"/>
        <v/>
      </c>
      <c r="B173" s="152"/>
      <c r="C173" s="1">
        <f t="shared" si="75"/>
        <v>45927.71</v>
      </c>
      <c r="D173" t="s">
        <v>172</v>
      </c>
      <c r="G173" s="4"/>
      <c r="H173" s="5" t="str">
        <f t="shared" si="77"/>
        <v/>
      </c>
      <c r="I173" s="21"/>
      <c r="J173" s="28"/>
      <c r="K173" s="28">
        <f t="shared" si="84"/>
        <v>0</v>
      </c>
      <c r="L173" s="30"/>
      <c r="M173" s="26"/>
      <c r="N173" s="31">
        <f t="shared" si="60"/>
        <v>0</v>
      </c>
      <c r="O173" s="21"/>
      <c r="P173" s="28"/>
      <c r="Q173" s="22">
        <f t="shared" si="61"/>
        <v>0</v>
      </c>
      <c r="R173" s="26"/>
      <c r="S173" s="26"/>
      <c r="T173" s="31">
        <f t="shared" si="62"/>
        <v>0</v>
      </c>
      <c r="U173" s="26">
        <f t="shared" si="72"/>
        <v>0</v>
      </c>
      <c r="V173" s="26">
        <f t="shared" si="73"/>
        <v>0</v>
      </c>
      <c r="W173" s="26">
        <f t="shared" si="63"/>
        <v>0</v>
      </c>
      <c r="X173" s="36">
        <f t="shared" si="64"/>
        <v>0</v>
      </c>
      <c r="Y173" s="389" t="str">
        <f t="shared" si="65"/>
        <v/>
      </c>
      <c r="Z173" s="38"/>
      <c r="AA173" s="38"/>
      <c r="AB173" s="38"/>
      <c r="AC173" s="38"/>
      <c r="AD173" s="157">
        <f t="shared" si="76"/>
        <v>0</v>
      </c>
      <c r="AE173" s="34"/>
      <c r="AF173" s="35"/>
      <c r="AG173" s="392">
        <f>Table3[[#This Row],[Active hours (Other than drilling)]]*$AF$1</f>
        <v>0</v>
      </c>
      <c r="AH173" s="44"/>
      <c r="AI173" s="13"/>
      <c r="AJ173" s="157" cm="1">
        <f t="array" ref="AJ173">SUM(Table3[[#This Row],[Inactive Hours (Other than client standby)]:[Standby Total Hours]]*$AI170)</f>
        <v>0</v>
      </c>
      <c r="AK173" s="45"/>
      <c r="AL173" s="23"/>
      <c r="AM173" s="25" t="str">
        <f t="shared" si="78"/>
        <v/>
      </c>
      <c r="AN173" s="396">
        <f t="shared" si="79"/>
        <v>0</v>
      </c>
      <c r="AO173" s="53"/>
      <c r="AP173" s="398"/>
      <c r="AQ173" s="401">
        <f t="shared" si="80"/>
        <v>0</v>
      </c>
      <c r="AR173" s="298"/>
      <c r="AS173" s="18">
        <f>SUM($AQ$6:AQ173)</f>
        <v>424427.97999999992</v>
      </c>
      <c r="AT173" t="str">
        <f t="shared" si="81"/>
        <v>09</v>
      </c>
      <c r="AU173">
        <f t="shared" si="82"/>
        <v>27</v>
      </c>
      <c r="AV173" t="str">
        <f t="shared" si="83"/>
        <v>N</v>
      </c>
    </row>
    <row r="174" spans="1:48">
      <c r="A174" s="152" t="str">
        <f t="shared" si="74"/>
        <v/>
      </c>
      <c r="B174" s="152"/>
      <c r="C174" s="1">
        <f t="shared" si="75"/>
        <v>45928.21</v>
      </c>
      <c r="D174" t="s">
        <v>171</v>
      </c>
      <c r="G174" s="4"/>
      <c r="H174" s="5" t="str">
        <f t="shared" si="77"/>
        <v/>
      </c>
      <c r="I174" s="21"/>
      <c r="J174" s="28"/>
      <c r="K174" s="28">
        <f t="shared" si="84"/>
        <v>0</v>
      </c>
      <c r="L174" s="30"/>
      <c r="M174" s="26"/>
      <c r="N174" s="31">
        <f t="shared" si="60"/>
        <v>0</v>
      </c>
      <c r="O174" s="21"/>
      <c r="P174" s="28"/>
      <c r="Q174" s="22">
        <f t="shared" si="61"/>
        <v>0</v>
      </c>
      <c r="R174" s="26"/>
      <c r="S174" s="26"/>
      <c r="T174" s="31">
        <f t="shared" si="62"/>
        <v>0</v>
      </c>
      <c r="U174" s="26">
        <f t="shared" si="72"/>
        <v>0</v>
      </c>
      <c r="V174" s="26">
        <f t="shared" si="73"/>
        <v>0</v>
      </c>
      <c r="W174" s="26">
        <f t="shared" si="63"/>
        <v>0</v>
      </c>
      <c r="X174" s="36">
        <f t="shared" si="64"/>
        <v>0</v>
      </c>
      <c r="Y174" s="389" t="str">
        <f t="shared" si="65"/>
        <v/>
      </c>
      <c r="Z174" s="38"/>
      <c r="AA174" s="38"/>
      <c r="AB174" s="38"/>
      <c r="AC174" s="38"/>
      <c r="AD174" s="157">
        <f t="shared" si="76"/>
        <v>0</v>
      </c>
      <c r="AE174" s="34"/>
      <c r="AF174" s="35"/>
      <c r="AG174" s="392">
        <f>Table3[[#This Row],[Active hours (Other than drilling)]]*$AF$1</f>
        <v>0</v>
      </c>
      <c r="AH174" s="44"/>
      <c r="AI174" s="13"/>
      <c r="AJ174" s="157" cm="1">
        <f t="array" ref="AJ174">SUM(Table3[[#This Row],[Inactive Hours (Other than client standby)]:[Standby Total Hours]]*$AI171)</f>
        <v>0</v>
      </c>
      <c r="AK174" s="45"/>
      <c r="AL174" s="23"/>
      <c r="AM174" s="25" t="str">
        <f t="shared" si="78"/>
        <v/>
      </c>
      <c r="AN174" s="396">
        <f t="shared" si="79"/>
        <v>0</v>
      </c>
      <c r="AO174" s="53"/>
      <c r="AP174" s="398"/>
      <c r="AQ174" s="401">
        <f t="shared" si="80"/>
        <v>0</v>
      </c>
      <c r="AR174" s="298"/>
      <c r="AS174" s="18">
        <f>SUM($AQ$6:AQ174)</f>
        <v>424427.97999999992</v>
      </c>
      <c r="AT174" t="str">
        <f t="shared" si="81"/>
        <v>09</v>
      </c>
      <c r="AU174">
        <f t="shared" si="82"/>
        <v>28</v>
      </c>
      <c r="AV174" t="str">
        <f t="shared" si="83"/>
        <v>D</v>
      </c>
    </row>
    <row r="175" spans="1:48">
      <c r="A175" s="152" t="str">
        <f t="shared" si="74"/>
        <v/>
      </c>
      <c r="B175" s="152"/>
      <c r="C175" s="1">
        <f t="shared" si="75"/>
        <v>45928.71</v>
      </c>
      <c r="D175" t="s">
        <v>172</v>
      </c>
      <c r="G175" s="4"/>
      <c r="H175" s="5" t="str">
        <f t="shared" si="77"/>
        <v/>
      </c>
      <c r="I175" s="21"/>
      <c r="J175" s="28"/>
      <c r="K175" s="28">
        <f t="shared" si="84"/>
        <v>0</v>
      </c>
      <c r="L175" s="30"/>
      <c r="M175" s="26"/>
      <c r="N175" s="31">
        <f t="shared" si="60"/>
        <v>0</v>
      </c>
      <c r="O175" s="21"/>
      <c r="P175" s="28"/>
      <c r="Q175" s="22">
        <f t="shared" si="61"/>
        <v>0</v>
      </c>
      <c r="R175" s="26"/>
      <c r="S175" s="26"/>
      <c r="T175" s="31">
        <f t="shared" si="62"/>
        <v>0</v>
      </c>
      <c r="U175" s="26">
        <f t="shared" si="72"/>
        <v>0</v>
      </c>
      <c r="V175" s="26">
        <f t="shared" si="73"/>
        <v>0</v>
      </c>
      <c r="W175" s="26">
        <f t="shared" si="63"/>
        <v>0</v>
      </c>
      <c r="X175" s="36">
        <f t="shared" si="64"/>
        <v>0</v>
      </c>
      <c r="Y175" s="389" t="str">
        <f t="shared" si="65"/>
        <v/>
      </c>
      <c r="Z175" s="38"/>
      <c r="AA175" s="38"/>
      <c r="AB175" s="38"/>
      <c r="AC175" s="38"/>
      <c r="AD175" s="157">
        <f t="shared" si="76"/>
        <v>0</v>
      </c>
      <c r="AE175" s="34"/>
      <c r="AF175" s="35"/>
      <c r="AG175" s="392">
        <f>Table3[[#This Row],[Active hours (Other than drilling)]]*$AF$1</f>
        <v>0</v>
      </c>
      <c r="AH175" s="44"/>
      <c r="AI175" s="13"/>
      <c r="AJ175" s="157" cm="1">
        <f t="array" ref="AJ175">SUM(Table3[[#This Row],[Inactive Hours (Other than client standby)]:[Standby Total Hours]]*$AI172)</f>
        <v>0</v>
      </c>
      <c r="AK175" s="45"/>
      <c r="AL175" s="23"/>
      <c r="AM175" s="25" t="str">
        <f t="shared" si="78"/>
        <v/>
      </c>
      <c r="AN175" s="396">
        <f t="shared" si="79"/>
        <v>0</v>
      </c>
      <c r="AO175" s="53"/>
      <c r="AP175" s="398"/>
      <c r="AQ175" s="401">
        <f t="shared" si="80"/>
        <v>0</v>
      </c>
      <c r="AR175" s="298"/>
      <c r="AS175" s="18">
        <f>SUM($AQ$6:AQ175)</f>
        <v>424427.97999999992</v>
      </c>
      <c r="AT175" t="str">
        <f t="shared" si="81"/>
        <v>09</v>
      </c>
      <c r="AU175">
        <f t="shared" si="82"/>
        <v>28</v>
      </c>
      <c r="AV175" t="str">
        <f t="shared" si="83"/>
        <v>N</v>
      </c>
    </row>
    <row r="176" spans="1:48">
      <c r="A176" s="152" t="str">
        <f t="shared" si="74"/>
        <v/>
      </c>
      <c r="B176" s="152"/>
      <c r="C176" s="1">
        <f t="shared" si="75"/>
        <v>45929.21</v>
      </c>
      <c r="D176" t="s">
        <v>171</v>
      </c>
      <c r="G176" s="4"/>
      <c r="H176" s="5" t="str">
        <f t="shared" si="77"/>
        <v/>
      </c>
      <c r="I176" s="21"/>
      <c r="J176" s="28"/>
      <c r="K176" s="28">
        <f t="shared" si="84"/>
        <v>0</v>
      </c>
      <c r="L176" s="30"/>
      <c r="M176" s="26"/>
      <c r="N176" s="31">
        <f t="shared" si="60"/>
        <v>0</v>
      </c>
      <c r="O176" s="21"/>
      <c r="P176" s="28"/>
      <c r="Q176" s="22">
        <f t="shared" si="61"/>
        <v>0</v>
      </c>
      <c r="R176" s="26"/>
      <c r="S176" s="26"/>
      <c r="T176" s="31">
        <f t="shared" si="62"/>
        <v>0</v>
      </c>
      <c r="U176" s="26">
        <f t="shared" si="72"/>
        <v>0</v>
      </c>
      <c r="V176" s="26">
        <f t="shared" si="73"/>
        <v>0</v>
      </c>
      <c r="W176" s="26">
        <f t="shared" si="63"/>
        <v>0</v>
      </c>
      <c r="X176" s="36">
        <f t="shared" si="64"/>
        <v>0</v>
      </c>
      <c r="Y176" s="389" t="str">
        <f t="shared" si="65"/>
        <v/>
      </c>
      <c r="Z176" s="38"/>
      <c r="AA176" s="38"/>
      <c r="AB176" s="38"/>
      <c r="AC176" s="38"/>
      <c r="AD176" s="157">
        <f t="shared" si="76"/>
        <v>0</v>
      </c>
      <c r="AE176" s="34"/>
      <c r="AF176" s="35"/>
      <c r="AG176" s="392">
        <f>Table3[[#This Row],[Active hours (Other than drilling)]]*$AF$1</f>
        <v>0</v>
      </c>
      <c r="AH176" s="44"/>
      <c r="AI176" s="13"/>
      <c r="AJ176" s="157" cm="1">
        <f t="array" ref="AJ176">SUM(Table3[[#This Row],[Inactive Hours (Other than client standby)]:[Standby Total Hours]]*$AI173)</f>
        <v>0</v>
      </c>
      <c r="AK176" s="45"/>
      <c r="AL176" s="23"/>
      <c r="AM176" s="25" t="str">
        <f t="shared" si="78"/>
        <v/>
      </c>
      <c r="AN176" s="396">
        <f t="shared" si="79"/>
        <v>0</v>
      </c>
      <c r="AO176" s="53"/>
      <c r="AP176" s="398"/>
      <c r="AQ176" s="401">
        <f t="shared" si="80"/>
        <v>0</v>
      </c>
      <c r="AR176" s="298"/>
      <c r="AS176" s="18">
        <f>SUM($AQ$6:AQ176)</f>
        <v>424427.97999999992</v>
      </c>
      <c r="AT176" t="str">
        <f t="shared" si="81"/>
        <v>09</v>
      </c>
      <c r="AU176">
        <f t="shared" si="82"/>
        <v>29</v>
      </c>
      <c r="AV176" t="str">
        <f t="shared" si="83"/>
        <v>D</v>
      </c>
    </row>
    <row r="177" spans="1:89">
      <c r="A177" s="152" t="str">
        <f t="shared" si="74"/>
        <v/>
      </c>
      <c r="B177" s="152"/>
      <c r="C177" s="1">
        <f t="shared" si="75"/>
        <v>45929.71</v>
      </c>
      <c r="D177" t="s">
        <v>172</v>
      </c>
      <c r="G177" s="4"/>
      <c r="H177" s="5" t="str">
        <f t="shared" si="77"/>
        <v/>
      </c>
      <c r="I177" s="21"/>
      <c r="J177" s="28"/>
      <c r="K177" s="28">
        <f t="shared" si="84"/>
        <v>0</v>
      </c>
      <c r="L177" s="30"/>
      <c r="M177" s="26"/>
      <c r="N177" s="31">
        <f t="shared" si="60"/>
        <v>0</v>
      </c>
      <c r="O177" s="21"/>
      <c r="P177" s="28"/>
      <c r="Q177" s="22">
        <f t="shared" si="61"/>
        <v>0</v>
      </c>
      <c r="R177" s="26"/>
      <c r="S177" s="26"/>
      <c r="T177" s="31">
        <f t="shared" si="62"/>
        <v>0</v>
      </c>
      <c r="U177" s="26">
        <f t="shared" si="72"/>
        <v>0</v>
      </c>
      <c r="V177" s="26">
        <f t="shared" si="73"/>
        <v>0</v>
      </c>
      <c r="W177" s="26">
        <f t="shared" si="63"/>
        <v>0</v>
      </c>
      <c r="X177" s="36">
        <f t="shared" si="64"/>
        <v>0</v>
      </c>
      <c r="Y177" s="389" t="str">
        <f t="shared" si="65"/>
        <v/>
      </c>
      <c r="Z177" s="38"/>
      <c r="AA177" s="38"/>
      <c r="AB177" s="38"/>
      <c r="AC177" s="38"/>
      <c r="AD177" s="157">
        <f t="shared" si="76"/>
        <v>0</v>
      </c>
      <c r="AE177" s="34"/>
      <c r="AF177" s="35"/>
      <c r="AG177" s="392">
        <f>Table3[[#This Row],[Active hours (Other than drilling)]]*$AF$1</f>
        <v>0</v>
      </c>
      <c r="AH177" s="44"/>
      <c r="AI177" s="13"/>
      <c r="AJ177" s="157" cm="1">
        <f t="array" ref="AJ177">SUM(Table3[[#This Row],[Inactive Hours (Other than client standby)]:[Standby Total Hours]]*$AI174)</f>
        <v>0</v>
      </c>
      <c r="AK177" s="45"/>
      <c r="AL177" s="23"/>
      <c r="AM177" s="25" t="str">
        <f t="shared" si="78"/>
        <v/>
      </c>
      <c r="AN177" s="396">
        <f t="shared" si="79"/>
        <v>0</v>
      </c>
      <c r="AO177" s="53"/>
      <c r="AP177" s="398"/>
      <c r="AQ177" s="401">
        <f t="shared" si="80"/>
        <v>0</v>
      </c>
      <c r="AR177" s="298"/>
      <c r="AS177" s="18">
        <f>SUM($AQ$6:AQ177)</f>
        <v>424427.97999999992</v>
      </c>
      <c r="AT177" t="str">
        <f t="shared" si="81"/>
        <v>09</v>
      </c>
      <c r="AU177">
        <f t="shared" si="82"/>
        <v>29</v>
      </c>
      <c r="AV177" t="str">
        <f t="shared" si="83"/>
        <v>N</v>
      </c>
    </row>
    <row r="178" spans="1:89">
      <c r="A178" s="152" t="str">
        <f t="shared" si="74"/>
        <v/>
      </c>
      <c r="B178" s="152"/>
      <c r="C178" s="1">
        <f t="shared" si="75"/>
        <v>45930.21</v>
      </c>
      <c r="D178" t="s">
        <v>171</v>
      </c>
      <c r="G178" s="4"/>
      <c r="H178" s="5" t="str">
        <f t="shared" si="77"/>
        <v/>
      </c>
      <c r="I178" s="21"/>
      <c r="J178" s="28"/>
      <c r="K178" s="28">
        <f t="shared" si="84"/>
        <v>0</v>
      </c>
      <c r="L178" s="30"/>
      <c r="M178" s="26"/>
      <c r="N178" s="31">
        <f t="shared" si="60"/>
        <v>0</v>
      </c>
      <c r="O178" s="21"/>
      <c r="P178" s="28"/>
      <c r="Q178" s="22">
        <f t="shared" si="61"/>
        <v>0</v>
      </c>
      <c r="R178" s="26"/>
      <c r="S178" s="26"/>
      <c r="T178" s="31">
        <f t="shared" si="62"/>
        <v>0</v>
      </c>
      <c r="U178" s="26">
        <f t="shared" si="72"/>
        <v>0</v>
      </c>
      <c r="V178" s="26">
        <f t="shared" si="73"/>
        <v>0</v>
      </c>
      <c r="W178" s="26">
        <f t="shared" si="63"/>
        <v>0</v>
      </c>
      <c r="X178" s="36">
        <f t="shared" si="64"/>
        <v>0</v>
      </c>
      <c r="Y178" s="389" t="str">
        <f t="shared" si="65"/>
        <v/>
      </c>
      <c r="Z178" s="38"/>
      <c r="AA178" s="38"/>
      <c r="AB178" s="38"/>
      <c r="AC178" s="38"/>
      <c r="AD178" s="157">
        <f t="shared" si="76"/>
        <v>0</v>
      </c>
      <c r="AE178" s="34"/>
      <c r="AF178" s="35"/>
      <c r="AG178" s="392">
        <f>Table3[[#This Row],[Active hours (Other than drilling)]]*$AF$1</f>
        <v>0</v>
      </c>
      <c r="AH178" s="44"/>
      <c r="AI178" s="13"/>
      <c r="AJ178" s="157" cm="1">
        <f t="array" ref="AJ178">SUM(Table3[[#This Row],[Inactive Hours (Other than client standby)]:[Standby Total Hours]]*$AI175)</f>
        <v>0</v>
      </c>
      <c r="AK178" s="45"/>
      <c r="AL178" s="23"/>
      <c r="AM178" s="25" t="str">
        <f t="shared" si="78"/>
        <v/>
      </c>
      <c r="AN178" s="396">
        <f t="shared" si="79"/>
        <v>0</v>
      </c>
      <c r="AO178" s="53"/>
      <c r="AP178" s="398"/>
      <c r="AQ178" s="401">
        <f t="shared" si="80"/>
        <v>0</v>
      </c>
      <c r="AR178" s="298"/>
      <c r="AS178" s="18">
        <f>SUM($AQ$6:AQ178)</f>
        <v>424427.97999999992</v>
      </c>
      <c r="AT178" t="str">
        <f t="shared" si="81"/>
        <v>09</v>
      </c>
      <c r="AU178">
        <f t="shared" si="82"/>
        <v>30</v>
      </c>
      <c r="AV178" t="str">
        <f t="shared" si="83"/>
        <v>D</v>
      </c>
    </row>
    <row r="179" spans="1:89">
      <c r="A179" s="152" t="str">
        <f t="shared" si="74"/>
        <v/>
      </c>
      <c r="B179" s="152"/>
      <c r="C179" s="1">
        <f t="shared" si="75"/>
        <v>45930.71</v>
      </c>
      <c r="D179" t="s">
        <v>172</v>
      </c>
      <c r="G179" s="4"/>
      <c r="H179" s="5" t="str">
        <f t="shared" si="77"/>
        <v/>
      </c>
      <c r="I179" s="21"/>
      <c r="J179" s="28"/>
      <c r="K179" s="28">
        <f t="shared" si="84"/>
        <v>0</v>
      </c>
      <c r="L179" s="30"/>
      <c r="M179" s="26"/>
      <c r="N179" s="31">
        <f t="shared" si="60"/>
        <v>0</v>
      </c>
      <c r="O179" s="21"/>
      <c r="P179" s="28"/>
      <c r="Q179" s="22">
        <f t="shared" si="61"/>
        <v>0</v>
      </c>
      <c r="R179" s="26"/>
      <c r="S179" s="26"/>
      <c r="T179" s="31">
        <f t="shared" si="62"/>
        <v>0</v>
      </c>
      <c r="U179" s="26">
        <f t="shared" si="72"/>
        <v>0</v>
      </c>
      <c r="V179" s="26">
        <f t="shared" si="73"/>
        <v>0</v>
      </c>
      <c r="W179" s="26">
        <f t="shared" si="63"/>
        <v>0</v>
      </c>
      <c r="X179" s="36">
        <f t="shared" si="64"/>
        <v>0</v>
      </c>
      <c r="Y179" s="389" t="str">
        <f t="shared" si="65"/>
        <v/>
      </c>
      <c r="Z179" s="38"/>
      <c r="AA179" s="38"/>
      <c r="AB179" s="38"/>
      <c r="AC179" s="38"/>
      <c r="AD179" s="157">
        <f t="shared" si="76"/>
        <v>0</v>
      </c>
      <c r="AE179" s="34"/>
      <c r="AF179" s="35"/>
      <c r="AG179" s="392">
        <f>Table3[[#This Row],[Active hours (Other than drilling)]]*$AF$1</f>
        <v>0</v>
      </c>
      <c r="AH179" s="44"/>
      <c r="AI179" s="13"/>
      <c r="AJ179" s="157" cm="1">
        <f t="array" ref="AJ179">SUM(Table3[[#This Row],[Inactive Hours (Other than client standby)]:[Standby Total Hours]]*$AI176)</f>
        <v>0</v>
      </c>
      <c r="AK179" s="45"/>
      <c r="AL179" s="23"/>
      <c r="AM179" s="25" t="str">
        <f t="shared" si="78"/>
        <v/>
      </c>
      <c r="AN179" s="396">
        <f t="shared" si="79"/>
        <v>0</v>
      </c>
      <c r="AO179" s="53"/>
      <c r="AP179" s="398"/>
      <c r="AQ179" s="401">
        <f t="shared" si="80"/>
        <v>0</v>
      </c>
      <c r="AR179" s="298"/>
      <c r="AS179" s="18">
        <f>SUM($AQ$6:AQ179)</f>
        <v>424427.97999999992</v>
      </c>
      <c r="AT179" t="str">
        <f t="shared" si="81"/>
        <v>09</v>
      </c>
      <c r="AU179">
        <f t="shared" si="82"/>
        <v>30</v>
      </c>
      <c r="AV179" t="str">
        <f t="shared" si="83"/>
        <v>N</v>
      </c>
    </row>
    <row r="180" spans="1:89">
      <c r="A180" s="152" t="str">
        <f t="shared" si="74"/>
        <v/>
      </c>
      <c r="B180" s="152"/>
      <c r="C180" s="1">
        <f t="shared" si="75"/>
        <v>45931.21</v>
      </c>
      <c r="D180" t="s">
        <v>171</v>
      </c>
      <c r="G180" s="4"/>
      <c r="H180" s="5" t="str">
        <f t="shared" si="77"/>
        <v/>
      </c>
      <c r="I180" s="21"/>
      <c r="J180" s="28"/>
      <c r="K180" s="28">
        <f t="shared" si="84"/>
        <v>0</v>
      </c>
      <c r="L180" s="30"/>
      <c r="M180" s="26"/>
      <c r="N180" s="31">
        <f t="shared" si="60"/>
        <v>0</v>
      </c>
      <c r="O180" s="21"/>
      <c r="P180" s="28"/>
      <c r="Q180" s="22">
        <f t="shared" si="61"/>
        <v>0</v>
      </c>
      <c r="R180" s="26"/>
      <c r="S180" s="26"/>
      <c r="T180" s="31">
        <f t="shared" si="62"/>
        <v>0</v>
      </c>
      <c r="U180" s="26">
        <f t="shared" si="72"/>
        <v>0</v>
      </c>
      <c r="V180" s="26">
        <f t="shared" si="73"/>
        <v>0</v>
      </c>
      <c r="W180" s="26">
        <f t="shared" si="63"/>
        <v>0</v>
      </c>
      <c r="X180" s="36">
        <f t="shared" si="64"/>
        <v>0</v>
      </c>
      <c r="Y180" s="389" t="str">
        <f t="shared" si="65"/>
        <v/>
      </c>
      <c r="Z180" s="38"/>
      <c r="AA180" s="38"/>
      <c r="AB180" s="38"/>
      <c r="AC180" s="38"/>
      <c r="AD180" s="157">
        <f t="shared" si="76"/>
        <v>0</v>
      </c>
      <c r="AE180" s="34"/>
      <c r="AF180" s="35"/>
      <c r="AG180" s="392">
        <f>Table3[[#This Row],[Active hours (Other than drilling)]]*$AF$1</f>
        <v>0</v>
      </c>
      <c r="AH180" s="44"/>
      <c r="AI180" s="13"/>
      <c r="AJ180" s="157" cm="1">
        <f t="array" ref="AJ180">SUM(Table3[[#This Row],[Inactive Hours (Other than client standby)]:[Standby Total Hours]]*$AI177)</f>
        <v>0</v>
      </c>
      <c r="AK180" s="45"/>
      <c r="AL180" s="23"/>
      <c r="AM180" s="25" t="str">
        <f t="shared" si="78"/>
        <v/>
      </c>
      <c r="AN180" s="396">
        <f t="shared" si="79"/>
        <v>0</v>
      </c>
      <c r="AO180" s="53"/>
      <c r="AP180" s="398"/>
      <c r="AQ180" s="401">
        <f t="shared" si="80"/>
        <v>0</v>
      </c>
      <c r="AR180" s="298"/>
      <c r="AS180" s="18">
        <f>SUM($AQ$6:AQ180)</f>
        <v>424427.97999999992</v>
      </c>
      <c r="AT180" t="str">
        <f t="shared" si="81"/>
        <v>010</v>
      </c>
      <c r="AU180">
        <f t="shared" si="82"/>
        <v>1</v>
      </c>
      <c r="AV180" t="str">
        <f t="shared" si="83"/>
        <v>D</v>
      </c>
    </row>
    <row r="181" spans="1:89">
      <c r="A181" s="152" t="str">
        <f t="shared" si="74"/>
        <v/>
      </c>
      <c r="B181" s="152"/>
      <c r="C181" s="1">
        <f t="shared" si="75"/>
        <v>45931.71</v>
      </c>
      <c r="D181" t="s">
        <v>172</v>
      </c>
      <c r="G181" s="4"/>
      <c r="H181" s="5" t="str">
        <f t="shared" si="77"/>
        <v/>
      </c>
      <c r="I181" s="21"/>
      <c r="J181" s="28"/>
      <c r="K181" s="28">
        <f t="shared" si="84"/>
        <v>0</v>
      </c>
      <c r="L181" s="30"/>
      <c r="M181" s="26"/>
      <c r="N181" s="31">
        <f t="shared" si="60"/>
        <v>0</v>
      </c>
      <c r="O181" s="21"/>
      <c r="P181" s="28"/>
      <c r="Q181" s="22">
        <f t="shared" si="61"/>
        <v>0</v>
      </c>
      <c r="R181" s="26"/>
      <c r="S181" s="26"/>
      <c r="T181" s="31">
        <f t="shared" si="62"/>
        <v>0</v>
      </c>
      <c r="U181" s="26">
        <f t="shared" si="72"/>
        <v>0</v>
      </c>
      <c r="V181" s="26">
        <f t="shared" si="73"/>
        <v>0</v>
      </c>
      <c r="W181" s="26">
        <f t="shared" si="63"/>
        <v>0</v>
      </c>
      <c r="X181" s="36">
        <f t="shared" si="64"/>
        <v>0</v>
      </c>
      <c r="Y181" s="389" t="str">
        <f t="shared" si="65"/>
        <v/>
      </c>
      <c r="Z181" s="38"/>
      <c r="AA181" s="38"/>
      <c r="AB181" s="38"/>
      <c r="AC181" s="38"/>
      <c r="AD181" s="157">
        <f t="shared" si="76"/>
        <v>0</v>
      </c>
      <c r="AE181" s="34"/>
      <c r="AF181" s="35"/>
      <c r="AG181" s="392">
        <f>Table3[[#This Row],[Active hours (Other than drilling)]]*$AF$1</f>
        <v>0</v>
      </c>
      <c r="AH181" s="44"/>
      <c r="AI181" s="13"/>
      <c r="AJ181" s="157" cm="1">
        <f t="array" ref="AJ181">SUM(Table3[[#This Row],[Inactive Hours (Other than client standby)]:[Standby Total Hours]]*$AI178)</f>
        <v>0</v>
      </c>
      <c r="AK181" s="45"/>
      <c r="AL181" s="23"/>
      <c r="AM181" s="25" t="str">
        <f t="shared" si="78"/>
        <v/>
      </c>
      <c r="AN181" s="396">
        <f t="shared" si="79"/>
        <v>0</v>
      </c>
      <c r="AO181" s="53"/>
      <c r="AP181" s="398"/>
      <c r="AQ181" s="401">
        <f t="shared" si="80"/>
        <v>0</v>
      </c>
      <c r="AR181" s="298"/>
      <c r="AS181" s="18">
        <f>SUM($AQ$6:AQ181)</f>
        <v>424427.97999999992</v>
      </c>
      <c r="AT181" t="str">
        <f t="shared" si="81"/>
        <v>010</v>
      </c>
      <c r="AU181">
        <f t="shared" si="82"/>
        <v>1</v>
      </c>
      <c r="AV181" t="str">
        <f t="shared" si="83"/>
        <v>N</v>
      </c>
    </row>
    <row r="182" spans="1:89">
      <c r="A182" s="152" t="str">
        <f t="shared" si="74"/>
        <v/>
      </c>
      <c r="B182" s="152"/>
      <c r="C182" s="1">
        <f t="shared" si="75"/>
        <v>45932.21</v>
      </c>
      <c r="D182" t="s">
        <v>171</v>
      </c>
      <c r="G182" s="4"/>
      <c r="H182" s="5" t="str">
        <f t="shared" si="77"/>
        <v/>
      </c>
      <c r="I182" s="21"/>
      <c r="J182" s="28"/>
      <c r="K182" s="28">
        <f t="shared" si="84"/>
        <v>0</v>
      </c>
      <c r="L182" s="30"/>
      <c r="M182" s="26"/>
      <c r="N182" s="31">
        <f t="shared" si="60"/>
        <v>0</v>
      </c>
      <c r="O182" s="21"/>
      <c r="P182" s="28"/>
      <c r="Q182" s="22">
        <f t="shared" si="61"/>
        <v>0</v>
      </c>
      <c r="R182" s="26"/>
      <c r="S182" s="26"/>
      <c r="T182" s="31">
        <f t="shared" si="62"/>
        <v>0</v>
      </c>
      <c r="U182" s="26">
        <f t="shared" si="72"/>
        <v>0</v>
      </c>
      <c r="V182" s="26">
        <f t="shared" si="73"/>
        <v>0</v>
      </c>
      <c r="W182" s="26">
        <f t="shared" si="63"/>
        <v>0</v>
      </c>
      <c r="X182" s="36">
        <f t="shared" si="64"/>
        <v>0</v>
      </c>
      <c r="Y182" s="389" t="str">
        <f t="shared" si="65"/>
        <v/>
      </c>
      <c r="Z182" s="38"/>
      <c r="AA182" s="38"/>
      <c r="AB182" s="38"/>
      <c r="AC182" s="38"/>
      <c r="AD182" s="157">
        <f t="shared" si="76"/>
        <v>0</v>
      </c>
      <c r="AE182" s="34"/>
      <c r="AF182" s="35"/>
      <c r="AG182" s="392">
        <f>Table3[[#This Row],[Active hours (Other than drilling)]]*$AF$1</f>
        <v>0</v>
      </c>
      <c r="AH182" s="44"/>
      <c r="AI182" s="13"/>
      <c r="AJ182" s="157" cm="1">
        <f t="array" ref="AJ182">SUM(Table3[[#This Row],[Inactive Hours (Other than client standby)]:[Standby Total Hours]]*$AI179)</f>
        <v>0</v>
      </c>
      <c r="AK182" s="45"/>
      <c r="AL182" s="23"/>
      <c r="AM182" s="25" t="str">
        <f t="shared" si="78"/>
        <v/>
      </c>
      <c r="AN182" s="396">
        <f t="shared" si="79"/>
        <v>0</v>
      </c>
      <c r="AO182" s="53"/>
      <c r="AP182" s="398"/>
      <c r="AQ182" s="401">
        <f t="shared" si="80"/>
        <v>0</v>
      </c>
      <c r="AR182" s="298"/>
      <c r="AS182" s="18">
        <f>SUM($AQ$6:AQ182)</f>
        <v>424427.97999999992</v>
      </c>
      <c r="AT182" t="str">
        <f t="shared" si="81"/>
        <v>010</v>
      </c>
      <c r="AU182">
        <f t="shared" si="82"/>
        <v>2</v>
      </c>
      <c r="AV182" t="str">
        <f t="shared" si="83"/>
        <v>D</v>
      </c>
    </row>
    <row r="183" spans="1:89">
      <c r="A183" s="152" t="str">
        <f t="shared" si="74"/>
        <v/>
      </c>
      <c r="B183" s="152"/>
      <c r="C183" s="1">
        <f t="shared" si="75"/>
        <v>45932.71</v>
      </c>
      <c r="D183" t="s">
        <v>172</v>
      </c>
      <c r="G183" s="4"/>
      <c r="H183" s="5" t="str">
        <f t="shared" si="77"/>
        <v/>
      </c>
      <c r="I183" s="21"/>
      <c r="J183" s="28"/>
      <c r="K183" s="28">
        <f t="shared" si="84"/>
        <v>0</v>
      </c>
      <c r="L183" s="30"/>
      <c r="M183" s="26"/>
      <c r="N183" s="31">
        <f t="shared" si="60"/>
        <v>0</v>
      </c>
      <c r="O183" s="21"/>
      <c r="P183" s="28"/>
      <c r="Q183" s="22">
        <f t="shared" si="61"/>
        <v>0</v>
      </c>
      <c r="R183" s="26"/>
      <c r="S183" s="26"/>
      <c r="T183" s="31">
        <f t="shared" si="62"/>
        <v>0</v>
      </c>
      <c r="U183" s="26">
        <f t="shared" si="72"/>
        <v>0</v>
      </c>
      <c r="V183" s="26">
        <f t="shared" si="73"/>
        <v>0</v>
      </c>
      <c r="W183" s="26">
        <f t="shared" si="63"/>
        <v>0</v>
      </c>
      <c r="X183" s="36">
        <f t="shared" si="64"/>
        <v>0</v>
      </c>
      <c r="Y183" s="389" t="str">
        <f t="shared" si="65"/>
        <v/>
      </c>
      <c r="Z183" s="38"/>
      <c r="AA183" s="38"/>
      <c r="AB183" s="38"/>
      <c r="AC183" s="38"/>
      <c r="AD183" s="157">
        <f t="shared" si="76"/>
        <v>0</v>
      </c>
      <c r="AE183" s="34"/>
      <c r="AF183" s="35"/>
      <c r="AG183" s="392">
        <f>Table3[[#This Row],[Active hours (Other than drilling)]]*$AF$1</f>
        <v>0</v>
      </c>
      <c r="AH183" s="44"/>
      <c r="AI183" s="13"/>
      <c r="AJ183" s="157" cm="1">
        <f t="array" ref="AJ183">SUM(Table3[[#This Row],[Inactive Hours (Other than client standby)]:[Standby Total Hours]]*$AI180)</f>
        <v>0</v>
      </c>
      <c r="AK183" s="45"/>
      <c r="AL183" s="23"/>
      <c r="AM183" s="25" t="str">
        <f t="shared" si="78"/>
        <v/>
      </c>
      <c r="AN183" s="396">
        <f t="shared" si="79"/>
        <v>0</v>
      </c>
      <c r="AO183" s="53"/>
      <c r="AP183" s="398"/>
      <c r="AQ183" s="401">
        <f t="shared" si="80"/>
        <v>0</v>
      </c>
      <c r="AR183" s="298"/>
      <c r="AS183" s="18">
        <f>SUM($AQ$6:AQ183)</f>
        <v>424427.97999999992</v>
      </c>
      <c r="AT183" t="str">
        <f t="shared" si="81"/>
        <v>010</v>
      </c>
      <c r="AU183">
        <f t="shared" si="82"/>
        <v>2</v>
      </c>
      <c r="AV183" t="str">
        <f t="shared" si="83"/>
        <v>N</v>
      </c>
    </row>
    <row r="184" spans="1:89">
      <c r="A184" s="152" t="str">
        <f t="shared" si="74"/>
        <v/>
      </c>
      <c r="B184" s="152"/>
      <c r="C184" s="1">
        <f t="shared" si="75"/>
        <v>45933.21</v>
      </c>
      <c r="D184" t="s">
        <v>171</v>
      </c>
      <c r="G184" s="4"/>
      <c r="H184" s="5" t="str">
        <f t="shared" si="77"/>
        <v/>
      </c>
      <c r="I184" s="21"/>
      <c r="J184" s="28"/>
      <c r="K184" s="28">
        <f t="shared" si="84"/>
        <v>0</v>
      </c>
      <c r="L184" s="30"/>
      <c r="M184" s="26"/>
      <c r="N184" s="31">
        <f t="shared" si="60"/>
        <v>0</v>
      </c>
      <c r="O184" s="21"/>
      <c r="P184" s="28"/>
      <c r="Q184" s="22">
        <f t="shared" si="61"/>
        <v>0</v>
      </c>
      <c r="R184" s="26"/>
      <c r="S184" s="26"/>
      <c r="T184" s="31">
        <f t="shared" si="62"/>
        <v>0</v>
      </c>
      <c r="U184" s="26">
        <f t="shared" si="72"/>
        <v>0</v>
      </c>
      <c r="V184" s="26">
        <f t="shared" si="73"/>
        <v>0</v>
      </c>
      <c r="W184" s="26">
        <f t="shared" si="63"/>
        <v>0</v>
      </c>
      <c r="X184" s="36">
        <f t="shared" si="64"/>
        <v>0</v>
      </c>
      <c r="Y184" s="389" t="str">
        <f t="shared" si="65"/>
        <v/>
      </c>
      <c r="Z184" s="38"/>
      <c r="AA184" s="38"/>
      <c r="AB184" s="38"/>
      <c r="AC184" s="38"/>
      <c r="AD184" s="157">
        <f t="shared" si="76"/>
        <v>0</v>
      </c>
      <c r="AE184" s="34"/>
      <c r="AF184" s="35"/>
      <c r="AG184" s="392">
        <f>Table3[[#This Row],[Active hours (Other than drilling)]]*$AF$1</f>
        <v>0</v>
      </c>
      <c r="AH184" s="44"/>
      <c r="AI184" s="13"/>
      <c r="AJ184" s="157" cm="1">
        <f t="array" ref="AJ184">SUM(Table3[[#This Row],[Inactive Hours (Other than client standby)]:[Standby Total Hours]]*$AI181)</f>
        <v>0</v>
      </c>
      <c r="AK184" s="45"/>
      <c r="AL184" s="23"/>
      <c r="AM184" s="25" t="str">
        <f t="shared" si="78"/>
        <v/>
      </c>
      <c r="AN184" s="396">
        <f t="shared" si="79"/>
        <v>0</v>
      </c>
      <c r="AO184" s="53"/>
      <c r="AP184" s="398"/>
      <c r="AQ184" s="401">
        <f t="shared" si="80"/>
        <v>0</v>
      </c>
      <c r="AR184" s="298"/>
      <c r="AS184" s="18">
        <f>SUM($AQ$6:AQ184)</f>
        <v>424427.97999999992</v>
      </c>
      <c r="AT184" t="str">
        <f t="shared" si="81"/>
        <v>010</v>
      </c>
      <c r="AU184">
        <f t="shared" si="82"/>
        <v>3</v>
      </c>
      <c r="AV184" t="str">
        <f t="shared" si="83"/>
        <v>D</v>
      </c>
    </row>
    <row r="185" spans="1:89">
      <c r="A185" s="152" t="str">
        <f t="shared" si="74"/>
        <v/>
      </c>
      <c r="B185" s="152"/>
      <c r="C185" s="1">
        <f t="shared" si="75"/>
        <v>45933.71</v>
      </c>
      <c r="D185" t="s">
        <v>172</v>
      </c>
      <c r="G185" s="4"/>
      <c r="H185" s="5" t="str">
        <f t="shared" si="77"/>
        <v/>
      </c>
      <c r="I185" s="21"/>
      <c r="J185" s="28"/>
      <c r="K185" s="28">
        <f t="shared" si="84"/>
        <v>0</v>
      </c>
      <c r="L185" s="30"/>
      <c r="M185" s="26"/>
      <c r="N185" s="31">
        <f t="shared" si="60"/>
        <v>0</v>
      </c>
      <c r="O185" s="21"/>
      <c r="P185" s="28"/>
      <c r="Q185" s="22">
        <f t="shared" si="61"/>
        <v>0</v>
      </c>
      <c r="R185" s="26"/>
      <c r="S185" s="26"/>
      <c r="T185" s="31">
        <f t="shared" si="62"/>
        <v>0</v>
      </c>
      <c r="U185" s="26">
        <f t="shared" si="72"/>
        <v>0</v>
      </c>
      <c r="V185" s="26">
        <f t="shared" si="73"/>
        <v>0</v>
      </c>
      <c r="W185" s="26">
        <f t="shared" si="63"/>
        <v>0</v>
      </c>
      <c r="X185" s="36">
        <f t="shared" si="64"/>
        <v>0</v>
      </c>
      <c r="Y185" s="389" t="str">
        <f t="shared" si="65"/>
        <v/>
      </c>
      <c r="Z185" s="38"/>
      <c r="AA185" s="38"/>
      <c r="AB185" s="38"/>
      <c r="AC185" s="38"/>
      <c r="AD185" s="157">
        <f t="shared" si="76"/>
        <v>0</v>
      </c>
      <c r="AE185" s="34"/>
      <c r="AF185" s="35"/>
      <c r="AG185" s="392">
        <f>Table3[[#This Row],[Active hours (Other than drilling)]]*$AF$1</f>
        <v>0</v>
      </c>
      <c r="AH185" s="44"/>
      <c r="AI185" s="13"/>
      <c r="AJ185" s="157" cm="1">
        <f t="array" ref="AJ185">SUM(Table3[[#This Row],[Inactive Hours (Other than client standby)]:[Standby Total Hours]]*$AI182)</f>
        <v>0</v>
      </c>
      <c r="AK185" s="45"/>
      <c r="AL185" s="23"/>
      <c r="AM185" s="25" t="str">
        <f t="shared" si="78"/>
        <v/>
      </c>
      <c r="AN185" s="396">
        <f t="shared" si="79"/>
        <v>0</v>
      </c>
      <c r="AO185" s="53"/>
      <c r="AP185" s="398"/>
      <c r="AQ185" s="401">
        <f t="shared" si="80"/>
        <v>0</v>
      </c>
      <c r="AR185" s="298"/>
      <c r="AS185" s="18">
        <f>SUM($AQ$6:AQ185)</f>
        <v>424427.97999999992</v>
      </c>
      <c r="AT185" t="str">
        <f t="shared" si="81"/>
        <v>010</v>
      </c>
      <c r="AU185">
        <f t="shared" si="82"/>
        <v>3</v>
      </c>
      <c r="AV185" t="str">
        <f t="shared" si="83"/>
        <v>N</v>
      </c>
    </row>
    <row r="186" spans="1:89">
      <c r="A186" s="152" t="str">
        <f t="shared" si="74"/>
        <v/>
      </c>
      <c r="B186" s="152"/>
      <c r="C186" s="1">
        <f t="shared" si="75"/>
        <v>45934.21</v>
      </c>
      <c r="D186" t="s">
        <v>171</v>
      </c>
      <c r="G186" s="4"/>
      <c r="H186" s="5" t="str">
        <f t="shared" si="77"/>
        <v/>
      </c>
      <c r="I186" s="21"/>
      <c r="J186" s="28"/>
      <c r="K186" s="28">
        <f t="shared" si="84"/>
        <v>0</v>
      </c>
      <c r="L186" s="30"/>
      <c r="M186" s="26"/>
      <c r="N186" s="31">
        <f t="shared" si="60"/>
        <v>0</v>
      </c>
      <c r="O186" s="21"/>
      <c r="P186" s="28"/>
      <c r="Q186" s="22">
        <f t="shared" si="61"/>
        <v>0</v>
      </c>
      <c r="R186" s="26"/>
      <c r="S186" s="26"/>
      <c r="T186" s="31">
        <f t="shared" si="62"/>
        <v>0</v>
      </c>
      <c r="U186" s="26">
        <f t="shared" si="72"/>
        <v>0</v>
      </c>
      <c r="V186" s="26">
        <f t="shared" si="73"/>
        <v>0</v>
      </c>
      <c r="W186" s="26">
        <f t="shared" si="63"/>
        <v>0</v>
      </c>
      <c r="X186" s="36">
        <f t="shared" si="64"/>
        <v>0</v>
      </c>
      <c r="Y186" s="389" t="str">
        <f t="shared" si="65"/>
        <v/>
      </c>
      <c r="Z186" s="38"/>
      <c r="AA186" s="38"/>
      <c r="AB186" s="38"/>
      <c r="AC186" s="38"/>
      <c r="AD186" s="157">
        <f t="shared" si="76"/>
        <v>0</v>
      </c>
      <c r="AE186" s="34"/>
      <c r="AF186" s="35"/>
      <c r="AG186" s="392">
        <f>Table3[[#This Row],[Active hours (Other than drilling)]]*$AF$1</f>
        <v>0</v>
      </c>
      <c r="AH186" s="44"/>
      <c r="AI186" s="13"/>
      <c r="AJ186" s="157" cm="1">
        <f t="array" ref="AJ186">SUM(Table3[[#This Row],[Inactive Hours (Other than client standby)]:[Standby Total Hours]]*$AI183)</f>
        <v>0</v>
      </c>
      <c r="AK186" s="45"/>
      <c r="AL186" s="23"/>
      <c r="AM186" s="25" t="str">
        <f t="shared" si="78"/>
        <v/>
      </c>
      <c r="AN186" s="396">
        <f t="shared" si="79"/>
        <v>0</v>
      </c>
      <c r="AO186" s="53"/>
      <c r="AP186" s="398"/>
      <c r="AQ186" s="401">
        <f t="shared" si="80"/>
        <v>0</v>
      </c>
      <c r="AR186" s="298"/>
      <c r="AS186" s="18">
        <f>SUM($AQ$6:AQ186)</f>
        <v>424427.97999999992</v>
      </c>
      <c r="AT186" t="str">
        <f t="shared" si="81"/>
        <v>010</v>
      </c>
      <c r="AU186">
        <f t="shared" si="82"/>
        <v>4</v>
      </c>
      <c r="AV186" t="str">
        <f t="shared" si="83"/>
        <v>D</v>
      </c>
    </row>
    <row r="187" spans="1:89">
      <c r="A187" s="152" t="str">
        <f t="shared" si="74"/>
        <v/>
      </c>
      <c r="B187" s="152"/>
      <c r="C187" s="1">
        <f t="shared" si="75"/>
        <v>45934.71</v>
      </c>
      <c r="D187" t="s">
        <v>172</v>
      </c>
      <c r="G187" s="4"/>
      <c r="H187" s="5" t="str">
        <f t="shared" si="77"/>
        <v/>
      </c>
      <c r="I187" s="21"/>
      <c r="J187" s="28"/>
      <c r="K187" s="28">
        <f t="shared" si="84"/>
        <v>0</v>
      </c>
      <c r="L187" s="30"/>
      <c r="M187" s="26"/>
      <c r="N187" s="31">
        <f t="shared" si="60"/>
        <v>0</v>
      </c>
      <c r="O187" s="21"/>
      <c r="P187" s="28"/>
      <c r="Q187" s="22">
        <f t="shared" si="61"/>
        <v>0</v>
      </c>
      <c r="R187" s="26"/>
      <c r="S187" s="26"/>
      <c r="T187" s="31">
        <f t="shared" si="62"/>
        <v>0</v>
      </c>
      <c r="U187" s="26">
        <f t="shared" si="72"/>
        <v>0</v>
      </c>
      <c r="V187" s="26">
        <f t="shared" si="73"/>
        <v>0</v>
      </c>
      <c r="W187" s="26">
        <f t="shared" si="63"/>
        <v>0</v>
      </c>
      <c r="X187" s="36">
        <f t="shared" si="64"/>
        <v>0</v>
      </c>
      <c r="Y187" s="389" t="str">
        <f t="shared" si="65"/>
        <v/>
      </c>
      <c r="Z187" s="38"/>
      <c r="AA187" s="38"/>
      <c r="AB187" s="38"/>
      <c r="AC187" s="38"/>
      <c r="AD187" s="157">
        <f t="shared" si="76"/>
        <v>0</v>
      </c>
      <c r="AE187" s="34"/>
      <c r="AF187" s="35"/>
      <c r="AG187" s="392">
        <f>Table3[[#This Row],[Active hours (Other than drilling)]]*$AF$1</f>
        <v>0</v>
      </c>
      <c r="AH187" s="44"/>
      <c r="AI187" s="13"/>
      <c r="AJ187" s="157" cm="1">
        <f t="array" ref="AJ187">SUM(Table3[[#This Row],[Inactive Hours (Other than client standby)]:[Standby Total Hours]]*$AI184)</f>
        <v>0</v>
      </c>
      <c r="AK187" s="45"/>
      <c r="AL187" s="23"/>
      <c r="AM187" s="25" t="str">
        <f t="shared" si="78"/>
        <v/>
      </c>
      <c r="AN187" s="396">
        <f t="shared" si="79"/>
        <v>0</v>
      </c>
      <c r="AO187" s="53"/>
      <c r="AP187" s="398"/>
      <c r="AQ187" s="401">
        <f t="shared" si="80"/>
        <v>0</v>
      </c>
      <c r="AR187" s="298"/>
      <c r="AS187" s="18">
        <f>SUM($AQ$6:AQ187)</f>
        <v>424427.97999999992</v>
      </c>
      <c r="AT187" t="str">
        <f t="shared" si="81"/>
        <v>010</v>
      </c>
      <c r="AU187">
        <f t="shared" si="82"/>
        <v>4</v>
      </c>
      <c r="AV187" t="str">
        <f t="shared" si="83"/>
        <v>N</v>
      </c>
    </row>
    <row r="188" spans="1:89">
      <c r="A188" s="152" t="str">
        <f t="shared" si="74"/>
        <v/>
      </c>
      <c r="B188" s="152"/>
      <c r="C188" s="1">
        <f t="shared" si="75"/>
        <v>45935.21</v>
      </c>
      <c r="D188" t="s">
        <v>171</v>
      </c>
      <c r="G188" s="4"/>
      <c r="H188" s="5" t="str">
        <f t="shared" si="77"/>
        <v/>
      </c>
      <c r="I188" s="21"/>
      <c r="J188" s="28"/>
      <c r="K188" s="28">
        <f t="shared" si="84"/>
        <v>0</v>
      </c>
      <c r="L188" s="30"/>
      <c r="M188" s="26"/>
      <c r="N188" s="31">
        <f t="shared" si="60"/>
        <v>0</v>
      </c>
      <c r="O188" s="21"/>
      <c r="P188" s="28"/>
      <c r="Q188" s="22">
        <f t="shared" si="61"/>
        <v>0</v>
      </c>
      <c r="R188" s="26"/>
      <c r="S188" s="26"/>
      <c r="T188" s="31">
        <f t="shared" si="62"/>
        <v>0</v>
      </c>
      <c r="U188" s="26">
        <f t="shared" si="72"/>
        <v>0</v>
      </c>
      <c r="V188" s="26">
        <f t="shared" si="73"/>
        <v>0</v>
      </c>
      <c r="W188" s="26">
        <f t="shared" si="63"/>
        <v>0</v>
      </c>
      <c r="X188" s="36">
        <f t="shared" si="64"/>
        <v>0</v>
      </c>
      <c r="Y188" s="389" t="str">
        <f t="shared" si="65"/>
        <v/>
      </c>
      <c r="Z188" s="38"/>
      <c r="AA188" s="38"/>
      <c r="AB188" s="38"/>
      <c r="AC188" s="38"/>
      <c r="AD188" s="157">
        <f t="shared" si="76"/>
        <v>0</v>
      </c>
      <c r="AE188" s="34"/>
      <c r="AF188" s="35"/>
      <c r="AG188" s="392">
        <f>Table3[[#This Row],[Active hours (Other than drilling)]]*$AF$1</f>
        <v>0</v>
      </c>
      <c r="AH188" s="44"/>
      <c r="AI188" s="13"/>
      <c r="AJ188" s="157" cm="1">
        <f t="array" ref="AJ188">SUM(Table3[[#This Row],[Inactive Hours (Other than client standby)]:[Standby Total Hours]]*$AI185)</f>
        <v>0</v>
      </c>
      <c r="AK188" s="45"/>
      <c r="AL188" s="23"/>
      <c r="AM188" s="25" t="str">
        <f t="shared" si="78"/>
        <v/>
      </c>
      <c r="AN188" s="396">
        <f t="shared" si="79"/>
        <v>0</v>
      </c>
      <c r="AO188" s="53"/>
      <c r="AP188" s="398"/>
      <c r="AQ188" s="401">
        <f t="shared" si="80"/>
        <v>0</v>
      </c>
      <c r="AR188" s="298"/>
      <c r="AS188" s="18">
        <f>SUM($AQ$6:AQ188)</f>
        <v>424427.97999999992</v>
      </c>
      <c r="AT188" t="str">
        <f t="shared" si="81"/>
        <v>010</v>
      </c>
      <c r="AU188">
        <f t="shared" si="82"/>
        <v>5</v>
      </c>
      <c r="AV188" t="str">
        <f t="shared" si="83"/>
        <v>D</v>
      </c>
    </row>
    <row r="189" spans="1:89">
      <c r="A189" s="152" t="str">
        <f t="shared" si="74"/>
        <v/>
      </c>
      <c r="B189" s="152"/>
      <c r="C189" s="1">
        <f t="shared" si="75"/>
        <v>45935.71</v>
      </c>
      <c r="D189" t="s">
        <v>172</v>
      </c>
      <c r="G189" s="4"/>
      <c r="H189" s="4"/>
      <c r="I189" s="21"/>
      <c r="J189" s="28"/>
      <c r="K189" s="28"/>
      <c r="L189" s="30"/>
      <c r="M189" s="26"/>
      <c r="N189" s="31"/>
      <c r="O189" s="21"/>
      <c r="P189" s="28"/>
      <c r="Q189" s="22"/>
      <c r="R189" s="26"/>
      <c r="S189" s="26"/>
      <c r="T189" s="31"/>
      <c r="U189" s="26">
        <f t="shared" si="72"/>
        <v>0</v>
      </c>
      <c r="V189" s="26">
        <f t="shared" si="73"/>
        <v>0</v>
      </c>
      <c r="W189" s="26">
        <f t="shared" si="63"/>
        <v>0</v>
      </c>
      <c r="X189" s="36">
        <f t="shared" si="64"/>
        <v>0</v>
      </c>
      <c r="Y189" s="389" t="str">
        <f t="shared" si="65"/>
        <v/>
      </c>
      <c r="Z189" s="38"/>
      <c r="AA189" s="38"/>
      <c r="AB189" s="38"/>
      <c r="AC189" s="38"/>
      <c r="AD189" s="157">
        <f t="shared" si="76"/>
        <v>0</v>
      </c>
      <c r="AE189" s="34"/>
      <c r="AF189" s="35"/>
      <c r="AG189" s="39"/>
      <c r="AH189" s="44"/>
      <c r="AI189" s="13"/>
      <c r="AK189" s="45"/>
      <c r="AL189" s="23"/>
      <c r="AM189" s="24"/>
      <c r="AO189" s="54"/>
      <c r="AP189" s="398"/>
      <c r="AR189" s="300"/>
    </row>
    <row r="190" spans="1:89">
      <c r="A190" s="152" t="str">
        <f t="shared" si="74"/>
        <v/>
      </c>
      <c r="B190" s="152"/>
      <c r="C190" s="1">
        <f t="shared" si="75"/>
        <v>45936.21</v>
      </c>
      <c r="D190" t="s">
        <v>171</v>
      </c>
      <c r="G190" s="4"/>
      <c r="H190" s="4"/>
      <c r="I190" s="21"/>
      <c r="J190" s="28"/>
      <c r="K190" s="28"/>
      <c r="L190" s="30"/>
      <c r="M190" s="26"/>
      <c r="N190" s="31"/>
      <c r="O190" s="21"/>
      <c r="P190" s="28"/>
      <c r="Q190" s="22"/>
      <c r="R190" s="26"/>
      <c r="S190" s="26"/>
      <c r="T190" s="31"/>
      <c r="U190" s="26">
        <f t="shared" si="72"/>
        <v>0</v>
      </c>
      <c r="V190" s="26">
        <f t="shared" si="73"/>
        <v>0</v>
      </c>
      <c r="W190" s="26">
        <f t="shared" si="63"/>
        <v>0</v>
      </c>
      <c r="X190" s="36">
        <f t="shared" si="64"/>
        <v>0</v>
      </c>
      <c r="Y190" s="389" t="str">
        <f t="shared" si="65"/>
        <v/>
      </c>
      <c r="Z190" s="38"/>
      <c r="AA190" s="38"/>
      <c r="AB190" s="38"/>
      <c r="AC190" s="38"/>
      <c r="AD190" s="157">
        <f t="shared" si="76"/>
        <v>0</v>
      </c>
      <c r="AE190" s="34"/>
      <c r="AF190" s="35"/>
      <c r="AG190" s="39"/>
      <c r="AH190" s="44"/>
      <c r="AI190" s="13"/>
      <c r="AK190" s="45"/>
      <c r="AL190" s="23"/>
      <c r="AM190" s="24"/>
      <c r="AO190" s="54"/>
      <c r="AP190" s="398"/>
      <c r="AR190" s="300"/>
    </row>
    <row r="191" spans="1:89" s="12" customFormat="1">
      <c r="A191" s="152" t="str">
        <f t="shared" si="74"/>
        <v/>
      </c>
      <c r="B191" s="152"/>
      <c r="C191" s="1">
        <f t="shared" si="75"/>
        <v>45936.71</v>
      </c>
      <c r="D191" t="s">
        <v>172</v>
      </c>
      <c r="E191" s="7"/>
      <c r="F191"/>
      <c r="G191" s="4"/>
      <c r="H191" s="4"/>
      <c r="I191" s="21"/>
      <c r="J191" s="28"/>
      <c r="K191" s="28"/>
      <c r="L191" s="30"/>
      <c r="M191" s="26"/>
      <c r="N191" s="31"/>
      <c r="O191" s="21"/>
      <c r="P191" s="28"/>
      <c r="Q191" s="22"/>
      <c r="R191" s="26"/>
      <c r="S191" s="26"/>
      <c r="T191" s="31"/>
      <c r="U191" s="26">
        <f t="shared" si="72"/>
        <v>0</v>
      </c>
      <c r="V191" s="26">
        <f t="shared" si="73"/>
        <v>0</v>
      </c>
      <c r="W191" s="26">
        <f t="shared" si="63"/>
        <v>0</v>
      </c>
      <c r="X191" s="36">
        <f t="shared" si="64"/>
        <v>0</v>
      </c>
      <c r="Y191" s="389" t="str">
        <f t="shared" si="65"/>
        <v/>
      </c>
      <c r="Z191" s="38"/>
      <c r="AA191" s="38"/>
      <c r="AB191" s="38"/>
      <c r="AC191" s="38"/>
      <c r="AD191" s="157">
        <f t="shared" si="76"/>
        <v>0</v>
      </c>
      <c r="AE191" s="34"/>
      <c r="AF191" s="35"/>
      <c r="AG191" s="39"/>
      <c r="AH191" s="44"/>
      <c r="AI191" s="13"/>
      <c r="AJ191" s="39"/>
      <c r="AK191" s="45"/>
      <c r="AL191" s="23"/>
      <c r="AM191" s="24"/>
      <c r="AN191" s="395"/>
      <c r="AO191" s="54"/>
      <c r="AP191" s="398"/>
      <c r="AQ191" s="400"/>
      <c r="AR191" s="300"/>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row>
    <row r="192" spans="1:89" s="12" customFormat="1">
      <c r="A192" s="152" t="str">
        <f t="shared" si="74"/>
        <v/>
      </c>
      <c r="B192" s="152"/>
      <c r="C192" s="1">
        <f t="shared" si="75"/>
        <v>45937.21</v>
      </c>
      <c r="D192" t="s">
        <v>171</v>
      </c>
      <c r="E192" s="7"/>
      <c r="F192"/>
      <c r="G192" s="4"/>
      <c r="H192" s="4"/>
      <c r="I192" s="21"/>
      <c r="J192" s="28"/>
      <c r="K192" s="28"/>
      <c r="L192" s="30"/>
      <c r="M192" s="26"/>
      <c r="N192" s="31"/>
      <c r="O192" s="21"/>
      <c r="P192" s="28"/>
      <c r="Q192" s="22"/>
      <c r="R192" s="26"/>
      <c r="S192" s="26"/>
      <c r="T192" s="31"/>
      <c r="U192" s="26">
        <f t="shared" si="72"/>
        <v>0</v>
      </c>
      <c r="V192" s="26">
        <f t="shared" si="73"/>
        <v>0</v>
      </c>
      <c r="W192" s="26">
        <f t="shared" si="63"/>
        <v>0</v>
      </c>
      <c r="X192" s="36">
        <f t="shared" si="64"/>
        <v>0</v>
      </c>
      <c r="Y192" s="389" t="str">
        <f t="shared" si="65"/>
        <v/>
      </c>
      <c r="Z192" s="38"/>
      <c r="AA192" s="38"/>
      <c r="AB192" s="38"/>
      <c r="AC192" s="38"/>
      <c r="AD192" s="157">
        <f t="shared" si="76"/>
        <v>0</v>
      </c>
      <c r="AE192" s="34"/>
      <c r="AF192" s="35"/>
      <c r="AG192" s="39"/>
      <c r="AH192" s="44"/>
      <c r="AI192" s="13"/>
      <c r="AJ192" s="39"/>
      <c r="AK192" s="45"/>
      <c r="AL192" s="23"/>
      <c r="AM192" s="24"/>
      <c r="AN192" s="395"/>
      <c r="AO192" s="54"/>
      <c r="AP192" s="398"/>
      <c r="AQ192" s="400"/>
      <c r="AR192" s="300"/>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row>
    <row r="193" spans="1:89" s="12" customFormat="1">
      <c r="A193" s="152" t="str">
        <f t="shared" si="74"/>
        <v/>
      </c>
      <c r="B193" s="152"/>
      <c r="C193" s="1">
        <f t="shared" si="75"/>
        <v>45937.71</v>
      </c>
      <c r="D193" t="s">
        <v>172</v>
      </c>
      <c r="E193" s="7"/>
      <c r="F193"/>
      <c r="G193" s="4"/>
      <c r="H193" s="4"/>
      <c r="I193" s="21"/>
      <c r="J193" s="28"/>
      <c r="K193" s="28"/>
      <c r="L193" s="30"/>
      <c r="M193" s="26"/>
      <c r="N193" s="31"/>
      <c r="O193" s="21"/>
      <c r="P193" s="28"/>
      <c r="Q193" s="22"/>
      <c r="R193" s="26"/>
      <c r="S193" s="26"/>
      <c r="T193" s="31"/>
      <c r="U193" s="26">
        <f t="shared" si="72"/>
        <v>0</v>
      </c>
      <c r="V193" s="26">
        <f t="shared" si="73"/>
        <v>0</v>
      </c>
      <c r="W193" s="26">
        <f t="shared" si="63"/>
        <v>0</v>
      </c>
      <c r="X193" s="36">
        <f t="shared" si="64"/>
        <v>0</v>
      </c>
      <c r="Y193" s="389" t="str">
        <f t="shared" si="65"/>
        <v/>
      </c>
      <c r="Z193" s="38"/>
      <c r="AA193" s="38"/>
      <c r="AB193" s="38"/>
      <c r="AC193" s="38"/>
      <c r="AD193" s="157">
        <f t="shared" si="76"/>
        <v>0</v>
      </c>
      <c r="AE193" s="34"/>
      <c r="AF193" s="35"/>
      <c r="AG193" s="39"/>
      <c r="AH193" s="44"/>
      <c r="AI193" s="13"/>
      <c r="AJ193" s="39"/>
      <c r="AK193" s="45"/>
      <c r="AL193" s="23"/>
      <c r="AM193" s="24"/>
      <c r="AN193" s="395"/>
      <c r="AO193" s="54"/>
      <c r="AP193" s="398"/>
      <c r="AQ193" s="400"/>
      <c r="AR193" s="300"/>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row>
    <row r="194" spans="1:89" s="12" customFormat="1">
      <c r="A194" s="152" t="str">
        <f t="shared" si="74"/>
        <v/>
      </c>
      <c r="B194" s="152"/>
      <c r="C194" s="1">
        <f t="shared" si="75"/>
        <v>45938.21</v>
      </c>
      <c r="D194" t="s">
        <v>171</v>
      </c>
      <c r="E194" s="7"/>
      <c r="F194"/>
      <c r="G194" s="4"/>
      <c r="H194" s="4"/>
      <c r="I194" s="21"/>
      <c r="J194" s="28"/>
      <c r="K194" s="28"/>
      <c r="L194" s="30"/>
      <c r="M194" s="26"/>
      <c r="N194" s="31"/>
      <c r="O194" s="21"/>
      <c r="P194" s="28"/>
      <c r="Q194" s="22"/>
      <c r="R194" s="26"/>
      <c r="S194" s="26"/>
      <c r="T194" s="31"/>
      <c r="U194" s="26">
        <f t="shared" si="72"/>
        <v>0</v>
      </c>
      <c r="V194" s="26">
        <f t="shared" si="73"/>
        <v>0</v>
      </c>
      <c r="W194" s="26">
        <f t="shared" si="63"/>
        <v>0</v>
      </c>
      <c r="X194" s="36">
        <f t="shared" si="64"/>
        <v>0</v>
      </c>
      <c r="Y194" s="389" t="str">
        <f t="shared" si="65"/>
        <v/>
      </c>
      <c r="Z194" s="38"/>
      <c r="AA194" s="38"/>
      <c r="AB194" s="38"/>
      <c r="AC194" s="38"/>
      <c r="AD194" s="157">
        <f t="shared" si="76"/>
        <v>0</v>
      </c>
      <c r="AE194" s="34"/>
      <c r="AF194" s="35"/>
      <c r="AG194" s="39"/>
      <c r="AH194" s="44"/>
      <c r="AI194" s="13"/>
      <c r="AJ194" s="39"/>
      <c r="AK194" s="45"/>
      <c r="AL194" s="23"/>
      <c r="AM194" s="24"/>
      <c r="AN194" s="395"/>
      <c r="AO194" s="54"/>
      <c r="AP194" s="398"/>
      <c r="AQ194" s="400"/>
      <c r="AR194" s="300"/>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row>
    <row r="195" spans="1:89" s="12" customFormat="1">
      <c r="A195" s="152" t="str">
        <f t="shared" si="74"/>
        <v/>
      </c>
      <c r="B195" s="152"/>
      <c r="C195" s="1">
        <f t="shared" si="75"/>
        <v>45938.71</v>
      </c>
      <c r="D195" t="s">
        <v>172</v>
      </c>
      <c r="E195" s="7"/>
      <c r="F195"/>
      <c r="G195" s="4"/>
      <c r="H195" s="4"/>
      <c r="I195" s="21"/>
      <c r="J195" s="28"/>
      <c r="K195" s="28"/>
      <c r="L195" s="30"/>
      <c r="M195" s="26"/>
      <c r="N195" s="31"/>
      <c r="O195" s="21"/>
      <c r="P195" s="28"/>
      <c r="Q195" s="22"/>
      <c r="R195" s="26"/>
      <c r="S195" s="26"/>
      <c r="T195" s="31"/>
      <c r="U195" s="26">
        <f t="shared" si="72"/>
        <v>0</v>
      </c>
      <c r="V195" s="26">
        <f t="shared" si="73"/>
        <v>0</v>
      </c>
      <c r="W195" s="26">
        <f t="shared" si="63"/>
        <v>0</v>
      </c>
      <c r="X195" s="36">
        <f t="shared" si="64"/>
        <v>0</v>
      </c>
      <c r="Y195" s="389" t="str">
        <f t="shared" si="65"/>
        <v/>
      </c>
      <c r="Z195" s="38"/>
      <c r="AA195" s="38"/>
      <c r="AB195" s="38"/>
      <c r="AC195" s="38"/>
      <c r="AD195" s="157">
        <f t="shared" si="76"/>
        <v>0</v>
      </c>
      <c r="AE195" s="34"/>
      <c r="AF195" s="35"/>
      <c r="AG195" s="39"/>
      <c r="AH195" s="44"/>
      <c r="AI195" s="13"/>
      <c r="AJ195" s="39"/>
      <c r="AK195" s="45"/>
      <c r="AL195" s="23"/>
      <c r="AM195" s="24"/>
      <c r="AN195" s="395"/>
      <c r="AO195" s="54"/>
      <c r="AP195" s="398"/>
      <c r="AQ195" s="400"/>
      <c r="AR195" s="300"/>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row>
    <row r="196" spans="1:89" s="12" customFormat="1">
      <c r="A196" s="152" t="str">
        <f t="shared" si="74"/>
        <v/>
      </c>
      <c r="B196" s="152"/>
      <c r="C196" s="1">
        <f t="shared" si="75"/>
        <v>45939.21</v>
      </c>
      <c r="D196" t="s">
        <v>171</v>
      </c>
      <c r="E196" s="7"/>
      <c r="F196"/>
      <c r="G196" s="4"/>
      <c r="H196" s="4"/>
      <c r="I196" s="21"/>
      <c r="J196" s="28"/>
      <c r="K196" s="28"/>
      <c r="L196" s="30"/>
      <c r="M196" s="26"/>
      <c r="N196" s="31"/>
      <c r="O196" s="21"/>
      <c r="P196" s="28"/>
      <c r="Q196" s="22"/>
      <c r="R196" s="26"/>
      <c r="S196" s="26"/>
      <c r="T196" s="31"/>
      <c r="U196" s="26">
        <f t="shared" si="72"/>
        <v>0</v>
      </c>
      <c r="V196" s="26">
        <f t="shared" si="73"/>
        <v>0</v>
      </c>
      <c r="W196" s="26">
        <f t="shared" ref="W196:W240" si="85">IFERROR(K196+N196+Q196+T196,"")</f>
        <v>0</v>
      </c>
      <c r="X196" s="36">
        <f t="shared" ref="X196:X240" si="86">IFERROR((K196*$K$1)+(N196*$N$1)+(Q196*$Q$1)+(T196*$T$1),"")</f>
        <v>0</v>
      </c>
      <c r="Y196" s="389" t="str">
        <f t="shared" ref="Y196:Y240" si="87">IF(E196&lt;&gt;"",IF(X196&lt;(AE196*$AE$1),(AE196*$AE$1),X196),"")</f>
        <v/>
      </c>
      <c r="Z196" s="38"/>
      <c r="AA196" s="38"/>
      <c r="AB196" s="38"/>
      <c r="AC196" s="38"/>
      <c r="AD196" s="157">
        <f t="shared" si="76"/>
        <v>0</v>
      </c>
      <c r="AE196" s="34"/>
      <c r="AF196" s="35"/>
      <c r="AG196" s="39"/>
      <c r="AH196" s="44"/>
      <c r="AI196" s="13"/>
      <c r="AJ196" s="39"/>
      <c r="AK196" s="45"/>
      <c r="AL196" s="23"/>
      <c r="AM196" s="24"/>
      <c r="AN196" s="395"/>
      <c r="AO196" s="54"/>
      <c r="AP196" s="398"/>
      <c r="AQ196" s="400"/>
      <c r="AR196" s="300"/>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row>
    <row r="197" spans="1:89" s="12" customFormat="1">
      <c r="A197" s="152" t="str">
        <f t="shared" si="74"/>
        <v/>
      </c>
      <c r="B197" s="152"/>
      <c r="C197" s="1">
        <f t="shared" si="75"/>
        <v>45939.71</v>
      </c>
      <c r="D197" t="s">
        <v>172</v>
      </c>
      <c r="E197" s="7"/>
      <c r="F197"/>
      <c r="G197" s="4"/>
      <c r="H197" s="4"/>
      <c r="I197" s="21"/>
      <c r="J197" s="28"/>
      <c r="K197" s="28"/>
      <c r="L197" s="30"/>
      <c r="M197" s="26"/>
      <c r="N197" s="31"/>
      <c r="O197" s="21"/>
      <c r="P197" s="28"/>
      <c r="Q197" s="22"/>
      <c r="R197" s="26"/>
      <c r="S197" s="26"/>
      <c r="T197" s="31"/>
      <c r="U197" s="26">
        <f t="shared" ref="U197:U240" si="88">SUM(K197,Q197)</f>
        <v>0</v>
      </c>
      <c r="V197" s="26">
        <f t="shared" ref="V197:V240" si="89">SUM(N197,T197)</f>
        <v>0</v>
      </c>
      <c r="W197" s="26">
        <f t="shared" si="85"/>
        <v>0</v>
      </c>
      <c r="X197" s="36">
        <f t="shared" si="86"/>
        <v>0</v>
      </c>
      <c r="Y197" s="389" t="str">
        <f t="shared" si="87"/>
        <v/>
      </c>
      <c r="Z197" s="38"/>
      <c r="AA197" s="38"/>
      <c r="AB197" s="38"/>
      <c r="AC197" s="38"/>
      <c r="AD197" s="157">
        <f t="shared" si="76"/>
        <v>0</v>
      </c>
      <c r="AE197" s="34"/>
      <c r="AF197" s="35"/>
      <c r="AG197" s="39"/>
      <c r="AH197" s="44"/>
      <c r="AI197" s="13"/>
      <c r="AJ197" s="39"/>
      <c r="AK197" s="45"/>
      <c r="AL197" s="23"/>
      <c r="AM197" s="24"/>
      <c r="AN197" s="395"/>
      <c r="AO197" s="54"/>
      <c r="AP197" s="398"/>
      <c r="AQ197" s="400"/>
      <c r="AR197" s="300"/>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row>
    <row r="198" spans="1:89" s="12" customFormat="1">
      <c r="A198" s="152" t="str">
        <f t="shared" ref="A198:A240" si="90">IFERROR(IF(FIND("MET",E198),"MET",IF(FIND("GT",E198),"GT",)),"")</f>
        <v/>
      </c>
      <c r="B198" s="152"/>
      <c r="C198" s="1">
        <f t="shared" si="75"/>
        <v>45940.21</v>
      </c>
      <c r="D198" t="s">
        <v>171</v>
      </c>
      <c r="E198" s="7"/>
      <c r="F198"/>
      <c r="G198" s="4"/>
      <c r="H198" s="4"/>
      <c r="I198" s="21"/>
      <c r="J198" s="28"/>
      <c r="K198" s="28"/>
      <c r="L198" s="30"/>
      <c r="M198" s="26"/>
      <c r="N198" s="31"/>
      <c r="O198" s="21"/>
      <c r="P198" s="28"/>
      <c r="Q198" s="22"/>
      <c r="R198" s="26"/>
      <c r="S198" s="26"/>
      <c r="T198" s="31"/>
      <c r="U198" s="26">
        <f t="shared" si="88"/>
        <v>0</v>
      </c>
      <c r="V198" s="26">
        <f t="shared" si="89"/>
        <v>0</v>
      </c>
      <c r="W198" s="26">
        <f t="shared" si="85"/>
        <v>0</v>
      </c>
      <c r="X198" s="36">
        <f t="shared" si="86"/>
        <v>0</v>
      </c>
      <c r="Y198" s="389" t="str">
        <f t="shared" si="87"/>
        <v/>
      </c>
      <c r="Z198" s="38"/>
      <c r="AA198" s="38"/>
      <c r="AB198" s="38"/>
      <c r="AC198" s="38"/>
      <c r="AD198" s="157">
        <f t="shared" si="76"/>
        <v>0</v>
      </c>
      <c r="AE198" s="34"/>
      <c r="AF198" s="35"/>
      <c r="AG198" s="39"/>
      <c r="AH198" s="44"/>
      <c r="AI198" s="13"/>
      <c r="AJ198" s="39"/>
      <c r="AK198" s="45"/>
      <c r="AL198" s="23"/>
      <c r="AM198" s="24"/>
      <c r="AN198" s="395"/>
      <c r="AO198" s="54"/>
      <c r="AP198" s="398"/>
      <c r="AQ198" s="400"/>
      <c r="AR198" s="300"/>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row>
    <row r="199" spans="1:89" s="12" customFormat="1">
      <c r="A199" s="152" t="str">
        <f t="shared" si="90"/>
        <v/>
      </c>
      <c r="B199" s="152"/>
      <c r="C199" s="1">
        <f t="shared" si="75"/>
        <v>45940.71</v>
      </c>
      <c r="D199" t="s">
        <v>172</v>
      </c>
      <c r="E199" s="7"/>
      <c r="F199"/>
      <c r="G199" s="4"/>
      <c r="H199" s="4"/>
      <c r="I199" s="21"/>
      <c r="J199" s="28"/>
      <c r="K199" s="28"/>
      <c r="L199" s="30"/>
      <c r="M199" s="26"/>
      <c r="N199" s="31"/>
      <c r="O199" s="21"/>
      <c r="P199" s="28"/>
      <c r="Q199" s="22"/>
      <c r="R199" s="26"/>
      <c r="S199" s="26"/>
      <c r="T199" s="31"/>
      <c r="U199" s="26">
        <f t="shared" si="88"/>
        <v>0</v>
      </c>
      <c r="V199" s="26">
        <f t="shared" si="89"/>
        <v>0</v>
      </c>
      <c r="W199" s="26">
        <f t="shared" si="85"/>
        <v>0</v>
      </c>
      <c r="X199" s="36">
        <f t="shared" si="86"/>
        <v>0</v>
      </c>
      <c r="Y199" s="389" t="str">
        <f t="shared" si="87"/>
        <v/>
      </c>
      <c r="Z199" s="38"/>
      <c r="AA199" s="38"/>
      <c r="AB199" s="38"/>
      <c r="AC199" s="38"/>
      <c r="AD199" s="157">
        <f t="shared" si="76"/>
        <v>0</v>
      </c>
      <c r="AE199" s="34"/>
      <c r="AF199" s="35"/>
      <c r="AG199" s="39"/>
      <c r="AH199" s="44"/>
      <c r="AI199" s="13"/>
      <c r="AJ199" s="39"/>
      <c r="AK199" s="45"/>
      <c r="AL199" s="23"/>
      <c r="AM199" s="24"/>
      <c r="AN199" s="395"/>
      <c r="AO199" s="54"/>
      <c r="AP199" s="398"/>
      <c r="AQ199" s="400"/>
      <c r="AR199" s="300"/>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row>
    <row r="200" spans="1:89" s="12" customFormat="1">
      <c r="A200" s="152" t="str">
        <f t="shared" si="90"/>
        <v/>
      </c>
      <c r="B200" s="152"/>
      <c r="C200" s="1">
        <f t="shared" ref="C200:C239" si="91">C198+1</f>
        <v>45941.21</v>
      </c>
      <c r="D200" t="s">
        <v>171</v>
      </c>
      <c r="E200" s="7"/>
      <c r="F200"/>
      <c r="G200" s="4"/>
      <c r="H200" s="4"/>
      <c r="I200" s="21"/>
      <c r="J200" s="28"/>
      <c r="K200" s="28"/>
      <c r="L200" s="30"/>
      <c r="M200" s="26"/>
      <c r="N200" s="31"/>
      <c r="O200" s="21"/>
      <c r="P200" s="28"/>
      <c r="Q200" s="22"/>
      <c r="R200" s="26"/>
      <c r="S200" s="26"/>
      <c r="T200" s="31"/>
      <c r="U200" s="26">
        <f t="shared" si="88"/>
        <v>0</v>
      </c>
      <c r="V200" s="26">
        <f t="shared" si="89"/>
        <v>0</v>
      </c>
      <c r="W200" s="26">
        <f t="shared" si="85"/>
        <v>0</v>
      </c>
      <c r="X200" s="36">
        <f t="shared" si="86"/>
        <v>0</v>
      </c>
      <c r="Y200" s="389" t="str">
        <f t="shared" si="87"/>
        <v/>
      </c>
      <c r="Z200" s="38"/>
      <c r="AA200" s="38"/>
      <c r="AB200" s="38"/>
      <c r="AC200" s="38"/>
      <c r="AD200" s="157">
        <f t="shared" si="76"/>
        <v>0</v>
      </c>
      <c r="AE200" s="34"/>
      <c r="AF200" s="35"/>
      <c r="AG200" s="39"/>
      <c r="AH200" s="44"/>
      <c r="AI200" s="13"/>
      <c r="AJ200" s="39"/>
      <c r="AK200" s="45"/>
      <c r="AL200" s="23"/>
      <c r="AM200" s="24"/>
      <c r="AN200" s="395"/>
      <c r="AO200" s="54"/>
      <c r="AP200" s="398"/>
      <c r="AQ200" s="400"/>
      <c r="AR200" s="3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row>
    <row r="201" spans="1:89" s="12" customFormat="1">
      <c r="A201" s="152" t="str">
        <f t="shared" si="90"/>
        <v/>
      </c>
      <c r="B201" s="152"/>
      <c r="C201" s="1">
        <f t="shared" si="91"/>
        <v>45941.71</v>
      </c>
      <c r="D201" t="s">
        <v>172</v>
      </c>
      <c r="E201" s="7"/>
      <c r="F201"/>
      <c r="G201" s="4"/>
      <c r="H201" s="4"/>
      <c r="I201" s="21"/>
      <c r="J201" s="28"/>
      <c r="K201" s="28"/>
      <c r="L201" s="30"/>
      <c r="M201" s="26"/>
      <c r="N201" s="31"/>
      <c r="O201" s="21"/>
      <c r="P201" s="28"/>
      <c r="Q201" s="22"/>
      <c r="R201" s="26"/>
      <c r="S201" s="26"/>
      <c r="T201" s="31"/>
      <c r="U201" s="26">
        <f t="shared" si="88"/>
        <v>0</v>
      </c>
      <c r="V201" s="26">
        <f t="shared" si="89"/>
        <v>0</v>
      </c>
      <c r="W201" s="26">
        <f t="shared" si="85"/>
        <v>0</v>
      </c>
      <c r="X201" s="36">
        <f t="shared" si="86"/>
        <v>0</v>
      </c>
      <c r="Y201" s="389" t="str">
        <f t="shared" si="87"/>
        <v/>
      </c>
      <c r="Z201" s="38"/>
      <c r="AA201" s="38"/>
      <c r="AB201" s="38"/>
      <c r="AC201" s="38"/>
      <c r="AD201" s="157">
        <f t="shared" ref="AD201:AD240" si="92">SUMPRODUCT(Z201:AB201,$Z$1:$AB$1)</f>
        <v>0</v>
      </c>
      <c r="AE201" s="34"/>
      <c r="AF201" s="35"/>
      <c r="AG201" s="39"/>
      <c r="AH201" s="44"/>
      <c r="AI201" s="13"/>
      <c r="AJ201" s="39"/>
      <c r="AK201" s="45"/>
      <c r="AL201" s="23"/>
      <c r="AM201" s="24"/>
      <c r="AN201" s="395"/>
      <c r="AO201" s="54"/>
      <c r="AP201" s="398"/>
      <c r="AQ201" s="400"/>
      <c r="AR201" s="300"/>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row>
    <row r="202" spans="1:89" s="12" customFormat="1">
      <c r="A202" s="152" t="str">
        <f t="shared" si="90"/>
        <v/>
      </c>
      <c r="B202" s="152"/>
      <c r="C202" s="1">
        <f t="shared" si="91"/>
        <v>45942.21</v>
      </c>
      <c r="D202" t="s">
        <v>171</v>
      </c>
      <c r="E202" s="7"/>
      <c r="F202"/>
      <c r="G202" s="4"/>
      <c r="H202" s="4"/>
      <c r="I202" s="21"/>
      <c r="J202" s="28"/>
      <c r="K202" s="28"/>
      <c r="L202" s="30"/>
      <c r="M202" s="26"/>
      <c r="N202" s="31"/>
      <c r="O202" s="21"/>
      <c r="P202" s="28"/>
      <c r="Q202" s="22"/>
      <c r="R202" s="26"/>
      <c r="S202" s="26"/>
      <c r="T202" s="31"/>
      <c r="U202" s="26">
        <f t="shared" si="88"/>
        <v>0</v>
      </c>
      <c r="V202" s="26">
        <f t="shared" si="89"/>
        <v>0</v>
      </c>
      <c r="W202" s="26">
        <f t="shared" si="85"/>
        <v>0</v>
      </c>
      <c r="X202" s="36">
        <f t="shared" si="86"/>
        <v>0</v>
      </c>
      <c r="Y202" s="389" t="str">
        <f t="shared" si="87"/>
        <v/>
      </c>
      <c r="Z202" s="38"/>
      <c r="AA202" s="38"/>
      <c r="AB202" s="38"/>
      <c r="AC202" s="38"/>
      <c r="AD202" s="157">
        <f t="shared" si="92"/>
        <v>0</v>
      </c>
      <c r="AE202" s="34"/>
      <c r="AF202" s="35"/>
      <c r="AG202" s="39"/>
      <c r="AH202" s="44"/>
      <c r="AI202" s="13"/>
      <c r="AJ202" s="39"/>
      <c r="AK202" s="45"/>
      <c r="AL202" s="23"/>
      <c r="AM202" s="24"/>
      <c r="AN202" s="395"/>
      <c r="AO202" s="54"/>
      <c r="AP202" s="398"/>
      <c r="AQ202" s="400"/>
      <c r="AR202" s="300"/>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row>
    <row r="203" spans="1:89" s="12" customFormat="1">
      <c r="A203" s="152" t="str">
        <f t="shared" si="90"/>
        <v/>
      </c>
      <c r="B203" s="152"/>
      <c r="C203" s="1">
        <f t="shared" si="91"/>
        <v>45942.71</v>
      </c>
      <c r="D203" t="s">
        <v>172</v>
      </c>
      <c r="E203" s="7"/>
      <c r="F203"/>
      <c r="G203" s="4"/>
      <c r="H203" s="4"/>
      <c r="I203" s="21"/>
      <c r="J203" s="28"/>
      <c r="K203" s="28"/>
      <c r="L203" s="30"/>
      <c r="M203" s="26"/>
      <c r="N203" s="31"/>
      <c r="O203" s="21"/>
      <c r="P203" s="28"/>
      <c r="Q203" s="22"/>
      <c r="R203" s="26"/>
      <c r="S203" s="26"/>
      <c r="T203" s="31"/>
      <c r="U203" s="26">
        <f t="shared" si="88"/>
        <v>0</v>
      </c>
      <c r="V203" s="26">
        <f t="shared" si="89"/>
        <v>0</v>
      </c>
      <c r="W203" s="26">
        <f t="shared" si="85"/>
        <v>0</v>
      </c>
      <c r="X203" s="36">
        <f t="shared" si="86"/>
        <v>0</v>
      </c>
      <c r="Y203" s="389" t="str">
        <f t="shared" si="87"/>
        <v/>
      </c>
      <c r="Z203" s="38"/>
      <c r="AA203" s="38"/>
      <c r="AB203" s="38"/>
      <c r="AC203" s="38"/>
      <c r="AD203" s="157">
        <f t="shared" si="92"/>
        <v>0</v>
      </c>
      <c r="AE203" s="34"/>
      <c r="AF203" s="35"/>
      <c r="AG203" s="39"/>
      <c r="AH203" s="44"/>
      <c r="AI203" s="13"/>
      <c r="AJ203" s="39"/>
      <c r="AK203" s="45"/>
      <c r="AL203" s="23"/>
      <c r="AM203" s="24"/>
      <c r="AN203" s="395"/>
      <c r="AO203" s="54"/>
      <c r="AP203" s="398"/>
      <c r="AQ203" s="400"/>
      <c r="AR203" s="300"/>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row>
    <row r="204" spans="1:89" s="12" customFormat="1">
      <c r="A204" s="152" t="str">
        <f t="shared" si="90"/>
        <v/>
      </c>
      <c r="B204" s="152"/>
      <c r="C204" s="1">
        <f t="shared" si="91"/>
        <v>45943.21</v>
      </c>
      <c r="D204" t="s">
        <v>171</v>
      </c>
      <c r="E204" s="7"/>
      <c r="F204"/>
      <c r="G204" s="4"/>
      <c r="H204" s="4"/>
      <c r="I204" s="21"/>
      <c r="J204" s="28"/>
      <c r="K204" s="28"/>
      <c r="L204" s="30"/>
      <c r="M204" s="26"/>
      <c r="N204" s="31"/>
      <c r="O204" s="21"/>
      <c r="P204" s="28"/>
      <c r="Q204" s="22"/>
      <c r="R204" s="26"/>
      <c r="S204" s="26"/>
      <c r="T204" s="31"/>
      <c r="U204" s="26">
        <f t="shared" si="88"/>
        <v>0</v>
      </c>
      <c r="V204" s="26">
        <f t="shared" si="89"/>
        <v>0</v>
      </c>
      <c r="W204" s="26">
        <f t="shared" si="85"/>
        <v>0</v>
      </c>
      <c r="X204" s="36">
        <f t="shared" si="86"/>
        <v>0</v>
      </c>
      <c r="Y204" s="389" t="str">
        <f t="shared" si="87"/>
        <v/>
      </c>
      <c r="Z204" s="38"/>
      <c r="AA204" s="38"/>
      <c r="AB204" s="38"/>
      <c r="AC204" s="38"/>
      <c r="AD204" s="157">
        <f t="shared" si="92"/>
        <v>0</v>
      </c>
      <c r="AE204" s="34"/>
      <c r="AF204" s="35"/>
      <c r="AG204" s="39"/>
      <c r="AH204" s="44"/>
      <c r="AI204" s="13"/>
      <c r="AJ204" s="39"/>
      <c r="AK204" s="45"/>
      <c r="AL204" s="23"/>
      <c r="AM204" s="24"/>
      <c r="AN204" s="395"/>
      <c r="AO204" s="54"/>
      <c r="AP204" s="398"/>
      <c r="AQ204" s="400"/>
      <c r="AR204" s="300"/>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row>
    <row r="205" spans="1:89" s="12" customFormat="1">
      <c r="A205" s="152" t="str">
        <f t="shared" si="90"/>
        <v/>
      </c>
      <c r="B205" s="152"/>
      <c r="C205" s="1">
        <f t="shared" si="91"/>
        <v>45943.71</v>
      </c>
      <c r="D205" t="s">
        <v>172</v>
      </c>
      <c r="E205" s="7"/>
      <c r="F205"/>
      <c r="G205" s="4"/>
      <c r="H205" s="4"/>
      <c r="I205" s="21"/>
      <c r="J205" s="28"/>
      <c r="K205" s="28"/>
      <c r="L205" s="30"/>
      <c r="M205" s="26"/>
      <c r="N205" s="31"/>
      <c r="O205" s="21"/>
      <c r="P205" s="28"/>
      <c r="Q205" s="22"/>
      <c r="R205" s="26"/>
      <c r="S205" s="26"/>
      <c r="T205" s="31"/>
      <c r="U205" s="26">
        <f t="shared" si="88"/>
        <v>0</v>
      </c>
      <c r="V205" s="26">
        <f t="shared" si="89"/>
        <v>0</v>
      </c>
      <c r="W205" s="26">
        <f t="shared" si="85"/>
        <v>0</v>
      </c>
      <c r="X205" s="36">
        <f t="shared" si="86"/>
        <v>0</v>
      </c>
      <c r="Y205" s="389" t="str">
        <f t="shared" si="87"/>
        <v/>
      </c>
      <c r="Z205" s="38"/>
      <c r="AA205" s="38"/>
      <c r="AB205" s="38"/>
      <c r="AC205" s="38"/>
      <c r="AD205" s="157">
        <f t="shared" si="92"/>
        <v>0</v>
      </c>
      <c r="AE205" s="34"/>
      <c r="AF205" s="35"/>
      <c r="AG205" s="39"/>
      <c r="AH205" s="44"/>
      <c r="AI205" s="13"/>
      <c r="AJ205" s="39"/>
      <c r="AK205" s="45"/>
      <c r="AL205" s="23"/>
      <c r="AM205" s="24"/>
      <c r="AN205" s="395"/>
      <c r="AO205" s="54"/>
      <c r="AP205" s="398"/>
      <c r="AQ205" s="400"/>
      <c r="AR205" s="300"/>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row>
    <row r="206" spans="1:89" s="12" customFormat="1">
      <c r="A206" s="152" t="str">
        <f t="shared" si="90"/>
        <v/>
      </c>
      <c r="B206" s="152"/>
      <c r="C206" s="1">
        <f t="shared" si="91"/>
        <v>45944.21</v>
      </c>
      <c r="D206" t="s">
        <v>171</v>
      </c>
      <c r="E206" s="7"/>
      <c r="F206"/>
      <c r="G206" s="4"/>
      <c r="H206" s="4"/>
      <c r="I206" s="21"/>
      <c r="J206" s="28"/>
      <c r="K206" s="28"/>
      <c r="L206" s="30"/>
      <c r="M206" s="26"/>
      <c r="N206" s="31"/>
      <c r="O206" s="21"/>
      <c r="P206" s="28"/>
      <c r="Q206" s="22"/>
      <c r="R206" s="26"/>
      <c r="S206" s="26"/>
      <c r="T206" s="31"/>
      <c r="U206" s="26">
        <f t="shared" si="88"/>
        <v>0</v>
      </c>
      <c r="V206" s="26">
        <f t="shared" si="89"/>
        <v>0</v>
      </c>
      <c r="W206" s="26">
        <f t="shared" si="85"/>
        <v>0</v>
      </c>
      <c r="X206" s="36">
        <f t="shared" si="86"/>
        <v>0</v>
      </c>
      <c r="Y206" s="389" t="str">
        <f t="shared" si="87"/>
        <v/>
      </c>
      <c r="Z206" s="38"/>
      <c r="AA206" s="38"/>
      <c r="AB206" s="38"/>
      <c r="AC206" s="38"/>
      <c r="AD206" s="157">
        <f t="shared" si="92"/>
        <v>0</v>
      </c>
      <c r="AE206" s="34"/>
      <c r="AF206" s="35"/>
      <c r="AG206" s="39"/>
      <c r="AH206" s="44"/>
      <c r="AI206" s="13"/>
      <c r="AJ206" s="39"/>
      <c r="AK206" s="45"/>
      <c r="AL206" s="23"/>
      <c r="AM206" s="24"/>
      <c r="AN206" s="395"/>
      <c r="AO206" s="54"/>
      <c r="AP206" s="398"/>
      <c r="AQ206" s="400"/>
      <c r="AR206" s="300"/>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row>
    <row r="207" spans="1:89" s="12" customFormat="1">
      <c r="A207" s="152" t="str">
        <f t="shared" si="90"/>
        <v/>
      </c>
      <c r="B207" s="152"/>
      <c r="C207" s="1">
        <f t="shared" si="91"/>
        <v>45944.71</v>
      </c>
      <c r="D207" t="s">
        <v>172</v>
      </c>
      <c r="E207" s="7"/>
      <c r="F207"/>
      <c r="G207" s="4"/>
      <c r="H207" s="4"/>
      <c r="I207" s="21"/>
      <c r="J207" s="28"/>
      <c r="K207" s="28"/>
      <c r="L207" s="30"/>
      <c r="M207" s="26"/>
      <c r="N207" s="31"/>
      <c r="O207" s="21"/>
      <c r="P207" s="28"/>
      <c r="Q207" s="22"/>
      <c r="R207" s="26"/>
      <c r="S207" s="26"/>
      <c r="T207" s="31"/>
      <c r="U207" s="26">
        <f t="shared" si="88"/>
        <v>0</v>
      </c>
      <c r="V207" s="26">
        <f t="shared" si="89"/>
        <v>0</v>
      </c>
      <c r="W207" s="26">
        <f t="shared" si="85"/>
        <v>0</v>
      </c>
      <c r="X207" s="36">
        <f t="shared" si="86"/>
        <v>0</v>
      </c>
      <c r="Y207" s="389" t="str">
        <f t="shared" si="87"/>
        <v/>
      </c>
      <c r="Z207" s="38"/>
      <c r="AA207" s="38"/>
      <c r="AB207" s="38"/>
      <c r="AC207" s="38"/>
      <c r="AD207" s="157">
        <f t="shared" si="92"/>
        <v>0</v>
      </c>
      <c r="AE207" s="34"/>
      <c r="AF207" s="35"/>
      <c r="AG207" s="39"/>
      <c r="AH207" s="44"/>
      <c r="AI207" s="13"/>
      <c r="AJ207" s="39"/>
      <c r="AK207" s="45"/>
      <c r="AL207" s="23"/>
      <c r="AM207" s="24"/>
      <c r="AN207" s="395"/>
      <c r="AO207" s="54"/>
      <c r="AP207" s="398"/>
      <c r="AQ207" s="400"/>
      <c r="AR207" s="300"/>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row>
    <row r="208" spans="1:89" s="12" customFormat="1">
      <c r="A208" s="152" t="str">
        <f t="shared" si="90"/>
        <v/>
      </c>
      <c r="B208" s="152"/>
      <c r="C208" s="1">
        <f t="shared" si="91"/>
        <v>45945.21</v>
      </c>
      <c r="D208" t="s">
        <v>171</v>
      </c>
      <c r="E208" s="7"/>
      <c r="F208"/>
      <c r="G208" s="4"/>
      <c r="H208" s="4"/>
      <c r="I208" s="21"/>
      <c r="J208" s="28"/>
      <c r="K208" s="28"/>
      <c r="L208" s="30"/>
      <c r="M208" s="26"/>
      <c r="N208" s="31"/>
      <c r="O208" s="21"/>
      <c r="P208" s="28"/>
      <c r="Q208" s="22"/>
      <c r="R208" s="26"/>
      <c r="S208" s="26"/>
      <c r="T208" s="31"/>
      <c r="U208" s="26">
        <f t="shared" si="88"/>
        <v>0</v>
      </c>
      <c r="V208" s="26">
        <f t="shared" si="89"/>
        <v>0</v>
      </c>
      <c r="W208" s="26">
        <f t="shared" si="85"/>
        <v>0</v>
      </c>
      <c r="X208" s="36">
        <f t="shared" si="86"/>
        <v>0</v>
      </c>
      <c r="Y208" s="389" t="str">
        <f t="shared" si="87"/>
        <v/>
      </c>
      <c r="Z208" s="38"/>
      <c r="AA208" s="38"/>
      <c r="AB208" s="38"/>
      <c r="AC208" s="38"/>
      <c r="AD208" s="157">
        <f t="shared" si="92"/>
        <v>0</v>
      </c>
      <c r="AE208" s="34"/>
      <c r="AF208" s="35"/>
      <c r="AG208" s="39"/>
      <c r="AH208" s="44"/>
      <c r="AI208" s="13"/>
      <c r="AJ208" s="39"/>
      <c r="AK208" s="45"/>
      <c r="AL208" s="23"/>
      <c r="AM208" s="24"/>
      <c r="AN208" s="395"/>
      <c r="AO208" s="54"/>
      <c r="AP208" s="398"/>
      <c r="AQ208" s="400"/>
      <c r="AR208" s="300"/>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row>
    <row r="209" spans="1:89" s="12" customFormat="1">
      <c r="A209" s="152" t="str">
        <f t="shared" si="90"/>
        <v/>
      </c>
      <c r="B209" s="152"/>
      <c r="C209" s="1">
        <f t="shared" si="91"/>
        <v>45945.71</v>
      </c>
      <c r="D209" t="s">
        <v>172</v>
      </c>
      <c r="E209" s="7"/>
      <c r="F209"/>
      <c r="G209" s="4"/>
      <c r="H209" s="4"/>
      <c r="I209" s="21"/>
      <c r="J209" s="28"/>
      <c r="K209" s="28"/>
      <c r="L209" s="30"/>
      <c r="M209" s="26"/>
      <c r="N209" s="31"/>
      <c r="O209" s="21"/>
      <c r="P209" s="28"/>
      <c r="Q209" s="22"/>
      <c r="R209" s="26"/>
      <c r="S209" s="26"/>
      <c r="T209" s="31"/>
      <c r="U209" s="26">
        <f t="shared" si="88"/>
        <v>0</v>
      </c>
      <c r="V209" s="26">
        <f t="shared" si="89"/>
        <v>0</v>
      </c>
      <c r="W209" s="26">
        <f t="shared" si="85"/>
        <v>0</v>
      </c>
      <c r="X209" s="36">
        <f t="shared" si="86"/>
        <v>0</v>
      </c>
      <c r="Y209" s="389" t="str">
        <f t="shared" si="87"/>
        <v/>
      </c>
      <c r="Z209" s="38"/>
      <c r="AA209" s="38"/>
      <c r="AB209" s="38"/>
      <c r="AC209" s="38"/>
      <c r="AD209" s="157">
        <f t="shared" si="92"/>
        <v>0</v>
      </c>
      <c r="AE209" s="34"/>
      <c r="AF209" s="35"/>
      <c r="AG209" s="39"/>
      <c r="AH209" s="44"/>
      <c r="AI209" s="13"/>
      <c r="AJ209" s="39"/>
      <c r="AK209" s="45"/>
      <c r="AL209" s="23"/>
      <c r="AM209" s="24"/>
      <c r="AN209" s="395"/>
      <c r="AO209" s="54"/>
      <c r="AP209" s="398"/>
      <c r="AQ209" s="400"/>
      <c r="AR209" s="300"/>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row>
    <row r="210" spans="1:89" s="12" customFormat="1">
      <c r="A210" s="152" t="str">
        <f t="shared" si="90"/>
        <v/>
      </c>
      <c r="B210" s="152"/>
      <c r="C210" s="1">
        <f t="shared" si="91"/>
        <v>45946.21</v>
      </c>
      <c r="D210" t="s">
        <v>171</v>
      </c>
      <c r="E210" s="7"/>
      <c r="F210"/>
      <c r="G210" s="4"/>
      <c r="H210" s="4"/>
      <c r="I210" s="21"/>
      <c r="J210" s="28"/>
      <c r="K210" s="28"/>
      <c r="L210" s="30"/>
      <c r="M210" s="26"/>
      <c r="N210" s="31"/>
      <c r="O210" s="21"/>
      <c r="P210" s="28"/>
      <c r="Q210" s="22"/>
      <c r="R210" s="26"/>
      <c r="S210" s="26"/>
      <c r="T210" s="31"/>
      <c r="U210" s="26">
        <f t="shared" si="88"/>
        <v>0</v>
      </c>
      <c r="V210" s="26">
        <f t="shared" si="89"/>
        <v>0</v>
      </c>
      <c r="W210" s="26">
        <f t="shared" si="85"/>
        <v>0</v>
      </c>
      <c r="X210" s="36">
        <f t="shared" si="86"/>
        <v>0</v>
      </c>
      <c r="Y210" s="389" t="str">
        <f t="shared" si="87"/>
        <v/>
      </c>
      <c r="Z210" s="38"/>
      <c r="AA210" s="38"/>
      <c r="AB210" s="38"/>
      <c r="AC210" s="38"/>
      <c r="AD210" s="157">
        <f t="shared" si="92"/>
        <v>0</v>
      </c>
      <c r="AE210" s="34"/>
      <c r="AF210" s="35"/>
      <c r="AG210" s="39"/>
      <c r="AH210" s="44"/>
      <c r="AI210" s="13"/>
      <c r="AJ210" s="39"/>
      <c r="AK210" s="45"/>
      <c r="AL210" s="23"/>
      <c r="AM210" s="24"/>
      <c r="AN210" s="395"/>
      <c r="AO210" s="54"/>
      <c r="AP210" s="398"/>
      <c r="AQ210" s="400"/>
      <c r="AR210" s="30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row>
    <row r="211" spans="1:89" s="12" customFormat="1">
      <c r="A211" s="152" t="str">
        <f t="shared" si="90"/>
        <v/>
      </c>
      <c r="B211" s="152"/>
      <c r="C211" s="1">
        <f t="shared" si="91"/>
        <v>45946.71</v>
      </c>
      <c r="D211" t="s">
        <v>172</v>
      </c>
      <c r="E211" s="7"/>
      <c r="F211"/>
      <c r="G211" s="4"/>
      <c r="H211" s="4"/>
      <c r="I211" s="21"/>
      <c r="J211" s="28"/>
      <c r="K211" s="28"/>
      <c r="L211" s="30"/>
      <c r="M211" s="26"/>
      <c r="N211" s="31"/>
      <c r="O211" s="21"/>
      <c r="P211" s="28"/>
      <c r="Q211" s="22"/>
      <c r="R211" s="26"/>
      <c r="S211" s="26"/>
      <c r="T211" s="31"/>
      <c r="U211" s="26">
        <f t="shared" si="88"/>
        <v>0</v>
      </c>
      <c r="V211" s="26">
        <f t="shared" si="89"/>
        <v>0</v>
      </c>
      <c r="W211" s="26">
        <f t="shared" si="85"/>
        <v>0</v>
      </c>
      <c r="X211" s="36">
        <f t="shared" si="86"/>
        <v>0</v>
      </c>
      <c r="Y211" s="389" t="str">
        <f t="shared" si="87"/>
        <v/>
      </c>
      <c r="Z211" s="38"/>
      <c r="AA211" s="38"/>
      <c r="AB211" s="38"/>
      <c r="AC211" s="38"/>
      <c r="AD211" s="157">
        <f t="shared" si="92"/>
        <v>0</v>
      </c>
      <c r="AE211" s="34"/>
      <c r="AF211" s="35"/>
      <c r="AG211" s="39"/>
      <c r="AH211" s="44"/>
      <c r="AI211" s="13"/>
      <c r="AJ211" s="39"/>
      <c r="AK211" s="45"/>
      <c r="AL211" s="23"/>
      <c r="AM211" s="24"/>
      <c r="AN211" s="395"/>
      <c r="AO211" s="54"/>
      <c r="AP211" s="398"/>
      <c r="AQ211" s="400"/>
      <c r="AR211" s="300"/>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row>
    <row r="212" spans="1:89" s="12" customFormat="1">
      <c r="A212" s="152" t="str">
        <f t="shared" si="90"/>
        <v/>
      </c>
      <c r="B212" s="152"/>
      <c r="C212" s="1">
        <f t="shared" si="91"/>
        <v>45947.21</v>
      </c>
      <c r="D212" t="s">
        <v>171</v>
      </c>
      <c r="E212" s="7"/>
      <c r="F212"/>
      <c r="G212" s="4"/>
      <c r="H212" s="4"/>
      <c r="I212" s="21"/>
      <c r="J212" s="28"/>
      <c r="K212" s="28"/>
      <c r="L212" s="30"/>
      <c r="M212" s="26"/>
      <c r="N212" s="31"/>
      <c r="O212" s="21"/>
      <c r="P212" s="28"/>
      <c r="Q212" s="22"/>
      <c r="R212" s="26"/>
      <c r="S212" s="26"/>
      <c r="T212" s="31"/>
      <c r="U212" s="26">
        <f t="shared" si="88"/>
        <v>0</v>
      </c>
      <c r="V212" s="26">
        <f t="shared" si="89"/>
        <v>0</v>
      </c>
      <c r="W212" s="26">
        <f t="shared" si="85"/>
        <v>0</v>
      </c>
      <c r="X212" s="36">
        <f t="shared" si="86"/>
        <v>0</v>
      </c>
      <c r="Y212" s="389" t="str">
        <f t="shared" si="87"/>
        <v/>
      </c>
      <c r="Z212" s="38"/>
      <c r="AA212" s="38"/>
      <c r="AB212" s="38"/>
      <c r="AC212" s="38"/>
      <c r="AD212" s="157">
        <f t="shared" si="92"/>
        <v>0</v>
      </c>
      <c r="AE212" s="34"/>
      <c r="AF212" s="35"/>
      <c r="AG212" s="39"/>
      <c r="AH212" s="44"/>
      <c r="AI212" s="13"/>
      <c r="AJ212" s="39"/>
      <c r="AK212" s="45"/>
      <c r="AL212" s="23"/>
      <c r="AM212" s="24"/>
      <c r="AN212" s="395"/>
      <c r="AO212" s="54"/>
      <c r="AP212" s="398"/>
      <c r="AQ212" s="400"/>
      <c r="AR212" s="300"/>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row>
    <row r="213" spans="1:89" s="12" customFormat="1">
      <c r="A213" s="152" t="str">
        <f t="shared" si="90"/>
        <v/>
      </c>
      <c r="B213" s="152"/>
      <c r="C213" s="1">
        <f t="shared" si="91"/>
        <v>45947.71</v>
      </c>
      <c r="D213" t="s">
        <v>172</v>
      </c>
      <c r="E213" s="7"/>
      <c r="F213"/>
      <c r="G213" s="4"/>
      <c r="H213" s="4"/>
      <c r="I213" s="21"/>
      <c r="J213" s="28"/>
      <c r="K213" s="28"/>
      <c r="L213" s="30"/>
      <c r="M213" s="26"/>
      <c r="N213" s="31"/>
      <c r="O213" s="21"/>
      <c r="P213" s="28"/>
      <c r="Q213" s="22"/>
      <c r="R213" s="26"/>
      <c r="S213" s="26"/>
      <c r="T213" s="31"/>
      <c r="U213" s="26">
        <f t="shared" si="88"/>
        <v>0</v>
      </c>
      <c r="V213" s="26">
        <f t="shared" si="89"/>
        <v>0</v>
      </c>
      <c r="W213" s="26">
        <f t="shared" si="85"/>
        <v>0</v>
      </c>
      <c r="X213" s="36">
        <f t="shared" si="86"/>
        <v>0</v>
      </c>
      <c r="Y213" s="389" t="str">
        <f t="shared" si="87"/>
        <v/>
      </c>
      <c r="Z213" s="38"/>
      <c r="AA213" s="38"/>
      <c r="AB213" s="38"/>
      <c r="AC213" s="38"/>
      <c r="AD213" s="157">
        <f t="shared" si="92"/>
        <v>0</v>
      </c>
      <c r="AE213" s="34"/>
      <c r="AF213" s="35"/>
      <c r="AG213" s="39"/>
      <c r="AH213" s="44"/>
      <c r="AI213" s="13"/>
      <c r="AJ213" s="39"/>
      <c r="AK213" s="45"/>
      <c r="AL213" s="23"/>
      <c r="AM213" s="24"/>
      <c r="AN213" s="395"/>
      <c r="AO213" s="54"/>
      <c r="AP213" s="398"/>
      <c r="AQ213" s="400"/>
      <c r="AR213" s="300"/>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row>
    <row r="214" spans="1:89" s="12" customFormat="1">
      <c r="A214" s="152" t="str">
        <f t="shared" si="90"/>
        <v/>
      </c>
      <c r="B214" s="152"/>
      <c r="C214" s="1">
        <f t="shared" si="91"/>
        <v>45948.21</v>
      </c>
      <c r="D214" t="s">
        <v>171</v>
      </c>
      <c r="E214" s="7"/>
      <c r="F214"/>
      <c r="G214" s="4"/>
      <c r="H214" s="4"/>
      <c r="I214" s="21"/>
      <c r="J214" s="28"/>
      <c r="K214" s="28"/>
      <c r="L214" s="30"/>
      <c r="M214" s="26"/>
      <c r="N214" s="31"/>
      <c r="O214" s="21"/>
      <c r="P214" s="28"/>
      <c r="Q214" s="22"/>
      <c r="R214" s="26"/>
      <c r="S214" s="26"/>
      <c r="T214" s="31"/>
      <c r="U214" s="26">
        <f t="shared" si="88"/>
        <v>0</v>
      </c>
      <c r="V214" s="26">
        <f t="shared" si="89"/>
        <v>0</v>
      </c>
      <c r="W214" s="26">
        <f t="shared" si="85"/>
        <v>0</v>
      </c>
      <c r="X214" s="36">
        <f t="shared" si="86"/>
        <v>0</v>
      </c>
      <c r="Y214" s="389" t="str">
        <f t="shared" si="87"/>
        <v/>
      </c>
      <c r="Z214" s="38"/>
      <c r="AA214" s="38"/>
      <c r="AB214" s="38"/>
      <c r="AC214" s="38"/>
      <c r="AD214" s="157">
        <f t="shared" si="92"/>
        <v>0</v>
      </c>
      <c r="AE214" s="34"/>
      <c r="AF214" s="35"/>
      <c r="AG214" s="39"/>
      <c r="AH214" s="44"/>
      <c r="AI214" s="13"/>
      <c r="AJ214" s="39"/>
      <c r="AK214" s="45"/>
      <c r="AL214" s="23"/>
      <c r="AM214" s="24"/>
      <c r="AN214" s="395"/>
      <c r="AO214" s="54"/>
      <c r="AP214" s="398"/>
      <c r="AQ214" s="400"/>
      <c r="AR214" s="300"/>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row>
    <row r="215" spans="1:89" s="12" customFormat="1">
      <c r="A215" s="152" t="str">
        <f t="shared" si="90"/>
        <v/>
      </c>
      <c r="B215" s="152"/>
      <c r="C215" s="1">
        <f t="shared" si="91"/>
        <v>45948.71</v>
      </c>
      <c r="D215" t="s">
        <v>172</v>
      </c>
      <c r="E215" s="7"/>
      <c r="F215"/>
      <c r="G215" s="4"/>
      <c r="H215" s="4"/>
      <c r="I215" s="21"/>
      <c r="J215" s="28"/>
      <c r="K215" s="28"/>
      <c r="L215" s="30"/>
      <c r="M215" s="26"/>
      <c r="N215" s="31"/>
      <c r="O215" s="21"/>
      <c r="P215" s="28"/>
      <c r="Q215" s="22"/>
      <c r="R215" s="26"/>
      <c r="S215" s="26"/>
      <c r="T215" s="31"/>
      <c r="U215" s="26">
        <f t="shared" si="88"/>
        <v>0</v>
      </c>
      <c r="V215" s="26">
        <f t="shared" si="89"/>
        <v>0</v>
      </c>
      <c r="W215" s="26">
        <f t="shared" si="85"/>
        <v>0</v>
      </c>
      <c r="X215" s="36">
        <f t="shared" si="86"/>
        <v>0</v>
      </c>
      <c r="Y215" s="389" t="str">
        <f t="shared" si="87"/>
        <v/>
      </c>
      <c r="Z215" s="38"/>
      <c r="AA215" s="38"/>
      <c r="AB215" s="38"/>
      <c r="AC215" s="38"/>
      <c r="AD215" s="157">
        <f t="shared" si="92"/>
        <v>0</v>
      </c>
      <c r="AE215" s="34"/>
      <c r="AF215" s="35"/>
      <c r="AG215" s="39"/>
      <c r="AH215" s="44"/>
      <c r="AI215" s="13"/>
      <c r="AJ215" s="39"/>
      <c r="AK215" s="45"/>
      <c r="AL215" s="23"/>
      <c r="AM215" s="24"/>
      <c r="AN215" s="395"/>
      <c r="AO215" s="54"/>
      <c r="AP215" s="398"/>
      <c r="AQ215" s="400"/>
      <c r="AR215" s="300"/>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row>
    <row r="216" spans="1:89" s="12" customFormat="1">
      <c r="A216" s="152" t="str">
        <f t="shared" si="90"/>
        <v/>
      </c>
      <c r="B216" s="152"/>
      <c r="C216" s="1">
        <f t="shared" si="91"/>
        <v>45949.21</v>
      </c>
      <c r="D216" t="s">
        <v>171</v>
      </c>
      <c r="E216" s="7"/>
      <c r="F216"/>
      <c r="G216" s="4"/>
      <c r="H216" s="4"/>
      <c r="I216" s="21"/>
      <c r="J216" s="28"/>
      <c r="K216" s="28"/>
      <c r="L216" s="30"/>
      <c r="M216" s="26"/>
      <c r="N216" s="31"/>
      <c r="O216" s="21"/>
      <c r="P216" s="28"/>
      <c r="Q216" s="22"/>
      <c r="R216" s="26"/>
      <c r="S216" s="26"/>
      <c r="T216" s="31"/>
      <c r="U216" s="26">
        <f t="shared" si="88"/>
        <v>0</v>
      </c>
      <c r="V216" s="26">
        <f t="shared" si="89"/>
        <v>0</v>
      </c>
      <c r="W216" s="26">
        <f t="shared" si="85"/>
        <v>0</v>
      </c>
      <c r="X216" s="36">
        <f t="shared" si="86"/>
        <v>0</v>
      </c>
      <c r="Y216" s="389" t="str">
        <f t="shared" si="87"/>
        <v/>
      </c>
      <c r="Z216" s="38"/>
      <c r="AA216" s="38"/>
      <c r="AB216" s="38"/>
      <c r="AC216" s="38"/>
      <c r="AD216" s="157">
        <f t="shared" si="92"/>
        <v>0</v>
      </c>
      <c r="AE216" s="34"/>
      <c r="AF216" s="35"/>
      <c r="AG216" s="39"/>
      <c r="AH216" s="44"/>
      <c r="AI216" s="13"/>
      <c r="AJ216" s="39"/>
      <c r="AK216" s="45"/>
      <c r="AL216" s="23"/>
      <c r="AM216" s="24"/>
      <c r="AN216" s="395"/>
      <c r="AO216" s="54"/>
      <c r="AP216" s="398"/>
      <c r="AQ216" s="400"/>
      <c r="AR216" s="300"/>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row>
    <row r="217" spans="1:89" s="12" customFormat="1">
      <c r="A217" s="152" t="str">
        <f t="shared" si="90"/>
        <v/>
      </c>
      <c r="B217" s="152"/>
      <c r="C217" s="1">
        <f t="shared" si="91"/>
        <v>45949.71</v>
      </c>
      <c r="D217" t="s">
        <v>172</v>
      </c>
      <c r="E217" s="7"/>
      <c r="F217"/>
      <c r="G217" s="4"/>
      <c r="H217" s="4"/>
      <c r="I217" s="21"/>
      <c r="J217" s="28"/>
      <c r="K217" s="28"/>
      <c r="L217" s="30"/>
      <c r="M217" s="26"/>
      <c r="N217" s="31"/>
      <c r="O217" s="21"/>
      <c r="P217" s="28"/>
      <c r="Q217" s="22"/>
      <c r="R217" s="26"/>
      <c r="S217" s="26"/>
      <c r="T217" s="31"/>
      <c r="U217" s="26">
        <f t="shared" si="88"/>
        <v>0</v>
      </c>
      <c r="V217" s="26">
        <f t="shared" si="89"/>
        <v>0</v>
      </c>
      <c r="W217" s="26">
        <f t="shared" si="85"/>
        <v>0</v>
      </c>
      <c r="X217" s="36">
        <f t="shared" si="86"/>
        <v>0</v>
      </c>
      <c r="Y217" s="389" t="str">
        <f t="shared" si="87"/>
        <v/>
      </c>
      <c r="Z217" s="38"/>
      <c r="AA217" s="38"/>
      <c r="AB217" s="38"/>
      <c r="AC217" s="38"/>
      <c r="AD217" s="157">
        <f t="shared" si="92"/>
        <v>0</v>
      </c>
      <c r="AE217" s="34"/>
      <c r="AF217" s="35"/>
      <c r="AG217" s="39"/>
      <c r="AH217" s="44"/>
      <c r="AI217" s="13"/>
      <c r="AJ217" s="39"/>
      <c r="AK217" s="45"/>
      <c r="AL217" s="23"/>
      <c r="AM217" s="24"/>
      <c r="AN217" s="395"/>
      <c r="AO217" s="54"/>
      <c r="AP217" s="398"/>
      <c r="AQ217" s="400"/>
      <c r="AR217" s="300"/>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row>
    <row r="218" spans="1:89" s="12" customFormat="1">
      <c r="A218" s="152" t="str">
        <f t="shared" si="90"/>
        <v/>
      </c>
      <c r="B218" s="152"/>
      <c r="C218" s="1">
        <f t="shared" si="91"/>
        <v>45950.21</v>
      </c>
      <c r="D218" t="s">
        <v>171</v>
      </c>
      <c r="E218" s="7"/>
      <c r="F218"/>
      <c r="G218" s="4"/>
      <c r="H218" s="4"/>
      <c r="I218" s="21"/>
      <c r="J218" s="28"/>
      <c r="K218" s="28"/>
      <c r="L218" s="30"/>
      <c r="M218" s="26"/>
      <c r="N218" s="31"/>
      <c r="O218" s="21"/>
      <c r="P218" s="28"/>
      <c r="Q218" s="22"/>
      <c r="R218" s="26"/>
      <c r="S218" s="26"/>
      <c r="T218" s="31"/>
      <c r="U218" s="26">
        <f t="shared" si="88"/>
        <v>0</v>
      </c>
      <c r="V218" s="26">
        <f t="shared" si="89"/>
        <v>0</v>
      </c>
      <c r="W218" s="26">
        <f t="shared" si="85"/>
        <v>0</v>
      </c>
      <c r="X218" s="36">
        <f t="shared" si="86"/>
        <v>0</v>
      </c>
      <c r="Y218" s="389" t="str">
        <f t="shared" si="87"/>
        <v/>
      </c>
      <c r="Z218" s="38"/>
      <c r="AA218" s="38"/>
      <c r="AB218" s="38"/>
      <c r="AC218" s="38"/>
      <c r="AD218" s="157">
        <f t="shared" si="92"/>
        <v>0</v>
      </c>
      <c r="AE218" s="34"/>
      <c r="AF218" s="35"/>
      <c r="AG218" s="39"/>
      <c r="AH218" s="44"/>
      <c r="AI218" s="13"/>
      <c r="AJ218" s="39"/>
      <c r="AK218" s="45"/>
      <c r="AL218" s="23"/>
      <c r="AM218" s="24"/>
      <c r="AN218" s="395"/>
      <c r="AO218" s="54"/>
      <c r="AP218" s="398"/>
      <c r="AQ218" s="400"/>
      <c r="AR218" s="300"/>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row>
    <row r="219" spans="1:89" s="12" customFormat="1">
      <c r="A219" s="152" t="str">
        <f t="shared" si="90"/>
        <v/>
      </c>
      <c r="B219" s="152"/>
      <c r="C219" s="1">
        <f t="shared" si="91"/>
        <v>45950.71</v>
      </c>
      <c r="D219" t="s">
        <v>172</v>
      </c>
      <c r="E219" s="7"/>
      <c r="F219"/>
      <c r="G219" s="4"/>
      <c r="H219" s="4"/>
      <c r="I219" s="21"/>
      <c r="J219" s="28"/>
      <c r="K219" s="28"/>
      <c r="L219" s="30"/>
      <c r="M219" s="26"/>
      <c r="N219" s="31"/>
      <c r="O219" s="21"/>
      <c r="P219" s="28"/>
      <c r="Q219" s="22"/>
      <c r="R219" s="26"/>
      <c r="S219" s="26"/>
      <c r="T219" s="31"/>
      <c r="U219" s="26">
        <f t="shared" si="88"/>
        <v>0</v>
      </c>
      <c r="V219" s="26">
        <f t="shared" si="89"/>
        <v>0</v>
      </c>
      <c r="W219" s="26">
        <f t="shared" si="85"/>
        <v>0</v>
      </c>
      <c r="X219" s="36">
        <f t="shared" si="86"/>
        <v>0</v>
      </c>
      <c r="Y219" s="389" t="str">
        <f t="shared" si="87"/>
        <v/>
      </c>
      <c r="Z219" s="38"/>
      <c r="AA219" s="38"/>
      <c r="AB219" s="38"/>
      <c r="AC219" s="38"/>
      <c r="AD219" s="157">
        <f t="shared" si="92"/>
        <v>0</v>
      </c>
      <c r="AE219" s="34"/>
      <c r="AF219" s="35"/>
      <c r="AG219" s="39"/>
      <c r="AH219" s="44"/>
      <c r="AI219" s="13"/>
      <c r="AJ219" s="39"/>
      <c r="AK219" s="45"/>
      <c r="AL219" s="23"/>
      <c r="AM219" s="24"/>
      <c r="AN219" s="395"/>
      <c r="AO219" s="54"/>
      <c r="AP219" s="398"/>
      <c r="AQ219" s="400"/>
      <c r="AR219" s="300"/>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row>
    <row r="220" spans="1:89" s="12" customFormat="1">
      <c r="A220" s="152" t="str">
        <f t="shared" si="90"/>
        <v/>
      </c>
      <c r="B220" s="152"/>
      <c r="C220" s="1">
        <f t="shared" si="91"/>
        <v>45951.21</v>
      </c>
      <c r="D220" t="s">
        <v>171</v>
      </c>
      <c r="E220" s="7"/>
      <c r="F220"/>
      <c r="G220" s="4"/>
      <c r="H220" s="4"/>
      <c r="I220" s="21"/>
      <c r="J220" s="28"/>
      <c r="K220" s="28"/>
      <c r="L220" s="30"/>
      <c r="M220" s="26"/>
      <c r="N220" s="31"/>
      <c r="O220" s="21"/>
      <c r="P220" s="28"/>
      <c r="Q220" s="22"/>
      <c r="R220" s="26"/>
      <c r="S220" s="26"/>
      <c r="T220" s="31"/>
      <c r="U220" s="26">
        <f t="shared" si="88"/>
        <v>0</v>
      </c>
      <c r="V220" s="26">
        <f t="shared" si="89"/>
        <v>0</v>
      </c>
      <c r="W220" s="26">
        <f t="shared" si="85"/>
        <v>0</v>
      </c>
      <c r="X220" s="36">
        <f t="shared" si="86"/>
        <v>0</v>
      </c>
      <c r="Y220" s="389" t="str">
        <f t="shared" si="87"/>
        <v/>
      </c>
      <c r="Z220" s="38"/>
      <c r="AA220" s="38"/>
      <c r="AB220" s="38"/>
      <c r="AC220" s="38"/>
      <c r="AD220" s="157">
        <f t="shared" si="92"/>
        <v>0</v>
      </c>
      <c r="AE220" s="34"/>
      <c r="AF220" s="35"/>
      <c r="AG220" s="39"/>
      <c r="AH220" s="44"/>
      <c r="AI220" s="13"/>
      <c r="AJ220" s="39"/>
      <c r="AK220" s="45"/>
      <c r="AL220" s="23"/>
      <c r="AM220" s="24"/>
      <c r="AN220" s="395"/>
      <c r="AO220" s="54"/>
      <c r="AP220" s="398"/>
      <c r="AQ220" s="400"/>
      <c r="AR220" s="30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row>
    <row r="221" spans="1:89" s="12" customFormat="1">
      <c r="A221" s="152" t="str">
        <f t="shared" si="90"/>
        <v/>
      </c>
      <c r="B221" s="152"/>
      <c r="C221" s="1">
        <f t="shared" si="91"/>
        <v>45951.71</v>
      </c>
      <c r="D221" t="s">
        <v>172</v>
      </c>
      <c r="E221" s="7"/>
      <c r="F221"/>
      <c r="G221" s="4"/>
      <c r="H221" s="4"/>
      <c r="I221" s="21"/>
      <c r="J221" s="28"/>
      <c r="K221" s="28"/>
      <c r="L221" s="30"/>
      <c r="M221" s="26"/>
      <c r="N221" s="31"/>
      <c r="O221" s="21"/>
      <c r="P221" s="28"/>
      <c r="Q221" s="22"/>
      <c r="R221" s="26"/>
      <c r="S221" s="26"/>
      <c r="T221" s="31"/>
      <c r="U221" s="26">
        <f t="shared" si="88"/>
        <v>0</v>
      </c>
      <c r="V221" s="26">
        <f t="shared" si="89"/>
        <v>0</v>
      </c>
      <c r="W221" s="26">
        <f t="shared" si="85"/>
        <v>0</v>
      </c>
      <c r="X221" s="36">
        <f t="shared" si="86"/>
        <v>0</v>
      </c>
      <c r="Y221" s="389" t="str">
        <f t="shared" si="87"/>
        <v/>
      </c>
      <c r="Z221" s="38"/>
      <c r="AA221" s="38"/>
      <c r="AB221" s="38"/>
      <c r="AC221" s="38"/>
      <c r="AD221" s="157">
        <f t="shared" si="92"/>
        <v>0</v>
      </c>
      <c r="AE221" s="34"/>
      <c r="AF221" s="35"/>
      <c r="AG221" s="39"/>
      <c r="AH221" s="44"/>
      <c r="AI221" s="13"/>
      <c r="AJ221" s="39"/>
      <c r="AK221" s="45"/>
      <c r="AL221" s="23"/>
      <c r="AM221" s="24"/>
      <c r="AN221" s="395"/>
      <c r="AO221" s="54"/>
      <c r="AP221" s="398"/>
      <c r="AQ221" s="400"/>
      <c r="AR221" s="300"/>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row>
    <row r="222" spans="1:89" s="12" customFormat="1">
      <c r="A222" s="152" t="str">
        <f t="shared" si="90"/>
        <v/>
      </c>
      <c r="B222" s="152"/>
      <c r="C222" s="1">
        <f t="shared" si="91"/>
        <v>45952.21</v>
      </c>
      <c r="D222" t="s">
        <v>171</v>
      </c>
      <c r="E222" s="7"/>
      <c r="F222"/>
      <c r="G222" s="4"/>
      <c r="H222" s="4"/>
      <c r="I222" s="21"/>
      <c r="J222" s="28"/>
      <c r="K222" s="28"/>
      <c r="L222" s="30"/>
      <c r="M222" s="26"/>
      <c r="N222" s="31"/>
      <c r="O222" s="21"/>
      <c r="P222" s="28"/>
      <c r="Q222" s="22"/>
      <c r="R222" s="26"/>
      <c r="S222" s="26"/>
      <c r="T222" s="31"/>
      <c r="U222" s="26">
        <f t="shared" si="88"/>
        <v>0</v>
      </c>
      <c r="V222" s="26">
        <f t="shared" si="89"/>
        <v>0</v>
      </c>
      <c r="W222" s="26">
        <f t="shared" si="85"/>
        <v>0</v>
      </c>
      <c r="X222" s="36">
        <f t="shared" si="86"/>
        <v>0</v>
      </c>
      <c r="Y222" s="389" t="str">
        <f t="shared" si="87"/>
        <v/>
      </c>
      <c r="Z222" s="38"/>
      <c r="AA222" s="38"/>
      <c r="AB222" s="38"/>
      <c r="AC222" s="38"/>
      <c r="AD222" s="157">
        <f t="shared" si="92"/>
        <v>0</v>
      </c>
      <c r="AE222" s="34"/>
      <c r="AF222" s="35"/>
      <c r="AG222" s="39"/>
      <c r="AH222" s="44"/>
      <c r="AI222" s="13"/>
      <c r="AJ222" s="39"/>
      <c r="AK222" s="45"/>
      <c r="AL222" s="23"/>
      <c r="AM222" s="24"/>
      <c r="AN222" s="395"/>
      <c r="AO222" s="54"/>
      <c r="AP222" s="398"/>
      <c r="AQ222" s="400"/>
      <c r="AR222" s="300"/>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row>
    <row r="223" spans="1:89" s="12" customFormat="1">
      <c r="A223" s="152" t="str">
        <f t="shared" si="90"/>
        <v/>
      </c>
      <c r="B223" s="152"/>
      <c r="C223" s="1">
        <f t="shared" si="91"/>
        <v>45952.71</v>
      </c>
      <c r="D223" t="s">
        <v>172</v>
      </c>
      <c r="E223" s="7"/>
      <c r="F223"/>
      <c r="G223" s="4"/>
      <c r="H223" s="4"/>
      <c r="I223" s="21"/>
      <c r="J223" s="28"/>
      <c r="K223" s="28"/>
      <c r="L223" s="30"/>
      <c r="M223" s="26"/>
      <c r="N223" s="31"/>
      <c r="O223" s="21"/>
      <c r="P223" s="28"/>
      <c r="Q223" s="22"/>
      <c r="R223" s="26"/>
      <c r="S223" s="26"/>
      <c r="T223" s="31"/>
      <c r="U223" s="26">
        <f t="shared" si="88"/>
        <v>0</v>
      </c>
      <c r="V223" s="26">
        <f t="shared" si="89"/>
        <v>0</v>
      </c>
      <c r="W223" s="26">
        <f t="shared" si="85"/>
        <v>0</v>
      </c>
      <c r="X223" s="36">
        <f t="shared" si="86"/>
        <v>0</v>
      </c>
      <c r="Y223" s="389" t="str">
        <f t="shared" si="87"/>
        <v/>
      </c>
      <c r="Z223" s="38"/>
      <c r="AA223" s="38"/>
      <c r="AB223" s="38"/>
      <c r="AC223" s="38"/>
      <c r="AD223" s="157">
        <f t="shared" si="92"/>
        <v>0</v>
      </c>
      <c r="AE223" s="34"/>
      <c r="AF223" s="35"/>
      <c r="AG223" s="39"/>
      <c r="AH223" s="44"/>
      <c r="AI223" s="13"/>
      <c r="AJ223" s="39"/>
      <c r="AK223" s="45"/>
      <c r="AL223" s="23"/>
      <c r="AM223" s="24"/>
      <c r="AN223" s="395"/>
      <c r="AO223" s="54"/>
      <c r="AP223" s="398"/>
      <c r="AQ223" s="400"/>
      <c r="AR223" s="300"/>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row>
    <row r="224" spans="1:89" s="12" customFormat="1">
      <c r="A224" s="152" t="str">
        <f t="shared" si="90"/>
        <v/>
      </c>
      <c r="B224" s="152"/>
      <c r="C224" s="1">
        <f t="shared" si="91"/>
        <v>45953.21</v>
      </c>
      <c r="D224" t="s">
        <v>171</v>
      </c>
      <c r="E224" s="7"/>
      <c r="F224"/>
      <c r="G224" s="4"/>
      <c r="H224" s="4"/>
      <c r="I224" s="21"/>
      <c r="J224" s="28"/>
      <c r="K224" s="28"/>
      <c r="L224" s="30"/>
      <c r="M224" s="26"/>
      <c r="N224" s="31"/>
      <c r="O224" s="21"/>
      <c r="P224" s="28"/>
      <c r="Q224" s="22"/>
      <c r="R224" s="26"/>
      <c r="S224" s="26"/>
      <c r="T224" s="31"/>
      <c r="U224" s="26">
        <f t="shared" si="88"/>
        <v>0</v>
      </c>
      <c r="V224" s="26">
        <f t="shared" si="89"/>
        <v>0</v>
      </c>
      <c r="W224" s="26">
        <f t="shared" si="85"/>
        <v>0</v>
      </c>
      <c r="X224" s="36">
        <f t="shared" si="86"/>
        <v>0</v>
      </c>
      <c r="Y224" s="389" t="str">
        <f t="shared" si="87"/>
        <v/>
      </c>
      <c r="Z224" s="38"/>
      <c r="AA224" s="38"/>
      <c r="AB224" s="38"/>
      <c r="AC224" s="38"/>
      <c r="AD224" s="157">
        <f t="shared" si="92"/>
        <v>0</v>
      </c>
      <c r="AE224" s="34"/>
      <c r="AF224" s="35"/>
      <c r="AG224" s="39"/>
      <c r="AH224" s="44"/>
      <c r="AI224" s="13"/>
      <c r="AJ224" s="39"/>
      <c r="AK224" s="45"/>
      <c r="AL224" s="23"/>
      <c r="AM224" s="24"/>
      <c r="AN224" s="395"/>
      <c r="AO224" s="54"/>
      <c r="AP224" s="398"/>
      <c r="AQ224" s="400"/>
      <c r="AR224" s="300"/>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row>
    <row r="225" spans="1:89" s="12" customFormat="1">
      <c r="A225" s="152" t="str">
        <f t="shared" si="90"/>
        <v/>
      </c>
      <c r="B225" s="152"/>
      <c r="C225" s="1">
        <f t="shared" si="91"/>
        <v>45953.71</v>
      </c>
      <c r="D225" t="s">
        <v>172</v>
      </c>
      <c r="E225" s="7"/>
      <c r="F225"/>
      <c r="G225" s="4"/>
      <c r="H225" s="4"/>
      <c r="I225" s="21"/>
      <c r="J225" s="28"/>
      <c r="K225" s="28"/>
      <c r="L225" s="30"/>
      <c r="M225" s="26"/>
      <c r="N225" s="31"/>
      <c r="O225" s="21"/>
      <c r="P225" s="28"/>
      <c r="Q225" s="22"/>
      <c r="R225" s="26"/>
      <c r="S225" s="26"/>
      <c r="T225" s="31"/>
      <c r="U225" s="26">
        <f t="shared" si="88"/>
        <v>0</v>
      </c>
      <c r="V225" s="26">
        <f t="shared" si="89"/>
        <v>0</v>
      </c>
      <c r="W225" s="26">
        <f t="shared" si="85"/>
        <v>0</v>
      </c>
      <c r="X225" s="36">
        <f t="shared" si="86"/>
        <v>0</v>
      </c>
      <c r="Y225" s="389" t="str">
        <f t="shared" si="87"/>
        <v/>
      </c>
      <c r="Z225" s="38"/>
      <c r="AA225" s="38"/>
      <c r="AB225" s="38"/>
      <c r="AC225" s="38"/>
      <c r="AD225" s="157">
        <f t="shared" si="92"/>
        <v>0</v>
      </c>
      <c r="AE225" s="34"/>
      <c r="AF225" s="35"/>
      <c r="AG225" s="39"/>
      <c r="AH225" s="44"/>
      <c r="AI225" s="13"/>
      <c r="AJ225" s="39"/>
      <c r="AK225" s="45"/>
      <c r="AL225" s="23"/>
      <c r="AM225" s="24"/>
      <c r="AN225" s="395"/>
      <c r="AO225" s="54"/>
      <c r="AP225" s="398"/>
      <c r="AQ225" s="400"/>
      <c r="AR225" s="300"/>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row>
    <row r="226" spans="1:89" s="12" customFormat="1">
      <c r="A226" s="152" t="str">
        <f t="shared" si="90"/>
        <v/>
      </c>
      <c r="B226" s="152"/>
      <c r="C226" s="1">
        <f t="shared" si="91"/>
        <v>45954.21</v>
      </c>
      <c r="D226" t="s">
        <v>171</v>
      </c>
      <c r="E226" s="7"/>
      <c r="F226"/>
      <c r="G226" s="4"/>
      <c r="H226" s="4"/>
      <c r="I226" s="21"/>
      <c r="J226" s="28"/>
      <c r="K226" s="28"/>
      <c r="L226" s="30"/>
      <c r="M226" s="26"/>
      <c r="N226" s="31"/>
      <c r="O226" s="21"/>
      <c r="P226" s="28"/>
      <c r="Q226" s="22"/>
      <c r="R226" s="26"/>
      <c r="S226" s="26"/>
      <c r="T226" s="31"/>
      <c r="U226" s="26">
        <f t="shared" si="88"/>
        <v>0</v>
      </c>
      <c r="V226" s="26">
        <f t="shared" si="89"/>
        <v>0</v>
      </c>
      <c r="W226" s="26">
        <f t="shared" si="85"/>
        <v>0</v>
      </c>
      <c r="X226" s="36">
        <f t="shared" si="86"/>
        <v>0</v>
      </c>
      <c r="Y226" s="389" t="str">
        <f t="shared" si="87"/>
        <v/>
      </c>
      <c r="Z226" s="38"/>
      <c r="AA226" s="38"/>
      <c r="AB226" s="38"/>
      <c r="AC226" s="38"/>
      <c r="AD226" s="157">
        <f t="shared" si="92"/>
        <v>0</v>
      </c>
      <c r="AE226" s="34"/>
      <c r="AF226" s="35"/>
      <c r="AG226" s="39"/>
      <c r="AH226" s="44"/>
      <c r="AI226" s="13"/>
      <c r="AJ226" s="39"/>
      <c r="AK226" s="45"/>
      <c r="AL226" s="23"/>
      <c r="AM226" s="24"/>
      <c r="AN226" s="395"/>
      <c r="AO226" s="54"/>
      <c r="AP226" s="398"/>
      <c r="AQ226" s="400"/>
      <c r="AR226" s="300"/>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row>
    <row r="227" spans="1:89" s="12" customFormat="1">
      <c r="A227" s="152" t="str">
        <f t="shared" si="90"/>
        <v/>
      </c>
      <c r="B227" s="152"/>
      <c r="C227" s="1">
        <f t="shared" si="91"/>
        <v>45954.71</v>
      </c>
      <c r="D227" t="s">
        <v>172</v>
      </c>
      <c r="E227" s="7"/>
      <c r="F227"/>
      <c r="G227" s="4"/>
      <c r="H227" s="4"/>
      <c r="I227" s="21"/>
      <c r="J227" s="28"/>
      <c r="K227" s="28"/>
      <c r="L227" s="30"/>
      <c r="M227" s="26"/>
      <c r="N227" s="31"/>
      <c r="O227" s="21"/>
      <c r="P227" s="28"/>
      <c r="Q227" s="22"/>
      <c r="R227" s="26"/>
      <c r="S227" s="26"/>
      <c r="T227" s="31"/>
      <c r="U227" s="26">
        <f t="shared" si="88"/>
        <v>0</v>
      </c>
      <c r="V227" s="26">
        <f t="shared" si="89"/>
        <v>0</v>
      </c>
      <c r="W227" s="26">
        <f t="shared" si="85"/>
        <v>0</v>
      </c>
      <c r="X227" s="36">
        <f t="shared" si="86"/>
        <v>0</v>
      </c>
      <c r="Y227" s="389" t="str">
        <f t="shared" si="87"/>
        <v/>
      </c>
      <c r="Z227" s="38"/>
      <c r="AA227" s="38"/>
      <c r="AB227" s="38"/>
      <c r="AC227" s="38"/>
      <c r="AD227" s="157">
        <f t="shared" si="92"/>
        <v>0</v>
      </c>
      <c r="AE227" s="34"/>
      <c r="AF227" s="35"/>
      <c r="AG227" s="39"/>
      <c r="AH227" s="44"/>
      <c r="AI227" s="13"/>
      <c r="AJ227" s="39"/>
      <c r="AK227" s="45"/>
      <c r="AL227" s="23"/>
      <c r="AM227" s="24"/>
      <c r="AN227" s="395"/>
      <c r="AO227" s="54"/>
      <c r="AP227" s="398"/>
      <c r="AQ227" s="400"/>
      <c r="AR227" s="300"/>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row>
    <row r="228" spans="1:89" s="12" customFormat="1">
      <c r="A228" s="152" t="str">
        <f t="shared" si="90"/>
        <v/>
      </c>
      <c r="B228" s="152"/>
      <c r="C228" s="1">
        <f t="shared" si="91"/>
        <v>45955.21</v>
      </c>
      <c r="D228" t="s">
        <v>171</v>
      </c>
      <c r="E228" s="7"/>
      <c r="F228"/>
      <c r="G228" s="4"/>
      <c r="H228" s="4"/>
      <c r="I228" s="21"/>
      <c r="J228" s="28"/>
      <c r="K228" s="28"/>
      <c r="L228" s="30"/>
      <c r="M228" s="26"/>
      <c r="N228" s="31"/>
      <c r="O228" s="21"/>
      <c r="P228" s="28"/>
      <c r="Q228" s="22"/>
      <c r="R228" s="26"/>
      <c r="S228" s="26"/>
      <c r="T228" s="31"/>
      <c r="U228" s="26">
        <f t="shared" si="88"/>
        <v>0</v>
      </c>
      <c r="V228" s="26">
        <f t="shared" si="89"/>
        <v>0</v>
      </c>
      <c r="W228" s="26">
        <f t="shared" si="85"/>
        <v>0</v>
      </c>
      <c r="X228" s="36">
        <f t="shared" si="86"/>
        <v>0</v>
      </c>
      <c r="Y228" s="389" t="str">
        <f t="shared" si="87"/>
        <v/>
      </c>
      <c r="Z228" s="38"/>
      <c r="AA228" s="38"/>
      <c r="AB228" s="38"/>
      <c r="AC228" s="38"/>
      <c r="AD228" s="157">
        <f t="shared" si="92"/>
        <v>0</v>
      </c>
      <c r="AE228" s="34"/>
      <c r="AF228" s="35"/>
      <c r="AG228" s="39"/>
      <c r="AH228" s="44"/>
      <c r="AI228" s="13"/>
      <c r="AJ228" s="39"/>
      <c r="AK228" s="45"/>
      <c r="AL228" s="23"/>
      <c r="AM228" s="24"/>
      <c r="AN228" s="395"/>
      <c r="AO228" s="54"/>
      <c r="AP228" s="398"/>
      <c r="AQ228" s="400"/>
      <c r="AR228" s="300"/>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row>
    <row r="229" spans="1:89" s="12" customFormat="1">
      <c r="A229" s="152" t="str">
        <f t="shared" si="90"/>
        <v/>
      </c>
      <c r="B229" s="152"/>
      <c r="C229" s="1">
        <f t="shared" si="91"/>
        <v>45955.71</v>
      </c>
      <c r="D229" t="s">
        <v>172</v>
      </c>
      <c r="E229" s="7"/>
      <c r="F229"/>
      <c r="G229" s="4"/>
      <c r="H229" s="4"/>
      <c r="I229" s="21"/>
      <c r="J229" s="28"/>
      <c r="K229" s="28"/>
      <c r="L229" s="30"/>
      <c r="M229" s="26"/>
      <c r="N229" s="31"/>
      <c r="O229" s="21"/>
      <c r="P229" s="28"/>
      <c r="Q229" s="22"/>
      <c r="R229" s="26"/>
      <c r="S229" s="26"/>
      <c r="T229" s="31"/>
      <c r="U229" s="26">
        <f t="shared" si="88"/>
        <v>0</v>
      </c>
      <c r="V229" s="26">
        <f t="shared" si="89"/>
        <v>0</v>
      </c>
      <c r="W229" s="26">
        <f t="shared" si="85"/>
        <v>0</v>
      </c>
      <c r="X229" s="36">
        <f t="shared" si="86"/>
        <v>0</v>
      </c>
      <c r="Y229" s="389" t="str">
        <f t="shared" si="87"/>
        <v/>
      </c>
      <c r="Z229" s="38"/>
      <c r="AA229" s="38"/>
      <c r="AB229" s="38"/>
      <c r="AC229" s="38"/>
      <c r="AD229" s="157">
        <f t="shared" si="92"/>
        <v>0</v>
      </c>
      <c r="AE229" s="34"/>
      <c r="AF229" s="35"/>
      <c r="AG229" s="39"/>
      <c r="AH229" s="44"/>
      <c r="AI229" s="13"/>
      <c r="AJ229" s="39"/>
      <c r="AK229" s="45"/>
      <c r="AL229" s="23"/>
      <c r="AM229" s="24"/>
      <c r="AN229" s="395"/>
      <c r="AO229" s="54"/>
      <c r="AP229" s="398"/>
      <c r="AQ229" s="400"/>
      <c r="AR229" s="300"/>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row>
    <row r="230" spans="1:89" s="12" customFormat="1">
      <c r="A230" s="152" t="str">
        <f t="shared" si="90"/>
        <v/>
      </c>
      <c r="B230" s="152"/>
      <c r="C230" s="1">
        <f t="shared" si="91"/>
        <v>45956.21</v>
      </c>
      <c r="D230" t="s">
        <v>171</v>
      </c>
      <c r="E230" s="7"/>
      <c r="F230"/>
      <c r="G230" s="4"/>
      <c r="H230" s="4"/>
      <c r="I230" s="21"/>
      <c r="J230" s="28"/>
      <c r="K230" s="28"/>
      <c r="L230" s="30"/>
      <c r="M230" s="26"/>
      <c r="N230" s="31"/>
      <c r="O230" s="21"/>
      <c r="P230" s="28"/>
      <c r="Q230" s="22"/>
      <c r="R230" s="26"/>
      <c r="S230" s="26"/>
      <c r="T230" s="31"/>
      <c r="U230" s="26">
        <f t="shared" si="88"/>
        <v>0</v>
      </c>
      <c r="V230" s="26">
        <f t="shared" si="89"/>
        <v>0</v>
      </c>
      <c r="W230" s="26">
        <f t="shared" si="85"/>
        <v>0</v>
      </c>
      <c r="X230" s="36">
        <f t="shared" si="86"/>
        <v>0</v>
      </c>
      <c r="Y230" s="389" t="str">
        <f t="shared" si="87"/>
        <v/>
      </c>
      <c r="Z230" s="38"/>
      <c r="AA230" s="38"/>
      <c r="AB230" s="38"/>
      <c r="AC230" s="38"/>
      <c r="AD230" s="157">
        <f t="shared" si="92"/>
        <v>0</v>
      </c>
      <c r="AE230" s="34"/>
      <c r="AF230" s="35"/>
      <c r="AG230" s="39"/>
      <c r="AH230" s="44"/>
      <c r="AI230" s="13"/>
      <c r="AJ230" s="39"/>
      <c r="AK230" s="45"/>
      <c r="AL230" s="23"/>
      <c r="AM230" s="24"/>
      <c r="AN230" s="395"/>
      <c r="AO230" s="54"/>
      <c r="AP230" s="398"/>
      <c r="AQ230" s="400"/>
      <c r="AR230" s="30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row>
    <row r="231" spans="1:89" s="12" customFormat="1">
      <c r="A231" s="152" t="str">
        <f t="shared" si="90"/>
        <v/>
      </c>
      <c r="B231" s="152"/>
      <c r="C231" s="1">
        <f t="shared" si="91"/>
        <v>45956.71</v>
      </c>
      <c r="D231" t="s">
        <v>172</v>
      </c>
      <c r="E231" s="7"/>
      <c r="F231"/>
      <c r="G231" s="4"/>
      <c r="H231" s="4"/>
      <c r="I231" s="21"/>
      <c r="J231" s="28"/>
      <c r="K231" s="28"/>
      <c r="L231" s="30"/>
      <c r="M231" s="26"/>
      <c r="N231" s="31"/>
      <c r="O231" s="21"/>
      <c r="P231" s="28"/>
      <c r="Q231" s="22"/>
      <c r="R231" s="26"/>
      <c r="S231" s="26"/>
      <c r="T231" s="31"/>
      <c r="U231" s="26">
        <f t="shared" si="88"/>
        <v>0</v>
      </c>
      <c r="V231" s="26">
        <f t="shared" si="89"/>
        <v>0</v>
      </c>
      <c r="W231" s="26">
        <f t="shared" si="85"/>
        <v>0</v>
      </c>
      <c r="X231" s="36">
        <f t="shared" si="86"/>
        <v>0</v>
      </c>
      <c r="Y231" s="389" t="str">
        <f t="shared" si="87"/>
        <v/>
      </c>
      <c r="Z231" s="38"/>
      <c r="AA231" s="38"/>
      <c r="AB231" s="38"/>
      <c r="AC231" s="38"/>
      <c r="AD231" s="157">
        <f t="shared" si="92"/>
        <v>0</v>
      </c>
      <c r="AE231" s="34"/>
      <c r="AF231" s="35"/>
      <c r="AG231" s="39"/>
      <c r="AH231" s="44"/>
      <c r="AI231" s="13"/>
      <c r="AJ231" s="39"/>
      <c r="AK231" s="45"/>
      <c r="AL231" s="23"/>
      <c r="AM231" s="24"/>
      <c r="AN231" s="395"/>
      <c r="AO231" s="54"/>
      <c r="AP231" s="398"/>
      <c r="AQ231" s="400"/>
      <c r="AR231" s="300"/>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row>
    <row r="232" spans="1:89" s="12" customFormat="1">
      <c r="A232" s="152" t="str">
        <f t="shared" si="90"/>
        <v/>
      </c>
      <c r="B232" s="152"/>
      <c r="C232" s="1">
        <f t="shared" si="91"/>
        <v>45957.21</v>
      </c>
      <c r="D232" t="s">
        <v>171</v>
      </c>
      <c r="E232" s="7"/>
      <c r="F232"/>
      <c r="G232" s="4"/>
      <c r="H232" s="4"/>
      <c r="I232" s="21"/>
      <c r="J232" s="28"/>
      <c r="K232" s="28"/>
      <c r="L232" s="30"/>
      <c r="M232" s="26"/>
      <c r="N232" s="31"/>
      <c r="O232" s="21"/>
      <c r="P232" s="28"/>
      <c r="Q232" s="22"/>
      <c r="R232" s="26"/>
      <c r="S232" s="26"/>
      <c r="T232" s="31"/>
      <c r="U232" s="26">
        <f t="shared" si="88"/>
        <v>0</v>
      </c>
      <c r="V232" s="26">
        <f t="shared" si="89"/>
        <v>0</v>
      </c>
      <c r="W232" s="26">
        <f t="shared" si="85"/>
        <v>0</v>
      </c>
      <c r="X232" s="36">
        <f t="shared" si="86"/>
        <v>0</v>
      </c>
      <c r="Y232" s="389" t="str">
        <f t="shared" si="87"/>
        <v/>
      </c>
      <c r="Z232" s="38"/>
      <c r="AA232" s="38"/>
      <c r="AB232" s="38"/>
      <c r="AC232" s="38"/>
      <c r="AD232" s="157">
        <f t="shared" si="92"/>
        <v>0</v>
      </c>
      <c r="AE232" s="34"/>
      <c r="AF232" s="35"/>
      <c r="AG232" s="39"/>
      <c r="AH232" s="44"/>
      <c r="AI232" s="13"/>
      <c r="AJ232" s="39"/>
      <c r="AK232" s="45"/>
      <c r="AL232" s="23"/>
      <c r="AM232" s="24"/>
      <c r="AN232" s="395"/>
      <c r="AO232" s="54"/>
      <c r="AP232" s="398"/>
      <c r="AQ232" s="400"/>
      <c r="AR232" s="300"/>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row>
    <row r="233" spans="1:89" s="12" customFormat="1">
      <c r="A233" s="152" t="str">
        <f t="shared" si="90"/>
        <v/>
      </c>
      <c r="B233" s="152"/>
      <c r="C233" s="1">
        <f t="shared" si="91"/>
        <v>45957.71</v>
      </c>
      <c r="D233" t="s">
        <v>172</v>
      </c>
      <c r="E233" s="7"/>
      <c r="F233"/>
      <c r="G233" s="4"/>
      <c r="H233" s="4"/>
      <c r="I233" s="21"/>
      <c r="J233" s="28"/>
      <c r="K233" s="28"/>
      <c r="L233" s="30"/>
      <c r="M233" s="26"/>
      <c r="N233" s="31"/>
      <c r="O233" s="21"/>
      <c r="P233" s="28"/>
      <c r="Q233" s="22"/>
      <c r="R233" s="26"/>
      <c r="S233" s="26"/>
      <c r="T233" s="31"/>
      <c r="U233" s="26">
        <f t="shared" si="88"/>
        <v>0</v>
      </c>
      <c r="V233" s="26">
        <f t="shared" si="89"/>
        <v>0</v>
      </c>
      <c r="W233" s="26">
        <f t="shared" si="85"/>
        <v>0</v>
      </c>
      <c r="X233" s="36">
        <f t="shared" si="86"/>
        <v>0</v>
      </c>
      <c r="Y233" s="389" t="str">
        <f t="shared" si="87"/>
        <v/>
      </c>
      <c r="Z233" s="38"/>
      <c r="AA233" s="38"/>
      <c r="AB233" s="38"/>
      <c r="AC233" s="38"/>
      <c r="AD233" s="157">
        <f t="shared" si="92"/>
        <v>0</v>
      </c>
      <c r="AE233" s="34"/>
      <c r="AF233" s="35"/>
      <c r="AG233" s="39"/>
      <c r="AH233" s="44"/>
      <c r="AI233" s="13"/>
      <c r="AJ233" s="39"/>
      <c r="AK233" s="45"/>
      <c r="AL233" s="23"/>
      <c r="AM233" s="24"/>
      <c r="AN233" s="395"/>
      <c r="AO233" s="54"/>
      <c r="AP233" s="398"/>
      <c r="AQ233" s="400"/>
      <c r="AR233" s="300"/>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row>
    <row r="234" spans="1:89" s="12" customFormat="1">
      <c r="A234" s="152" t="str">
        <f t="shared" si="90"/>
        <v/>
      </c>
      <c r="B234" s="152"/>
      <c r="C234" s="1">
        <f t="shared" si="91"/>
        <v>45958.21</v>
      </c>
      <c r="D234" t="s">
        <v>171</v>
      </c>
      <c r="E234" s="7"/>
      <c r="F234"/>
      <c r="G234" s="4"/>
      <c r="H234" s="4"/>
      <c r="I234" s="21"/>
      <c r="J234" s="28"/>
      <c r="K234" s="28"/>
      <c r="L234" s="30"/>
      <c r="M234" s="26"/>
      <c r="N234" s="31"/>
      <c r="O234" s="21"/>
      <c r="P234" s="28"/>
      <c r="Q234" s="22"/>
      <c r="R234" s="26"/>
      <c r="S234" s="26"/>
      <c r="T234" s="31"/>
      <c r="U234" s="26">
        <f t="shared" si="88"/>
        <v>0</v>
      </c>
      <c r="V234" s="26">
        <f t="shared" si="89"/>
        <v>0</v>
      </c>
      <c r="W234" s="26">
        <f t="shared" si="85"/>
        <v>0</v>
      </c>
      <c r="X234" s="36">
        <f t="shared" si="86"/>
        <v>0</v>
      </c>
      <c r="Y234" s="389" t="str">
        <f t="shared" si="87"/>
        <v/>
      </c>
      <c r="Z234" s="38"/>
      <c r="AA234" s="38"/>
      <c r="AB234" s="38"/>
      <c r="AC234" s="38"/>
      <c r="AD234" s="157">
        <f t="shared" si="92"/>
        <v>0</v>
      </c>
      <c r="AE234" s="34"/>
      <c r="AF234" s="35"/>
      <c r="AG234" s="39"/>
      <c r="AH234" s="44"/>
      <c r="AI234" s="13"/>
      <c r="AJ234" s="39"/>
      <c r="AK234" s="45"/>
      <c r="AL234" s="23"/>
      <c r="AM234" s="24"/>
      <c r="AN234" s="395"/>
      <c r="AO234" s="54"/>
      <c r="AP234" s="398"/>
      <c r="AQ234" s="400"/>
      <c r="AR234" s="300"/>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row>
    <row r="235" spans="1:89" s="12" customFormat="1">
      <c r="A235" s="152" t="str">
        <f t="shared" si="90"/>
        <v/>
      </c>
      <c r="B235" s="152"/>
      <c r="C235" s="1">
        <f t="shared" si="91"/>
        <v>45958.71</v>
      </c>
      <c r="D235" t="s">
        <v>172</v>
      </c>
      <c r="E235" s="7"/>
      <c r="F235"/>
      <c r="G235" s="4"/>
      <c r="H235" s="4"/>
      <c r="I235" s="21"/>
      <c r="J235" s="28"/>
      <c r="K235" s="28"/>
      <c r="L235" s="30"/>
      <c r="M235" s="26"/>
      <c r="N235" s="31"/>
      <c r="O235" s="21"/>
      <c r="P235" s="28"/>
      <c r="Q235" s="22"/>
      <c r="R235" s="26"/>
      <c r="S235" s="26"/>
      <c r="T235" s="31"/>
      <c r="U235" s="26">
        <f t="shared" si="88"/>
        <v>0</v>
      </c>
      <c r="V235" s="26">
        <f t="shared" si="89"/>
        <v>0</v>
      </c>
      <c r="W235" s="26">
        <f t="shared" si="85"/>
        <v>0</v>
      </c>
      <c r="X235" s="36">
        <f t="shared" si="86"/>
        <v>0</v>
      </c>
      <c r="Y235" s="389" t="str">
        <f t="shared" si="87"/>
        <v/>
      </c>
      <c r="Z235" s="38"/>
      <c r="AA235" s="38"/>
      <c r="AB235" s="38"/>
      <c r="AC235" s="38"/>
      <c r="AD235" s="157">
        <f t="shared" si="92"/>
        <v>0</v>
      </c>
      <c r="AE235" s="34"/>
      <c r="AF235" s="35"/>
      <c r="AG235" s="39"/>
      <c r="AH235" s="44"/>
      <c r="AI235" s="13"/>
      <c r="AJ235" s="39"/>
      <c r="AK235" s="45"/>
      <c r="AL235" s="23"/>
      <c r="AM235" s="24"/>
      <c r="AN235" s="395"/>
      <c r="AO235" s="54"/>
      <c r="AP235" s="398"/>
      <c r="AQ235" s="400"/>
      <c r="AR235" s="300"/>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row>
    <row r="236" spans="1:89" s="12" customFormat="1">
      <c r="A236" s="152" t="str">
        <f t="shared" si="90"/>
        <v/>
      </c>
      <c r="B236" s="152"/>
      <c r="C236" s="1">
        <f t="shared" si="91"/>
        <v>45959.21</v>
      </c>
      <c r="D236" t="s">
        <v>171</v>
      </c>
      <c r="E236" s="7"/>
      <c r="F236"/>
      <c r="G236" s="4"/>
      <c r="H236" s="4"/>
      <c r="I236" s="21"/>
      <c r="J236" s="28"/>
      <c r="K236" s="28"/>
      <c r="L236" s="30"/>
      <c r="M236" s="26"/>
      <c r="N236" s="31"/>
      <c r="O236" s="21"/>
      <c r="P236" s="28"/>
      <c r="Q236" s="22"/>
      <c r="R236" s="26"/>
      <c r="S236" s="26"/>
      <c r="T236" s="31"/>
      <c r="U236" s="26">
        <f t="shared" si="88"/>
        <v>0</v>
      </c>
      <c r="V236" s="26">
        <f t="shared" si="89"/>
        <v>0</v>
      </c>
      <c r="W236" s="26">
        <f t="shared" si="85"/>
        <v>0</v>
      </c>
      <c r="X236" s="36">
        <f t="shared" si="86"/>
        <v>0</v>
      </c>
      <c r="Y236" s="389" t="str">
        <f t="shared" si="87"/>
        <v/>
      </c>
      <c r="Z236" s="38"/>
      <c r="AA236" s="38"/>
      <c r="AB236" s="38"/>
      <c r="AC236" s="38"/>
      <c r="AD236" s="157">
        <f t="shared" si="92"/>
        <v>0</v>
      </c>
      <c r="AE236" s="34"/>
      <c r="AF236" s="35"/>
      <c r="AG236" s="39"/>
      <c r="AH236" s="44"/>
      <c r="AI236" s="13"/>
      <c r="AJ236" s="39"/>
      <c r="AK236" s="45"/>
      <c r="AL236" s="23"/>
      <c r="AM236" s="24"/>
      <c r="AN236" s="395"/>
      <c r="AO236" s="54"/>
      <c r="AP236" s="398"/>
      <c r="AQ236" s="400"/>
      <c r="AR236" s="300"/>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row>
    <row r="237" spans="1:89" s="12" customFormat="1">
      <c r="A237" s="152" t="str">
        <f t="shared" si="90"/>
        <v/>
      </c>
      <c r="B237" s="152"/>
      <c r="C237" s="1">
        <f t="shared" si="91"/>
        <v>45959.71</v>
      </c>
      <c r="D237" t="s">
        <v>172</v>
      </c>
      <c r="E237" s="7"/>
      <c r="F237"/>
      <c r="G237" s="4"/>
      <c r="H237" s="4"/>
      <c r="I237" s="21"/>
      <c r="J237" s="28"/>
      <c r="K237" s="28"/>
      <c r="L237" s="30"/>
      <c r="M237" s="26"/>
      <c r="N237" s="31"/>
      <c r="O237" s="21"/>
      <c r="P237" s="28"/>
      <c r="Q237" s="22"/>
      <c r="R237" s="26"/>
      <c r="S237" s="26"/>
      <c r="T237" s="31"/>
      <c r="U237" s="26">
        <f t="shared" si="88"/>
        <v>0</v>
      </c>
      <c r="V237" s="26">
        <f t="shared" si="89"/>
        <v>0</v>
      </c>
      <c r="W237" s="26">
        <f t="shared" si="85"/>
        <v>0</v>
      </c>
      <c r="X237" s="36">
        <f t="shared" si="86"/>
        <v>0</v>
      </c>
      <c r="Y237" s="389" t="str">
        <f t="shared" si="87"/>
        <v/>
      </c>
      <c r="Z237" s="38"/>
      <c r="AA237" s="38"/>
      <c r="AB237" s="38"/>
      <c r="AC237" s="38"/>
      <c r="AD237" s="157">
        <f t="shared" si="92"/>
        <v>0</v>
      </c>
      <c r="AE237" s="34"/>
      <c r="AF237" s="35"/>
      <c r="AG237" s="39"/>
      <c r="AH237" s="44"/>
      <c r="AI237" s="13"/>
      <c r="AJ237" s="39"/>
      <c r="AK237" s="45"/>
      <c r="AL237" s="23"/>
      <c r="AM237" s="24"/>
      <c r="AN237" s="395"/>
      <c r="AO237" s="54"/>
      <c r="AP237" s="398"/>
      <c r="AQ237" s="400"/>
      <c r="AR237" s="300"/>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row>
    <row r="238" spans="1:89" s="12" customFormat="1">
      <c r="A238" s="152" t="str">
        <f t="shared" si="90"/>
        <v/>
      </c>
      <c r="B238" s="152"/>
      <c r="C238" s="1">
        <f t="shared" si="91"/>
        <v>45960.21</v>
      </c>
      <c r="D238" t="s">
        <v>171</v>
      </c>
      <c r="E238" s="7"/>
      <c r="F238"/>
      <c r="G238" s="4"/>
      <c r="H238" s="4"/>
      <c r="I238" s="21"/>
      <c r="J238" s="28"/>
      <c r="K238" s="28"/>
      <c r="L238" s="30"/>
      <c r="M238" s="26"/>
      <c r="N238" s="31"/>
      <c r="O238" s="21"/>
      <c r="P238" s="28"/>
      <c r="Q238" s="22"/>
      <c r="R238" s="26"/>
      <c r="S238" s="26"/>
      <c r="T238" s="31"/>
      <c r="U238" s="26">
        <f t="shared" si="88"/>
        <v>0</v>
      </c>
      <c r="V238" s="26">
        <f t="shared" si="89"/>
        <v>0</v>
      </c>
      <c r="W238" s="26">
        <f t="shared" si="85"/>
        <v>0</v>
      </c>
      <c r="X238" s="36">
        <f t="shared" si="86"/>
        <v>0</v>
      </c>
      <c r="Y238" s="389" t="str">
        <f t="shared" si="87"/>
        <v/>
      </c>
      <c r="Z238" s="38"/>
      <c r="AA238" s="38"/>
      <c r="AB238" s="38"/>
      <c r="AC238" s="38"/>
      <c r="AD238" s="157">
        <f t="shared" si="92"/>
        <v>0</v>
      </c>
      <c r="AE238" s="34"/>
      <c r="AF238" s="35"/>
      <c r="AG238" s="39"/>
      <c r="AH238" s="44"/>
      <c r="AI238" s="13"/>
      <c r="AJ238" s="39"/>
      <c r="AK238" s="45"/>
      <c r="AL238" s="23"/>
      <c r="AM238" s="24"/>
      <c r="AN238" s="395"/>
      <c r="AO238" s="54"/>
      <c r="AP238" s="398"/>
      <c r="AQ238" s="400"/>
      <c r="AR238" s="300"/>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row>
    <row r="239" spans="1:89">
      <c r="A239" s="152" t="str">
        <f t="shared" si="90"/>
        <v/>
      </c>
      <c r="B239" s="152"/>
      <c r="C239" s="1">
        <f t="shared" si="91"/>
        <v>45960.71</v>
      </c>
      <c r="D239" t="s">
        <v>172</v>
      </c>
      <c r="G239" s="4"/>
      <c r="H239" s="4"/>
      <c r="I239" s="21"/>
      <c r="J239" s="28"/>
      <c r="K239" s="28"/>
      <c r="L239" s="30"/>
      <c r="M239" s="26"/>
      <c r="N239" s="31"/>
      <c r="O239" s="21"/>
      <c r="P239" s="28"/>
      <c r="Q239" s="22"/>
      <c r="R239" s="26"/>
      <c r="S239" s="26"/>
      <c r="T239" s="31"/>
      <c r="U239" s="26">
        <f t="shared" si="88"/>
        <v>0</v>
      </c>
      <c r="V239" s="26">
        <f t="shared" si="89"/>
        <v>0</v>
      </c>
      <c r="W239" s="26">
        <f t="shared" si="85"/>
        <v>0</v>
      </c>
      <c r="X239" s="36">
        <f t="shared" si="86"/>
        <v>0</v>
      </c>
      <c r="Y239" s="389" t="str">
        <f t="shared" si="87"/>
        <v/>
      </c>
      <c r="Z239" s="38"/>
      <c r="AA239" s="38"/>
      <c r="AB239" s="38"/>
      <c r="AC239" s="38"/>
      <c r="AD239" s="157">
        <f t="shared" si="92"/>
        <v>0</v>
      </c>
      <c r="AE239" s="34"/>
      <c r="AF239" s="35"/>
      <c r="AG239" s="39"/>
      <c r="AH239" s="44"/>
      <c r="AI239" s="13"/>
      <c r="AK239" s="45"/>
      <c r="AL239" s="23"/>
      <c r="AM239" s="24"/>
      <c r="AO239" s="54"/>
      <c r="AP239" s="398"/>
      <c r="AR239" s="300"/>
    </row>
    <row r="240" spans="1:89">
      <c r="A240" s="152" t="str">
        <f t="shared" si="90"/>
        <v/>
      </c>
      <c r="B240" s="152"/>
      <c r="C240" s="12" t="s">
        <v>190</v>
      </c>
      <c r="D240" s="12" t="s">
        <v>190</v>
      </c>
      <c r="E240" s="12" t="s">
        <v>190</v>
      </c>
      <c r="F240" s="12" t="s">
        <v>190</v>
      </c>
      <c r="G240" s="13" t="s">
        <v>190</v>
      </c>
      <c r="H240" s="13" t="s">
        <v>190</v>
      </c>
      <c r="I240" s="29" t="s">
        <v>190</v>
      </c>
      <c r="J240" s="29" t="s">
        <v>190</v>
      </c>
      <c r="K240" s="29" t="s">
        <v>190</v>
      </c>
      <c r="L240" s="32" t="s">
        <v>190</v>
      </c>
      <c r="M240" s="27" t="s">
        <v>190</v>
      </c>
      <c r="N240" s="33" t="s">
        <v>190</v>
      </c>
      <c r="O240" s="34" t="s">
        <v>190</v>
      </c>
      <c r="P240" s="29" t="s">
        <v>190</v>
      </c>
      <c r="Q240" s="35" t="s">
        <v>190</v>
      </c>
      <c r="R240" s="27" t="s">
        <v>190</v>
      </c>
      <c r="S240" s="27" t="s">
        <v>190</v>
      </c>
      <c r="T240" s="27" t="s">
        <v>190</v>
      </c>
      <c r="U240" s="26">
        <f t="shared" si="88"/>
        <v>0</v>
      </c>
      <c r="V240" s="26">
        <f t="shared" si="89"/>
        <v>0</v>
      </c>
      <c r="W240" s="26" t="str">
        <f t="shared" si="85"/>
        <v/>
      </c>
      <c r="X240" s="36" t="str">
        <f t="shared" si="86"/>
        <v/>
      </c>
      <c r="Y240" s="389" t="e">
        <f t="shared" si="87"/>
        <v>#VALUE!</v>
      </c>
      <c r="Z240" s="39"/>
      <c r="AA240" s="39" t="s">
        <v>190</v>
      </c>
      <c r="AB240" s="39" t="s">
        <v>190</v>
      </c>
      <c r="AC240" s="39" t="s">
        <v>190</v>
      </c>
      <c r="AD240" s="157">
        <f t="shared" si="92"/>
        <v>0</v>
      </c>
      <c r="AE240" s="12" t="s">
        <v>190</v>
      </c>
      <c r="AF240" s="12" t="s">
        <v>190</v>
      </c>
      <c r="AG240" s="39"/>
      <c r="AH240" s="13" t="s">
        <v>190</v>
      </c>
      <c r="AI240" s="13" t="s">
        <v>190</v>
      </c>
      <c r="AK240" s="48" t="s">
        <v>190</v>
      </c>
      <c r="AL240" s="49" t="s">
        <v>190</v>
      </c>
      <c r="AM240" s="25" t="s">
        <v>190</v>
      </c>
      <c r="AN240" s="397" t="s">
        <v>190</v>
      </c>
      <c r="AO240" s="55"/>
      <c r="AP240" s="398" t="s">
        <v>190</v>
      </c>
      <c r="AQ240" s="400" t="s">
        <v>190</v>
      </c>
      <c r="AR240" s="300"/>
      <c r="AS240" s="12" t="s">
        <v>190</v>
      </c>
      <c r="AT240" s="12" t="s">
        <v>190</v>
      </c>
      <c r="AU240" s="12" t="s">
        <v>190</v>
      </c>
      <c r="AV240" s="12" t="s">
        <v>190</v>
      </c>
    </row>
  </sheetData>
  <conditionalFormatting sqref="G4:W4 AT4:AV5 AA4:AI8 C4:F239 AK4:AS239 W5:W43 G5:T239 U5:V240 AT6:XU239 AE9:AI239">
    <cfRule type="expression" dxfId="110" priority="4">
      <formula>$A4=TODAY()</formula>
    </cfRule>
  </conditionalFormatting>
  <conditionalFormatting sqref="Z4:Z239 X4:Y240 AA9:AC239 AD9:AD240 W44:W240">
    <cfRule type="expression" dxfId="109" priority="5">
      <formula>$A4=TODAY()</formula>
    </cfRule>
  </conditionalFormatting>
  <conditionalFormatting sqref="AJ4:AJ57">
    <cfRule type="expression" dxfId="108" priority="1">
      <formula>$A4=TODAY()</formula>
    </cfRule>
  </conditionalFormatting>
  <conditionalFormatting sqref="AM4:AM188">
    <cfRule type="expression" dxfId="107" priority="7" stopIfTrue="1">
      <formula>ISBLANK(AM4)</formula>
    </cfRule>
    <cfRule type="cellIs" dxfId="106" priority="8" operator="equal">
      <formula>AM4&gt;12</formula>
    </cfRule>
    <cfRule type="cellIs" dxfId="105" priority="9" operator="equal">
      <formula>AM4=12</formula>
    </cfRule>
  </conditionalFormatting>
  <conditionalFormatting sqref="AQ1:AR2 AQ4:AR1048576">
    <cfRule type="expression" dxfId="104" priority="2">
      <formula>$AQ1&lt;&gt;$AR1</formula>
    </cfRule>
  </conditionalFormatting>
  <pageMargins left="0.7" right="0.7" top="0.75" bottom="0.75" header="0.3" footer="0.3"/>
  <pageSetup paperSize="9" orientation="portrait" horizontalDpi="4294967293"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05D3F-9174-496A-A7A0-40357341E8A2}">
  <sheetPr codeName="Sheet6">
    <tabColor theme="5" tint="0.79998168889431442"/>
  </sheetPr>
  <dimension ref="A1:CN242"/>
  <sheetViews>
    <sheetView topLeftCell="AQ1" workbookViewId="0">
      <selection activeCell="AY3" sqref="AY3:AZ3"/>
    </sheetView>
  </sheetViews>
  <sheetFormatPr defaultRowHeight="15"/>
  <cols>
    <col min="3" max="3" width="10.42578125" style="12" bestFit="1" customWidth="1"/>
    <col min="4" max="4" width="10.42578125" customWidth="1"/>
    <col min="5" max="5" width="10.85546875" customWidth="1"/>
    <col min="6" max="6" width="16" style="7" customWidth="1"/>
    <col min="7" max="7" width="13.42578125" customWidth="1"/>
    <col min="8" max="8" width="14.85546875" bestFit="1" customWidth="1"/>
    <col min="9" max="9" width="20.28515625" bestFit="1" customWidth="1"/>
    <col min="10" max="10" width="14.85546875" bestFit="1" customWidth="1"/>
    <col min="11" max="11" width="11.140625" style="7" bestFit="1" customWidth="1"/>
    <col min="12" max="12" width="8.5703125" bestFit="1" customWidth="1"/>
    <col min="13" max="13" width="9" bestFit="1" customWidth="1"/>
    <col min="14" max="14" width="11.140625" style="7" bestFit="1" customWidth="1"/>
    <col min="15" max="15" width="8.5703125" bestFit="1" customWidth="1"/>
    <col min="16" max="16" width="9" style="8" bestFit="1" customWidth="1"/>
    <col min="17" max="17" width="11.140625" style="7" bestFit="1" customWidth="1"/>
    <col min="18" max="18" width="8.5703125" bestFit="1" customWidth="1"/>
    <col min="19" max="19" width="9" style="8" bestFit="1" customWidth="1"/>
    <col min="20" max="20" width="11.140625" bestFit="1" customWidth="1"/>
    <col min="21" max="21" width="8.5703125" bestFit="1" customWidth="1"/>
    <col min="22" max="22" width="9" style="8" bestFit="1" customWidth="1"/>
    <col min="23" max="23" width="10.85546875" bestFit="1" customWidth="1"/>
    <col min="24" max="24" width="11.7109375" bestFit="1" customWidth="1"/>
    <col min="25" max="25" width="19.85546875" customWidth="1"/>
    <col min="26" max="28" width="14.42578125" customWidth="1"/>
    <col min="29" max="29" width="11.28515625" customWidth="1"/>
    <col min="30" max="30" width="13.28515625" bestFit="1" customWidth="1"/>
    <col min="31" max="31" width="14.42578125" style="7" customWidth="1"/>
    <col min="32" max="32" width="30.28515625" style="8" bestFit="1" customWidth="1"/>
    <col min="33" max="33" width="29.42578125" customWidth="1"/>
    <col min="34" max="34" width="21.28515625" style="7" customWidth="1"/>
    <col min="35" max="35" width="18.7109375" bestFit="1" customWidth="1"/>
    <col min="36" max="36" width="42.28515625" style="7" bestFit="1" customWidth="1"/>
    <col min="37" max="37" width="18.7109375" style="7" customWidth="1"/>
    <col min="38" max="38" width="18.7109375" style="8" customWidth="1"/>
    <col min="39" max="39" width="27.85546875" bestFit="1" customWidth="1"/>
    <col min="40" max="40" width="18.7109375" customWidth="1"/>
    <col min="41" max="41" width="30.85546875" bestFit="1" customWidth="1"/>
    <col min="42" max="42" width="22.28515625" style="43" bestFit="1" customWidth="1"/>
    <col min="43" max="43" width="36" style="43" bestFit="1" customWidth="1"/>
    <col min="44" max="44" width="30.140625" style="43" customWidth="1"/>
    <col min="45" max="45" width="22.5703125" style="52" customWidth="1"/>
    <col min="46" max="50" width="22.5703125" style="12" customWidth="1"/>
    <col min="51" max="51" width="23.28515625" style="12" bestFit="1" customWidth="1"/>
    <col min="52" max="52" width="22.5703125" style="12" customWidth="1"/>
    <col min="53" max="53" width="255.7109375" bestFit="1" customWidth="1"/>
    <col min="54" max="54" width="101.5703125" customWidth="1"/>
    <col min="55" max="58" width="9.140625" customWidth="1"/>
    <col min="59" max="59" width="99" customWidth="1"/>
    <col min="60" max="60" width="9.140625" customWidth="1"/>
  </cols>
  <sheetData>
    <row r="1" spans="1:82" ht="15.75" thickBot="1">
      <c r="F1" s="383" t="s">
        <v>191</v>
      </c>
      <c r="G1" s="50" cm="1">
        <f t="array" ref="G1">SUM(--(_xlfn.UNIQUE(_xlfn._xlws.FILTER(_xlfn.VSTACK(F6:F300, G6:G300), ISTEXT(_xlfn.VSTACK(F6:F300, G6:G300))))&lt;&gt;""))</f>
        <v>25</v>
      </c>
      <c r="I1" s="376" t="s">
        <v>192</v>
      </c>
      <c r="J1" s="377" cm="1">
        <f t="array" ref="J1">SUM(IFERROR(J6:J500,""))</f>
        <v>43680</v>
      </c>
      <c r="L1" t="s">
        <v>193</v>
      </c>
      <c r="M1">
        <f>SUM(M6:M234,S6:S234)</f>
        <v>759.09999999999991</v>
      </c>
      <c r="O1" t="s">
        <v>194</v>
      </c>
      <c r="P1" s="8">
        <f>SUM(P6:P234,V6:V234)</f>
        <v>1473.5999999999995</v>
      </c>
      <c r="X1" s="376" t="s">
        <v>146</v>
      </c>
      <c r="Y1" s="377" cm="1">
        <f t="array" ref="Y1">SUM(IFERROR(Y6:Y500,""))</f>
        <v>382495.5</v>
      </c>
      <c r="AC1" s="376" t="s">
        <v>195</v>
      </c>
      <c r="AD1" s="377" cm="1">
        <f t="array" ref="AD1">SUM(IFERROR(AD6:AD500,""))</f>
        <v>37625</v>
      </c>
      <c r="AO1" s="376" t="s">
        <v>196</v>
      </c>
      <c r="AP1" s="377" cm="1">
        <f t="array" ref="AP1">SUM(IFERROR(AP6:AP500,""))</f>
        <v>190655</v>
      </c>
      <c r="AQ1" s="376" t="s">
        <v>197</v>
      </c>
      <c r="AR1" s="377" cm="1">
        <f t="array" ref="AR1">SUM(IFERROR(AR6:AR500,""))</f>
        <v>47998.760000000009</v>
      </c>
      <c r="AS1" s="377" cm="1">
        <f t="array" ref="AS1">SUM(IFERROR(AS6:AS500,""))</f>
        <v>702454.26000000024</v>
      </c>
    </row>
    <row r="2" spans="1:82" s="179" customFormat="1">
      <c r="A2" s="405"/>
      <c r="B2" s="405"/>
      <c r="C2" s="187" t="s">
        <v>116</v>
      </c>
      <c r="F2" s="178"/>
      <c r="I2" s="179" t="s">
        <v>117</v>
      </c>
      <c r="J2" s="180">
        <v>130</v>
      </c>
      <c r="K2" s="178" t="s">
        <v>118</v>
      </c>
      <c r="M2" s="181">
        <v>175</v>
      </c>
      <c r="N2" s="178"/>
      <c r="P2" s="182">
        <v>135</v>
      </c>
      <c r="Q2" s="178" t="s">
        <v>119</v>
      </c>
      <c r="S2" s="182">
        <v>175</v>
      </c>
      <c r="V2" s="182">
        <v>135</v>
      </c>
      <c r="W2" s="181"/>
      <c r="Z2" s="181">
        <v>175</v>
      </c>
      <c r="AA2" s="181">
        <v>155</v>
      </c>
      <c r="AB2" s="181">
        <v>420</v>
      </c>
      <c r="AE2" s="183">
        <v>460</v>
      </c>
      <c r="AF2" s="182">
        <v>460</v>
      </c>
      <c r="AG2" s="181"/>
      <c r="AH2" s="183">
        <v>360</v>
      </c>
      <c r="AI2" s="181">
        <v>360</v>
      </c>
      <c r="AJ2" s="183"/>
      <c r="AK2" s="178"/>
      <c r="AL2" s="328"/>
      <c r="AP2" s="184"/>
      <c r="AQ2" s="184"/>
      <c r="AR2" s="184"/>
      <c r="AS2" s="185"/>
      <c r="AT2" s="186"/>
      <c r="AU2" s="186"/>
      <c r="AV2" s="186"/>
      <c r="AW2" s="186"/>
      <c r="AX2" s="186"/>
      <c r="AY2" s="186"/>
      <c r="AZ2" s="186"/>
    </row>
    <row r="3" spans="1:82" s="4" customFormat="1">
      <c r="C3" s="187"/>
      <c r="F3" s="187" t="s">
        <v>118</v>
      </c>
      <c r="G3" s="4" t="s">
        <v>119</v>
      </c>
      <c r="K3" s="187" t="s">
        <v>120</v>
      </c>
      <c r="N3" s="187" t="s">
        <v>121</v>
      </c>
      <c r="P3" s="188"/>
      <c r="Q3" s="187" t="s">
        <v>120</v>
      </c>
      <c r="S3" s="188"/>
      <c r="T3" s="4" t="s">
        <v>121</v>
      </c>
      <c r="X3" s="122"/>
      <c r="Y3" s="4" t="s">
        <v>122</v>
      </c>
      <c r="AE3" s="187"/>
      <c r="AF3" s="188"/>
      <c r="AH3" s="187"/>
      <c r="AJ3" s="187"/>
      <c r="AK3" s="189">
        <v>0</v>
      </c>
      <c r="AL3" s="190">
        <v>0</v>
      </c>
      <c r="AM3" s="122"/>
      <c r="AN3" s="122"/>
      <c r="AO3" s="122"/>
      <c r="AP3" s="191"/>
      <c r="AQ3" s="191"/>
      <c r="AR3" s="191"/>
      <c r="AS3" s="192"/>
      <c r="AT3" s="13"/>
      <c r="AU3" s="13"/>
      <c r="AV3" s="13"/>
      <c r="AW3" s="13"/>
      <c r="AX3" s="13"/>
      <c r="AY3" s="13">
        <f ca="1">AVERAGEIF(C:C,"MET",AY12:AY240)</f>
        <v>379.88878419539788</v>
      </c>
      <c r="AZ3" s="13">
        <f ca="1">AVERAGEIF(C$6:C$1048576,"GT",AY12:AY240)</f>
        <v>421.04955405916547</v>
      </c>
    </row>
    <row r="4" spans="1:82" s="194" customFormat="1" ht="30.75" thickBot="1">
      <c r="B4" s="194" t="s">
        <v>198</v>
      </c>
      <c r="C4" s="193" t="s">
        <v>123</v>
      </c>
      <c r="D4" s="194" t="s">
        <v>125</v>
      </c>
      <c r="E4" s="194" t="s">
        <v>126</v>
      </c>
      <c r="F4" s="193" t="s">
        <v>127</v>
      </c>
      <c r="G4" s="194" t="s">
        <v>127</v>
      </c>
      <c r="H4" s="194" t="s">
        <v>199</v>
      </c>
      <c r="I4" s="194" t="s">
        <v>129</v>
      </c>
      <c r="J4" s="194" t="s">
        <v>130</v>
      </c>
      <c r="K4" s="193" t="s">
        <v>131</v>
      </c>
      <c r="L4" s="194" t="s">
        <v>132</v>
      </c>
      <c r="M4" s="194" t="s">
        <v>133</v>
      </c>
      <c r="N4" s="193" t="s">
        <v>131</v>
      </c>
      <c r="O4" s="194" t="s">
        <v>132</v>
      </c>
      <c r="P4" s="195" t="s">
        <v>133</v>
      </c>
      <c r="Q4" s="193" t="s">
        <v>131</v>
      </c>
      <c r="R4" s="194" t="s">
        <v>132</v>
      </c>
      <c r="S4" s="195" t="s">
        <v>133</v>
      </c>
      <c r="T4" s="194" t="s">
        <v>131</v>
      </c>
      <c r="U4" s="194" t="s">
        <v>132</v>
      </c>
      <c r="V4" s="195" t="s">
        <v>133</v>
      </c>
      <c r="W4" s="194" t="s">
        <v>145</v>
      </c>
      <c r="X4" s="194" t="s">
        <v>146</v>
      </c>
      <c r="Y4" s="194" t="s">
        <v>147</v>
      </c>
      <c r="Z4" s="194" t="s">
        <v>148</v>
      </c>
      <c r="AA4" s="194" t="s">
        <v>149</v>
      </c>
      <c r="AB4" s="194" t="s">
        <v>150</v>
      </c>
      <c r="AC4" s="194" t="s">
        <v>151</v>
      </c>
      <c r="AD4" s="194" t="s">
        <v>152</v>
      </c>
      <c r="AE4" s="193" t="s">
        <v>153</v>
      </c>
      <c r="AF4" s="195" t="s">
        <v>154</v>
      </c>
      <c r="AG4" s="196" t="s">
        <v>200</v>
      </c>
      <c r="AH4" s="197" t="s">
        <v>156</v>
      </c>
      <c r="AI4" s="194" t="s">
        <v>157</v>
      </c>
      <c r="AJ4" s="198" t="s">
        <v>201</v>
      </c>
      <c r="AK4" s="193" t="s">
        <v>159</v>
      </c>
      <c r="AL4" s="195" t="s">
        <v>160</v>
      </c>
      <c r="AM4" s="196" t="s">
        <v>202</v>
      </c>
      <c r="AN4" s="194" t="s">
        <v>161</v>
      </c>
      <c r="AO4" s="194" t="s">
        <v>203</v>
      </c>
      <c r="AP4" s="199" t="s">
        <v>162</v>
      </c>
      <c r="AQ4" s="320" t="s">
        <v>163</v>
      </c>
      <c r="AR4" s="199" t="s">
        <v>164</v>
      </c>
      <c r="AS4" s="200" t="s">
        <v>165</v>
      </c>
      <c r="AT4" s="201" t="s">
        <v>166</v>
      </c>
      <c r="AU4" s="201"/>
      <c r="AV4" s="362">
        <f>IFERROR(AVERAGE(AV8:AV147),"")</f>
        <v>0.2137741667449615</v>
      </c>
      <c r="AW4" s="201" t="s">
        <v>167</v>
      </c>
      <c r="AX4" s="201" t="s">
        <v>204</v>
      </c>
      <c r="AY4" s="201" t="s">
        <v>205</v>
      </c>
      <c r="AZ4" s="201" t="s">
        <v>206</v>
      </c>
      <c r="BA4" s="194" t="s">
        <v>202</v>
      </c>
      <c r="BB4" s="194" t="s">
        <v>207</v>
      </c>
      <c r="BC4" s="194" t="s">
        <v>208</v>
      </c>
      <c r="BD4" s="194" t="s">
        <v>168</v>
      </c>
      <c r="BE4" s="194" t="s">
        <v>169</v>
      </c>
      <c r="BF4" s="194" t="s">
        <v>170</v>
      </c>
    </row>
    <row r="5" spans="1:82" s="16" customFormat="1">
      <c r="C5" s="16" t="s">
        <v>10</v>
      </c>
      <c r="D5" s="16">
        <v>1</v>
      </c>
      <c r="E5" s="16">
        <v>2</v>
      </c>
      <c r="F5" s="16">
        <v>3</v>
      </c>
      <c r="G5" s="16">
        <v>4</v>
      </c>
      <c r="H5" s="16">
        <v>5</v>
      </c>
      <c r="I5" s="16">
        <v>6</v>
      </c>
      <c r="J5" s="16">
        <v>7</v>
      </c>
      <c r="K5" s="16">
        <v>8</v>
      </c>
      <c r="L5" s="16">
        <v>9</v>
      </c>
      <c r="M5" s="16">
        <v>10</v>
      </c>
      <c r="N5" s="16">
        <v>11</v>
      </c>
      <c r="O5" s="16">
        <v>12</v>
      </c>
      <c r="P5" s="16">
        <v>13</v>
      </c>
      <c r="Q5" s="16">
        <v>14</v>
      </c>
      <c r="R5" s="16">
        <v>15</v>
      </c>
      <c r="S5" s="16">
        <v>16</v>
      </c>
      <c r="T5" s="16">
        <v>17</v>
      </c>
      <c r="U5" s="16">
        <v>18</v>
      </c>
      <c r="V5" s="16">
        <v>19</v>
      </c>
      <c r="X5" s="16">
        <v>20</v>
      </c>
      <c r="Y5" s="16">
        <v>21</v>
      </c>
      <c r="AA5" s="16">
        <v>22</v>
      </c>
      <c r="AB5" s="16">
        <v>23</v>
      </c>
      <c r="AC5" s="16">
        <v>24</v>
      </c>
      <c r="AE5" s="16">
        <v>25</v>
      </c>
      <c r="AF5" s="16">
        <v>26</v>
      </c>
      <c r="AG5" s="16">
        <v>27</v>
      </c>
      <c r="AH5" s="16">
        <v>28</v>
      </c>
      <c r="AI5" s="16">
        <v>29</v>
      </c>
      <c r="AJ5" s="19">
        <v>30</v>
      </c>
      <c r="AK5" s="19">
        <v>31</v>
      </c>
      <c r="AL5" s="20">
        <v>32</v>
      </c>
      <c r="AN5" s="16">
        <v>33</v>
      </c>
      <c r="AO5" s="16">
        <v>34</v>
      </c>
      <c r="AP5" s="42">
        <v>35</v>
      </c>
      <c r="AQ5" s="42"/>
      <c r="AR5" s="42">
        <v>36</v>
      </c>
      <c r="AS5" s="42">
        <v>37</v>
      </c>
      <c r="AW5" s="16">
        <v>38</v>
      </c>
      <c r="AX5" s="16">
        <v>39</v>
      </c>
      <c r="AY5" s="16">
        <v>40</v>
      </c>
      <c r="AZ5" s="16">
        <v>41</v>
      </c>
      <c r="BA5" s="16">
        <v>42</v>
      </c>
      <c r="BB5" s="16">
        <v>43</v>
      </c>
      <c r="BC5" s="16">
        <v>44</v>
      </c>
      <c r="BD5" s="16">
        <v>45</v>
      </c>
      <c r="BE5" s="16">
        <v>46</v>
      </c>
      <c r="BF5" s="16">
        <v>47</v>
      </c>
      <c r="BG5" s="16">
        <v>48</v>
      </c>
      <c r="BH5" s="16">
        <v>49</v>
      </c>
      <c r="BI5" s="16">
        <v>50</v>
      </c>
      <c r="BJ5" s="16">
        <v>51</v>
      </c>
      <c r="BK5" s="16">
        <v>52</v>
      </c>
      <c r="BL5" s="16">
        <v>53</v>
      </c>
      <c r="BM5" s="16">
        <v>54</v>
      </c>
      <c r="BN5" s="16">
        <v>55</v>
      </c>
      <c r="BO5" s="16">
        <v>56</v>
      </c>
      <c r="BP5" s="16">
        <v>57</v>
      </c>
      <c r="BQ5" s="16">
        <v>58</v>
      </c>
      <c r="BR5" s="16">
        <v>59</v>
      </c>
      <c r="BS5" s="16">
        <v>60</v>
      </c>
      <c r="BT5" s="16">
        <v>61</v>
      </c>
      <c r="BU5" s="16">
        <v>62</v>
      </c>
      <c r="BV5" s="16">
        <v>63</v>
      </c>
      <c r="BW5" s="16">
        <v>64</v>
      </c>
      <c r="BX5" s="16">
        <v>65</v>
      </c>
      <c r="BY5" s="16">
        <v>66</v>
      </c>
      <c r="BZ5" s="16">
        <v>67</v>
      </c>
      <c r="CA5" s="16">
        <v>68</v>
      </c>
      <c r="CB5" s="16">
        <v>69</v>
      </c>
      <c r="CC5" s="16">
        <v>70</v>
      </c>
      <c r="CD5" s="16">
        <v>71</v>
      </c>
    </row>
    <row r="6" spans="1:82" s="16" customFormat="1">
      <c r="A6" s="510" t="e">
        <f>VLOOKUP(F6,'Tenement Lookup'!A:BH,60,FALSE)</f>
        <v>#N/A</v>
      </c>
      <c r="B6" s="152" t="str">
        <f>IFERROR(IF(FIND("MET",E6),"MET",IF(FIND("GT",E6),"GT",)),"")</f>
        <v/>
      </c>
      <c r="C6" s="152" t="str">
        <f t="shared" ref="C6:C7" si="0">IFERROR(IF(FIND("MET",F6),"MET",IF(FIND("GT",F6),"GT",)),"")</f>
        <v/>
      </c>
      <c r="D6" s="1">
        <f>45843.21</f>
        <v>45843.21</v>
      </c>
      <c r="E6" t="s">
        <v>171</v>
      </c>
      <c r="F6" s="7"/>
      <c r="G6"/>
      <c r="H6" s="4"/>
      <c r="I6" s="4"/>
      <c r="J6" s="5" t="str">
        <f t="shared" ref="J6:J7" si="1">IF(ISBLANK(I6),"",I6*$J$2)</f>
        <v/>
      </c>
      <c r="K6" s="21"/>
      <c r="L6" s="28"/>
      <c r="M6" s="28" t="str">
        <f t="shared" ref="M6:M7" si="2">IF(ISBLANK(K6),"",L6-K6)</f>
        <v/>
      </c>
      <c r="N6" s="30"/>
      <c r="O6" s="26"/>
      <c r="P6" s="31">
        <f t="shared" ref="P6:P7" si="3">IF(ISBLANK(N6),,O6-N6)</f>
        <v>0</v>
      </c>
      <c r="Q6" s="21"/>
      <c r="R6" s="28"/>
      <c r="S6" s="22">
        <f t="shared" ref="S6:S7" si="4">IF(ISBLANK(Q6),,R6-Q6)</f>
        <v>0</v>
      </c>
      <c r="T6" s="26"/>
      <c r="U6" s="26"/>
      <c r="V6" s="31">
        <f t="shared" ref="V6:V7" si="5">IF(ISBLANK(T6),,U6-T6)</f>
        <v>0</v>
      </c>
      <c r="W6" s="26" t="str">
        <f t="shared" ref="W6:W7" si="6">IFERROR(M6+P6+S6+V6,"")</f>
        <v/>
      </c>
      <c r="X6" s="36" t="str">
        <f t="shared" ref="X6:X7" si="7">IFERROR((M6*$M$2)+(P6*$P$2)+(S6*$S$2)+(V6*$V$2),"")</f>
        <v/>
      </c>
      <c r="Y6" s="37" t="str">
        <f t="shared" ref="Y6:Y7" si="8">IF(F6&lt;&gt;"",IF(X6&lt;(AE6*$AE$2),(AE6*$AE$2),X6),"")</f>
        <v/>
      </c>
      <c r="Z6" s="38"/>
      <c r="AA6" s="38">
        <v>1</v>
      </c>
      <c r="AB6" s="38">
        <v>1</v>
      </c>
      <c r="AC6" s="38"/>
      <c r="AD6" s="38"/>
      <c r="AE6" s="34">
        <v>0</v>
      </c>
      <c r="AF6" s="35">
        <v>0</v>
      </c>
      <c r="AG6" s="40"/>
      <c r="AH6" s="44">
        <v>3.5</v>
      </c>
      <c r="AI6" s="13"/>
      <c r="AJ6" s="46" t="s">
        <v>209</v>
      </c>
      <c r="AK6" s="45">
        <v>8.5</v>
      </c>
      <c r="AL6" s="23"/>
      <c r="AM6" s="138"/>
      <c r="AN6" s="25">
        <f t="shared" ref="AN6:AN7" si="9">IF(ISBLANK(AE6),"",SUM(AE6:AF6,AH6:AL6))</f>
        <v>12</v>
      </c>
      <c r="AO6" s="50"/>
      <c r="AP6" s="53">
        <f t="shared" ref="AP6:AP7" si="10">(AF6*$AF$2)+(AH6*$AH$2)+(AI6*$AI$2)</f>
        <v>1260</v>
      </c>
      <c r="AQ6" s="53"/>
      <c r="AR6" s="119"/>
      <c r="AS6" s="56">
        <f>SUM(Y6,AP6,AR6,J6)+AD6</f>
        <v>1260</v>
      </c>
      <c r="AT6" s="298"/>
      <c r="AU6" s="298">
        <f t="shared" ref="AU6:AU7" si="11">SUM(AR6,AD6,Y6,J6)</f>
        <v>0</v>
      </c>
      <c r="AV6" s="298"/>
      <c r="AW6" s="18">
        <f>SUM($AS6:AS$8)</f>
        <v>3780</v>
      </c>
      <c r="AX6" s="18">
        <f>IF(AS6=0,"",SUMIFS($AS6:AS$8, $BH6:BH$8, BH6))</f>
        <v>3780</v>
      </c>
      <c r="AY6" s="57"/>
      <c r="AZ6" s="15" t="str">
        <f t="shared" ref="AZ6:AZ7" ca="1" si="12">IF(D6&lt;TODAY(),HYPERLINK(BG6,"LINK"),"")</f>
        <v>LINK</v>
      </c>
      <c r="BA6" s="10" t="s">
        <v>210</v>
      </c>
      <c r="BB6" s="14" t="s">
        <v>211</v>
      </c>
      <c r="BC6" t="str">
        <f t="shared" ref="BC6:BC7" si="13">RIGHT(YEAR(D6),2)</f>
        <v>25</v>
      </c>
      <c r="BD6" t="str">
        <f t="shared" ref="BD6:BD69" si="14">IF(LEN(MONTH(D8))=1,_xlfn.TEXTJOIN(,,"0",MONTH(D8)),MONTH(D8))</f>
        <v>07</v>
      </c>
      <c r="BE6" s="98" t="str">
        <f t="shared" ref="BE6:BE69" si="15">IF(LEN(DAY(D8))=1,_xlfn.TEXTJOIN(,,"0",DAY(D8)),DAY(D8))</f>
        <v>06</v>
      </c>
      <c r="BF6" t="str">
        <f t="shared" ref="BF6:BF7" si="16">LEFT(E6,1)</f>
        <v>D</v>
      </c>
      <c r="BG6" t="str">
        <f t="shared" ref="BG6:BG7" si="17">CONCATENATE(BB6,BC6,BD6,BE6,BF6)</f>
        <v>https://www.coreplan.io/app/ddh1-drilling/speewah-mining-speewah-fluorite-project-wa/plods/1663-250706D</v>
      </c>
      <c r="BH6" t="str">
        <f t="shared" ref="BH6:BH7" si="18">TEXT(D6, "yyyy-mm")</f>
        <v>2025-07</v>
      </c>
    </row>
    <row r="7" spans="1:82" s="16" customFormat="1">
      <c r="A7" s="510" t="e">
        <f>VLOOKUP(F7,'Tenement Lookup'!A:BH,60,FALSE)</f>
        <v>#N/A</v>
      </c>
      <c r="B7" s="152" t="str">
        <f>IFERROR(IF(FIND("MET",E7),"MET",IF(FIND("GT",E7),"GT",)),"")</f>
        <v/>
      </c>
      <c r="C7" s="152" t="str">
        <f t="shared" si="0"/>
        <v/>
      </c>
      <c r="D7" s="1">
        <f>45843</f>
        <v>45843</v>
      </c>
      <c r="E7" t="s">
        <v>172</v>
      </c>
      <c r="F7" s="7"/>
      <c r="G7"/>
      <c r="H7" s="4"/>
      <c r="I7" s="4"/>
      <c r="J7" s="5" t="str">
        <f t="shared" si="1"/>
        <v/>
      </c>
      <c r="K7" s="21"/>
      <c r="L7" s="28"/>
      <c r="M7" s="28" t="str">
        <f t="shared" si="2"/>
        <v/>
      </c>
      <c r="N7" s="30"/>
      <c r="O7" s="26"/>
      <c r="P7" s="31">
        <f t="shared" si="3"/>
        <v>0</v>
      </c>
      <c r="Q7" s="21"/>
      <c r="R7" s="28"/>
      <c r="S7" s="22">
        <f t="shared" si="4"/>
        <v>0</v>
      </c>
      <c r="T7" s="26"/>
      <c r="U7" s="26"/>
      <c r="V7" s="31">
        <f t="shared" si="5"/>
        <v>0</v>
      </c>
      <c r="W7" s="26" t="str">
        <f t="shared" si="6"/>
        <v/>
      </c>
      <c r="X7" s="36" t="str">
        <f t="shared" si="7"/>
        <v/>
      </c>
      <c r="Y7" s="37" t="str">
        <f t="shared" si="8"/>
        <v/>
      </c>
      <c r="Z7" s="38"/>
      <c r="AA7" s="38"/>
      <c r="AB7" s="38"/>
      <c r="AC7" s="38"/>
      <c r="AD7" s="38"/>
      <c r="AE7" s="34">
        <v>0</v>
      </c>
      <c r="AF7" s="35">
        <v>0</v>
      </c>
      <c r="AG7" s="40"/>
      <c r="AH7" s="44">
        <v>3.5</v>
      </c>
      <c r="AI7" s="13"/>
      <c r="AJ7" s="46" t="s">
        <v>209</v>
      </c>
      <c r="AK7" s="45">
        <v>7.5</v>
      </c>
      <c r="AL7" s="23"/>
      <c r="AM7" s="138"/>
      <c r="AN7" s="25">
        <f t="shared" si="9"/>
        <v>11</v>
      </c>
      <c r="AO7" s="50"/>
      <c r="AP7" s="53">
        <f t="shared" si="10"/>
        <v>1260</v>
      </c>
      <c r="AQ7" s="53"/>
      <c r="AR7" s="119"/>
      <c r="AS7" s="56">
        <f t="shared" ref="AS7:AS67" si="19">SUM(Y7,AP7,AR7,J7)+AD7</f>
        <v>1260</v>
      </c>
      <c r="AT7" s="298"/>
      <c r="AU7" s="298">
        <f t="shared" si="11"/>
        <v>0</v>
      </c>
      <c r="AV7" s="298"/>
      <c r="AW7" s="18">
        <f>SUM($AS7:AS$8)</f>
        <v>2520</v>
      </c>
      <c r="AX7" s="18">
        <f>IF(AS7=0,"",SUMIFS($AS7:AS$8, $BH7:BH$8, BH7))</f>
        <v>2520</v>
      </c>
      <c r="AY7" s="57"/>
      <c r="AZ7" s="15" t="str">
        <f t="shared" ca="1" si="12"/>
        <v>LINK</v>
      </c>
      <c r="BA7" s="10" t="s">
        <v>210</v>
      </c>
      <c r="BB7" s="14" t="s">
        <v>211</v>
      </c>
      <c r="BC7" t="str">
        <f t="shared" si="13"/>
        <v>25</v>
      </c>
      <c r="BD7" t="str">
        <f t="shared" si="14"/>
        <v>07</v>
      </c>
      <c r="BE7" s="98" t="str">
        <f t="shared" si="15"/>
        <v>06</v>
      </c>
      <c r="BF7" t="str">
        <f t="shared" si="16"/>
        <v>N</v>
      </c>
      <c r="BG7" t="str">
        <f t="shared" si="17"/>
        <v>https://www.coreplan.io/app/ddh1-drilling/speewah-mining-speewah-fluorite-project-wa/plods/1663-250706N</v>
      </c>
      <c r="BH7" t="str">
        <f t="shared" si="18"/>
        <v>2025-07</v>
      </c>
    </row>
    <row r="8" spans="1:82">
      <c r="A8" s="510" t="e">
        <f>VLOOKUP(F8,'Tenement Lookup'!A:BH,60,FALSE)</f>
        <v>#N/A</v>
      </c>
      <c r="C8" s="152" t="str">
        <f>IFERROR(IF(FIND("MET",F8),"MET",IF(FIND("GT",F8),"GT",)),"")</f>
        <v/>
      </c>
      <c r="D8" s="1">
        <f>45843.21+1</f>
        <v>45844.21</v>
      </c>
      <c r="E8" t="s">
        <v>171</v>
      </c>
      <c r="H8" s="4"/>
      <c r="I8" s="4"/>
      <c r="J8" s="5" t="str">
        <f t="shared" ref="J8:J59" si="20">IF(ISBLANK(I8),"",I8*$J$2)</f>
        <v/>
      </c>
      <c r="K8" s="21"/>
      <c r="L8" s="28"/>
      <c r="M8" s="28" t="str">
        <f t="shared" ref="M8:M26" si="21">IF(ISBLANK(K8),"",L8-K8)</f>
        <v/>
      </c>
      <c r="N8" s="30"/>
      <c r="O8" s="26"/>
      <c r="P8" s="31">
        <f t="shared" ref="P8:P25" si="22">IF(ISBLANK(N8),,O8-N8)</f>
        <v>0</v>
      </c>
      <c r="Q8" s="21"/>
      <c r="R8" s="28"/>
      <c r="S8" s="22">
        <f t="shared" ref="S8:S25" si="23">IF(ISBLANK(Q8),,R8-Q8)</f>
        <v>0</v>
      </c>
      <c r="T8" s="26"/>
      <c r="U8" s="26"/>
      <c r="V8" s="31">
        <f t="shared" ref="V8:V25" si="24">IF(ISBLANK(T8),,U8-T8)</f>
        <v>0</v>
      </c>
      <c r="W8" s="26" t="str">
        <f t="shared" ref="W8:W26" si="25">IFERROR(M8+P8+S8+V8,"")</f>
        <v/>
      </c>
      <c r="X8" s="36" t="str">
        <f t="shared" ref="X8:X59" si="26">IFERROR((M8*$M$2)+(P8*$P$2)+(S8*$S$2)+(V8*$V$2),"")</f>
        <v/>
      </c>
      <c r="Y8" s="37" t="str">
        <f t="shared" ref="Y8:Y25" si="27">IF(F8&lt;&gt;"",IF(X8&lt;(AE8*$AE$2),(AE8*$AE$2),X8),"")</f>
        <v/>
      </c>
      <c r="Z8" s="38"/>
      <c r="AA8" s="38">
        <v>1</v>
      </c>
      <c r="AB8" s="38">
        <v>1</v>
      </c>
      <c r="AC8" s="38"/>
      <c r="AD8" s="38"/>
      <c r="AE8" s="34">
        <v>0</v>
      </c>
      <c r="AF8" s="35">
        <v>0</v>
      </c>
      <c r="AG8" s="40"/>
      <c r="AH8" s="44">
        <v>3.5</v>
      </c>
      <c r="AI8" s="13"/>
      <c r="AJ8" s="46" t="s">
        <v>209</v>
      </c>
      <c r="AK8" s="45">
        <v>8.5</v>
      </c>
      <c r="AL8" s="23"/>
      <c r="AM8" s="138"/>
      <c r="AN8" s="25">
        <f t="shared" ref="AN8:AN31" si="28">IF(ISBLANK(AE8),"",SUM(AE8:AF8,AH8:AL8))</f>
        <v>12</v>
      </c>
      <c r="AO8" s="50"/>
      <c r="AP8" s="53">
        <f t="shared" ref="AP8:AP25" si="29">(AF8*$AF$2)+(AH8*$AH$2)+(AI8*$AI$2)</f>
        <v>1260</v>
      </c>
      <c r="AQ8" s="53"/>
      <c r="AR8" s="119"/>
      <c r="AS8" s="56">
        <f t="shared" si="19"/>
        <v>1260</v>
      </c>
      <c r="AT8" s="298">
        <v>1260</v>
      </c>
      <c r="AU8" s="298">
        <f>SUM(AR8,AD8,Y8,J8)</f>
        <v>0</v>
      </c>
      <c r="AV8" s="298"/>
      <c r="AW8" s="18">
        <f>SUM($AS$8:AS8)</f>
        <v>1260</v>
      </c>
      <c r="AX8" s="18">
        <f>IF(AS8=0,"",SUMIFS($AS$8:AS8, $BH$8:BH8, BH8))</f>
        <v>1260</v>
      </c>
      <c r="AY8" s="57"/>
      <c r="AZ8" s="15" t="str">
        <f t="shared" ref="AZ8:AZ25" ca="1" si="30">IF(D8&lt;TODAY(),HYPERLINK(BG8,"LINK"),"")</f>
        <v>LINK</v>
      </c>
      <c r="BA8" s="10" t="s">
        <v>210</v>
      </c>
      <c r="BB8" s="14" t="s">
        <v>211</v>
      </c>
      <c r="BC8" t="str">
        <f t="shared" ref="BC8:BC25" si="31">RIGHT(YEAR(D8),2)</f>
        <v>25</v>
      </c>
      <c r="BD8" t="str">
        <f t="shared" si="14"/>
        <v>07</v>
      </c>
      <c r="BE8" s="98" t="str">
        <f t="shared" si="15"/>
        <v>07</v>
      </c>
      <c r="BF8" t="str">
        <f t="shared" ref="BF8:BF25" si="32">LEFT(E8,1)</f>
        <v>D</v>
      </c>
      <c r="BG8" t="str">
        <f t="shared" ref="BG8:BG26" si="33">CONCATENATE(BB8,BC8,BD8,BE8,BF8)</f>
        <v>https://www.coreplan.io/app/ddh1-drilling/speewah-mining-speewah-fluorite-project-wa/plods/1663-250707D</v>
      </c>
      <c r="BH8" t="str">
        <f t="shared" ref="BH8:BH25" si="34">TEXT(D8, "yyyy-mm")</f>
        <v>2025-07</v>
      </c>
      <c r="BJ8" t="s">
        <v>11</v>
      </c>
      <c r="BK8" t="s">
        <v>9</v>
      </c>
      <c r="BM8" t="str" cm="1">
        <f t="array" ref="BM8:BM10">_xlfn.UNIQUE(_xlfn._xlws.FILTER(C6:C100, C6:C100&lt;&gt;""))</f>
        <v>MET</v>
      </c>
      <c r="BN8" cm="1">
        <f t="array" ref="BN8">_xlfn.LET(
    _xlpm.idx, I6,
    _xlpm.rowMatch, C6:C100 = _xlpm.idx,
    _xlpm.dTexts, _xlfn._xlws.FILTER(F6:F100, _xlpm.rowMatch),
    _xlpm.eTexts, _xlfn._xlws.FILTER(G6:G100, _xlpm.rowMatch),
    _xlpm.combined, _xlfn.VSTACK(_xlpm.dTexts, _xlpm.eTexts),
    _xlpm.validTexts, _xlfn._xlws.FILTER(_xlpm.combined, ISTEXT(_xlpm.combined)),
    COUNTA(_xlfn.UNIQUE(_xlpm.validTexts))
)</f>
        <v>1</v>
      </c>
    </row>
    <row r="9" spans="1:82">
      <c r="A9" s="510" t="e">
        <f>VLOOKUP(F9,'Tenement Lookup'!A:BH,60,FALSE)</f>
        <v>#N/A</v>
      </c>
      <c r="C9" s="152" t="str">
        <f t="shared" ref="C9" si="35">IFERROR(IF(FIND("MET",F9),"MET",IF(FIND("GT",F9),"GT",)),"")</f>
        <v/>
      </c>
      <c r="D9" s="1">
        <f>45843.71+1</f>
        <v>45844.71</v>
      </c>
      <c r="E9" t="s">
        <v>172</v>
      </c>
      <c r="H9" s="4"/>
      <c r="I9" s="4"/>
      <c r="J9" s="5" t="str">
        <f t="shared" si="20"/>
        <v/>
      </c>
      <c r="K9" s="21"/>
      <c r="L9" s="28"/>
      <c r="M9" s="28" t="str">
        <f t="shared" si="21"/>
        <v/>
      </c>
      <c r="N9" s="30"/>
      <c r="O9" s="26"/>
      <c r="P9" s="31">
        <f t="shared" si="22"/>
        <v>0</v>
      </c>
      <c r="Q9" s="21"/>
      <c r="R9" s="28"/>
      <c r="S9" s="22">
        <f t="shared" si="23"/>
        <v>0</v>
      </c>
      <c r="T9" s="26"/>
      <c r="U9" s="26"/>
      <c r="V9" s="31">
        <f t="shared" si="24"/>
        <v>0</v>
      </c>
      <c r="W9" s="26" t="str">
        <f t="shared" si="25"/>
        <v/>
      </c>
      <c r="X9" s="36" t="str">
        <f t="shared" si="26"/>
        <v/>
      </c>
      <c r="Y9" s="37" t="str">
        <f t="shared" si="27"/>
        <v/>
      </c>
      <c r="Z9" s="38"/>
      <c r="AA9" s="38"/>
      <c r="AB9" s="38"/>
      <c r="AC9" s="38"/>
      <c r="AD9" s="38"/>
      <c r="AE9" s="34"/>
      <c r="AF9" s="35"/>
      <c r="AG9" s="40"/>
      <c r="AH9" s="44"/>
      <c r="AI9" s="13"/>
      <c r="AJ9" s="46"/>
      <c r="AK9" s="45"/>
      <c r="AL9" s="23"/>
      <c r="AM9" s="138"/>
      <c r="AN9" s="25" t="str">
        <f t="shared" si="28"/>
        <v/>
      </c>
      <c r="AO9" s="50"/>
      <c r="AP9" s="53">
        <f t="shared" si="29"/>
        <v>0</v>
      </c>
      <c r="AQ9" s="53"/>
      <c r="AR9" s="119"/>
      <c r="AS9" s="56">
        <f t="shared" si="19"/>
        <v>0</v>
      </c>
      <c r="AT9" s="298">
        <v>0</v>
      </c>
      <c r="AU9" s="298">
        <f t="shared" ref="AU9:AU72" si="36">SUM(AR9,AD9,Y9,J9)</f>
        <v>0</v>
      </c>
      <c r="AV9" s="298"/>
      <c r="AW9" s="18">
        <f>SUM($AS$8:AS9)</f>
        <v>1260</v>
      </c>
      <c r="AX9" s="18" t="str">
        <f>IF(AS9=0,"",SUMIFS($AS$8:AS9, $BH$8:BH9, BH9))</f>
        <v/>
      </c>
      <c r="AY9" s="57" t="str">
        <f t="shared" ref="AY9:AY25" ca="1" si="37">IF(AND(D9&gt;TODAY(),ISBLANK(H9)),"",IF(ISBLANK(AE9),"no drilling completed",AS9/(W9)))</f>
        <v>no drilling completed</v>
      </c>
      <c r="AZ9" s="15" t="str">
        <f t="shared" ca="1" si="30"/>
        <v>LINK</v>
      </c>
      <c r="BA9" t="s">
        <v>212</v>
      </c>
      <c r="BB9" s="14" t="s">
        <v>211</v>
      </c>
      <c r="BC9" t="str">
        <f t="shared" si="31"/>
        <v>25</v>
      </c>
      <c r="BD9" t="str">
        <f t="shared" si="14"/>
        <v>07</v>
      </c>
      <c r="BE9" s="98" t="str">
        <f t="shared" si="15"/>
        <v>07</v>
      </c>
      <c r="BF9" t="str">
        <f t="shared" si="32"/>
        <v>N</v>
      </c>
      <c r="BG9" t="str">
        <f t="shared" si="33"/>
        <v>https://www.coreplan.io/app/ddh1-drilling/speewah-mining-speewah-fluorite-project-wa/plods/1663-250707N</v>
      </c>
      <c r="BH9" t="str">
        <f t="shared" si="34"/>
        <v>2025-07</v>
      </c>
      <c r="BJ9">
        <f ca="1">AVERAGEIF(C:C,"MET",AY:AY)</f>
        <v>396.73876224843463</v>
      </c>
      <c r="BK9">
        <f ca="1">AVERAGEIF(C:C,"GT",AY:AY)</f>
        <v>426.62994213266489</v>
      </c>
      <c r="BM9" t="str">
        <v>GT</v>
      </c>
      <c r="BN9" cm="1">
        <f t="array" ref="BN9">_xlfn.LET(
    _xlpm.idx, I7,
    _xlpm.rowMatch, C7:C101 = _xlpm.idx,
    _xlpm.dTexts, _xlfn._xlws.FILTER(F7:F101, _xlpm.rowMatch),
    _xlpm.eTexts, _xlfn._xlws.FILTER(G7:G101, _xlpm.rowMatch),
    _xlpm.combined, _xlfn.VSTACK(_xlpm.dTexts, _xlpm.eTexts),
    _xlpm.validTexts, _xlfn._xlws.FILTER(_xlpm.combined, ISTEXT(_xlpm.combined)),
    COUNTA(_xlfn.UNIQUE(_xlpm.validTexts))
)</f>
        <v>1</v>
      </c>
    </row>
    <row r="10" spans="1:82">
      <c r="A10" s="510" t="str">
        <f>VLOOKUP(F10,'Tenement Lookup'!A:BH,60,FALSE)</f>
        <v>M 80/269</v>
      </c>
      <c r="B10" t="str">
        <f>VLOOKUP(F10,Purpose!$A$2:$B$334,2,FALSE)</f>
        <v>Met</v>
      </c>
      <c r="C10" s="152" t="s">
        <v>11</v>
      </c>
      <c r="D10" s="1">
        <f t="shared" ref="D10:D67" si="38">D8+1</f>
        <v>45845.21</v>
      </c>
      <c r="E10" t="s">
        <v>171</v>
      </c>
      <c r="F10" s="7" t="s">
        <v>173</v>
      </c>
      <c r="H10" s="4" t="s">
        <v>213</v>
      </c>
      <c r="I10" s="4">
        <v>6</v>
      </c>
      <c r="J10" s="5">
        <f t="shared" si="20"/>
        <v>780</v>
      </c>
      <c r="K10" s="21">
        <v>0</v>
      </c>
      <c r="L10" s="28">
        <v>0</v>
      </c>
      <c r="M10" s="28">
        <f t="shared" si="21"/>
        <v>0</v>
      </c>
      <c r="N10" s="30"/>
      <c r="O10" s="26"/>
      <c r="P10" s="31">
        <f t="shared" si="22"/>
        <v>0</v>
      </c>
      <c r="Q10" s="21"/>
      <c r="R10" s="28"/>
      <c r="S10" s="22">
        <f t="shared" si="23"/>
        <v>0</v>
      </c>
      <c r="T10" s="26"/>
      <c r="U10" s="26"/>
      <c r="V10" s="31">
        <f t="shared" si="24"/>
        <v>0</v>
      </c>
      <c r="W10" s="26">
        <f t="shared" si="25"/>
        <v>0</v>
      </c>
      <c r="X10" s="36">
        <f t="shared" si="26"/>
        <v>0</v>
      </c>
      <c r="Y10" s="37">
        <f t="shared" si="27"/>
        <v>0</v>
      </c>
      <c r="Z10" s="38"/>
      <c r="AA10" s="38">
        <v>1</v>
      </c>
      <c r="AB10" s="38">
        <v>1</v>
      </c>
      <c r="AC10" s="38">
        <v>13170</v>
      </c>
      <c r="AD10" s="157">
        <f>SUMPRODUCT(Z10:AB10,$Z$2:$AB$2)</f>
        <v>575</v>
      </c>
      <c r="AE10" s="34">
        <v>0</v>
      </c>
      <c r="AF10" s="35">
        <v>8.25</v>
      </c>
      <c r="AG10" s="40"/>
      <c r="AH10" s="44">
        <v>2</v>
      </c>
      <c r="AI10" s="13"/>
      <c r="AJ10" s="46"/>
      <c r="AK10" s="45">
        <v>1.75</v>
      </c>
      <c r="AL10" s="23"/>
      <c r="AM10" s="138"/>
      <c r="AN10" s="25">
        <f t="shared" si="28"/>
        <v>12</v>
      </c>
      <c r="AO10" s="50"/>
      <c r="AP10" s="53">
        <f t="shared" si="29"/>
        <v>4515</v>
      </c>
      <c r="AQ10" s="53"/>
      <c r="AR10" s="119">
        <v>761</v>
      </c>
      <c r="AS10" s="56">
        <f t="shared" si="19"/>
        <v>6631</v>
      </c>
      <c r="AT10" s="298">
        <v>6631</v>
      </c>
      <c r="AU10" s="298">
        <f t="shared" si="36"/>
        <v>2116</v>
      </c>
      <c r="AV10" s="357">
        <f>IFERROR((AS10-AU10)/AS10,"")</f>
        <v>0.68089277635349121</v>
      </c>
      <c r="AW10" s="18">
        <f>SUM($AS$8:AS10)</f>
        <v>7891</v>
      </c>
      <c r="AX10" s="18">
        <f>IF(AS10=0,"",SUMIFS($AS$8:AS10, $BH$8:BH10, BH10))</f>
        <v>7891</v>
      </c>
      <c r="AY10" s="57"/>
      <c r="AZ10" s="15" t="str">
        <f t="shared" ca="1" si="30"/>
        <v>LINK</v>
      </c>
      <c r="BA10" s="10" t="s">
        <v>214</v>
      </c>
      <c r="BB10" s="14" t="s">
        <v>211</v>
      </c>
      <c r="BC10" t="str">
        <f t="shared" si="31"/>
        <v>25</v>
      </c>
      <c r="BD10" t="str">
        <f t="shared" si="14"/>
        <v>07</v>
      </c>
      <c r="BE10" s="98" t="str">
        <f t="shared" si="15"/>
        <v>08</v>
      </c>
      <c r="BF10" t="str">
        <f t="shared" si="32"/>
        <v>D</v>
      </c>
      <c r="BG10" t="str">
        <f t="shared" si="33"/>
        <v>https://www.coreplan.io/app/ddh1-drilling/speewah-mining-speewah-fluorite-project-wa/plods/1663-250708D</v>
      </c>
      <c r="BH10" t="str">
        <f t="shared" si="34"/>
        <v>2025-07</v>
      </c>
      <c r="BM10" t="str">
        <v>DDRD</v>
      </c>
      <c r="BN10" cm="1">
        <f t="array" ref="BN10">_xlfn.LET(
    _xlpm.idx, I8,
    _xlpm.rowMatch, C8:C102 = _xlpm.idx,
    _xlpm.dTexts, _xlfn._xlws.FILTER(F8:F102, _xlpm.rowMatch),
    _xlpm.eTexts, _xlfn._xlws.FILTER(G8:G102, _xlpm.rowMatch),
    _xlpm.combined, _xlfn.VSTACK(_xlpm.dTexts, _xlpm.eTexts),
    _xlpm.validTexts, _xlfn._xlws.FILTER(_xlpm.combined, ISTEXT(_xlpm.combined)),
    COUNTA(_xlfn.UNIQUE(_xlpm.validTexts))
)</f>
        <v>1</v>
      </c>
    </row>
    <row r="11" spans="1:82">
      <c r="A11" s="510" t="e">
        <f>VLOOKUP(F11,'Tenement Lookup'!A:BH,60,FALSE)</f>
        <v>#N/A</v>
      </c>
      <c r="C11" s="152"/>
      <c r="D11" s="1">
        <f t="shared" si="38"/>
        <v>45845.71</v>
      </c>
      <c r="E11" t="s">
        <v>172</v>
      </c>
      <c r="H11" s="4"/>
      <c r="I11" s="4"/>
      <c r="J11" s="5" t="str">
        <f t="shared" si="20"/>
        <v/>
      </c>
      <c r="K11" s="21"/>
      <c r="L11" s="28"/>
      <c r="M11" s="28" t="str">
        <f t="shared" si="21"/>
        <v/>
      </c>
      <c r="N11" s="30"/>
      <c r="O11" s="26"/>
      <c r="P11" s="31">
        <f t="shared" si="22"/>
        <v>0</v>
      </c>
      <c r="Q11" s="21"/>
      <c r="R11" s="28"/>
      <c r="S11" s="22">
        <f t="shared" si="23"/>
        <v>0</v>
      </c>
      <c r="T11" s="26"/>
      <c r="U11" s="26"/>
      <c r="V11" s="31">
        <f t="shared" si="24"/>
        <v>0</v>
      </c>
      <c r="W11" s="26" t="str">
        <f t="shared" si="25"/>
        <v/>
      </c>
      <c r="X11" s="36" t="str">
        <f t="shared" si="26"/>
        <v/>
      </c>
      <c r="Y11" s="37" t="str">
        <f t="shared" si="27"/>
        <v/>
      </c>
      <c r="Z11" s="38"/>
      <c r="AA11" s="38"/>
      <c r="AB11" s="38"/>
      <c r="AC11" s="38"/>
      <c r="AD11" s="157">
        <f t="shared" ref="AD11:AD74" si="39">SUMPRODUCT(Z11:AB11,$Z$2:$AB$2)</f>
        <v>0</v>
      </c>
      <c r="AE11" s="34"/>
      <c r="AF11" s="35"/>
      <c r="AG11" s="40"/>
      <c r="AH11" s="44"/>
      <c r="AI11" s="13"/>
      <c r="AJ11" s="46"/>
      <c r="AK11" s="45"/>
      <c r="AL11" s="23"/>
      <c r="AM11" s="138"/>
      <c r="AN11" s="25" t="str">
        <f t="shared" si="28"/>
        <v/>
      </c>
      <c r="AO11" s="50"/>
      <c r="AP11" s="53">
        <f t="shared" si="29"/>
        <v>0</v>
      </c>
      <c r="AQ11" s="53"/>
      <c r="AR11" s="119"/>
      <c r="AS11" s="56">
        <f t="shared" si="19"/>
        <v>0</v>
      </c>
      <c r="AT11" s="298">
        <v>0</v>
      </c>
      <c r="AU11" s="298">
        <f t="shared" si="36"/>
        <v>0</v>
      </c>
      <c r="AV11" s="357" t="str">
        <f t="shared" ref="AV11:AV74" si="40">IFERROR((AS11-AU11)/AS11,"")</f>
        <v/>
      </c>
      <c r="AW11" s="18">
        <f>SUM($AS$8:AS11)</f>
        <v>7891</v>
      </c>
      <c r="AX11" s="18" t="str">
        <f>IF(AS11=0,"",SUMIFS($AS$8:AS11, $BH$8:BH11, BH11))</f>
        <v/>
      </c>
      <c r="AY11" s="57" t="str">
        <f t="shared" ca="1" si="37"/>
        <v>no drilling completed</v>
      </c>
      <c r="AZ11" s="15" t="str">
        <f t="shared" ca="1" si="30"/>
        <v>LINK</v>
      </c>
      <c r="BB11" s="14" t="s">
        <v>211</v>
      </c>
      <c r="BC11" t="str">
        <f t="shared" si="31"/>
        <v>25</v>
      </c>
      <c r="BD11" t="str">
        <f t="shared" si="14"/>
        <v>07</v>
      </c>
      <c r="BE11" s="98" t="str">
        <f t="shared" si="15"/>
        <v>08</v>
      </c>
      <c r="BF11" t="str">
        <f t="shared" si="32"/>
        <v>N</v>
      </c>
      <c r="BG11" t="str">
        <f t="shared" si="33"/>
        <v>https://www.coreplan.io/app/ddh1-drilling/speewah-mining-speewah-fluorite-project-wa/plods/1663-250708N</v>
      </c>
      <c r="BH11" t="str">
        <f t="shared" si="34"/>
        <v>2025-07</v>
      </c>
    </row>
    <row r="12" spans="1:82">
      <c r="A12" s="510" t="str">
        <f>VLOOKUP(F12,'Tenement Lookup'!A:BH,60,FALSE)</f>
        <v>M 80/269</v>
      </c>
      <c r="B12" t="str">
        <f>VLOOKUP(F12,Purpose!$A$2:$B$334,2,FALSE)</f>
        <v>Met</v>
      </c>
      <c r="C12" s="152" t="s">
        <v>11</v>
      </c>
      <c r="D12" s="1">
        <f t="shared" si="38"/>
        <v>45846.21</v>
      </c>
      <c r="E12" t="s">
        <v>171</v>
      </c>
      <c r="F12" s="7" t="s">
        <v>173</v>
      </c>
      <c r="H12" s="4" t="s">
        <v>213</v>
      </c>
      <c r="I12" s="4">
        <v>3</v>
      </c>
      <c r="J12" s="5">
        <f t="shared" si="20"/>
        <v>390</v>
      </c>
      <c r="K12" s="21">
        <v>0</v>
      </c>
      <c r="L12" s="28">
        <v>11</v>
      </c>
      <c r="M12" s="28">
        <f t="shared" si="21"/>
        <v>11</v>
      </c>
      <c r="N12" s="30"/>
      <c r="O12" s="26"/>
      <c r="P12" s="31">
        <f t="shared" si="22"/>
        <v>0</v>
      </c>
      <c r="Q12" s="21"/>
      <c r="R12" s="28"/>
      <c r="S12" s="22">
        <f t="shared" si="23"/>
        <v>0</v>
      </c>
      <c r="T12" s="26"/>
      <c r="U12" s="26"/>
      <c r="V12" s="31">
        <f t="shared" si="24"/>
        <v>0</v>
      </c>
      <c r="W12" s="26">
        <f t="shared" si="25"/>
        <v>11</v>
      </c>
      <c r="X12" s="36">
        <f t="shared" si="26"/>
        <v>1925</v>
      </c>
      <c r="Y12" s="37">
        <f t="shared" si="27"/>
        <v>1955</v>
      </c>
      <c r="Z12" s="38"/>
      <c r="AA12" s="38">
        <v>1</v>
      </c>
      <c r="AB12" s="38">
        <v>1</v>
      </c>
      <c r="AC12" s="38">
        <v>13170</v>
      </c>
      <c r="AD12" s="157">
        <f t="shared" si="39"/>
        <v>575</v>
      </c>
      <c r="AE12" s="34">
        <v>4.25</v>
      </c>
      <c r="AF12" s="35">
        <v>7</v>
      </c>
      <c r="AG12" s="40"/>
      <c r="AH12" s="44">
        <v>0.75</v>
      </c>
      <c r="AI12" s="13"/>
      <c r="AJ12" s="46"/>
      <c r="AK12" s="45"/>
      <c r="AL12" s="23"/>
      <c r="AM12" s="138"/>
      <c r="AN12" s="25">
        <f t="shared" si="28"/>
        <v>12</v>
      </c>
      <c r="AO12" s="50"/>
      <c r="AP12" s="53">
        <f t="shared" si="29"/>
        <v>3490</v>
      </c>
      <c r="AQ12" s="53"/>
      <c r="AR12" s="119">
        <f>1076.34-390</f>
        <v>686.33999999999992</v>
      </c>
      <c r="AS12" s="56">
        <f t="shared" si="19"/>
        <v>7096.34</v>
      </c>
      <c r="AT12" s="298">
        <v>7096.34</v>
      </c>
      <c r="AU12" s="298">
        <f t="shared" si="36"/>
        <v>3606.34</v>
      </c>
      <c r="AV12" s="357">
        <f t="shared" si="40"/>
        <v>0.49180281666323766</v>
      </c>
      <c r="AW12" s="18">
        <f>SUM($AS$8:AS12)</f>
        <v>14987.34</v>
      </c>
      <c r="AX12" s="18">
        <f>IF(AS12=0,"",SUMIFS($AS$8:AS12, $BH$8:BH12, BH12))</f>
        <v>14987.34</v>
      </c>
      <c r="AY12" s="57">
        <f t="shared" ca="1" si="37"/>
        <v>645.12181818181818</v>
      </c>
      <c r="AZ12" s="15" t="str">
        <f t="shared" ca="1" si="30"/>
        <v>LINK</v>
      </c>
      <c r="BB12" s="14" t="s">
        <v>211</v>
      </c>
      <c r="BC12" t="str">
        <f t="shared" si="31"/>
        <v>25</v>
      </c>
      <c r="BD12" t="str">
        <f t="shared" si="14"/>
        <v>07</v>
      </c>
      <c r="BE12" s="98" t="str">
        <f t="shared" si="15"/>
        <v>09</v>
      </c>
      <c r="BF12" t="str">
        <f t="shared" si="32"/>
        <v>D</v>
      </c>
      <c r="BG12" t="str">
        <f t="shared" si="33"/>
        <v>https://www.coreplan.io/app/ddh1-drilling/speewah-mining-speewah-fluorite-project-wa/plods/1663-250709D</v>
      </c>
      <c r="BH12" t="str">
        <f t="shared" si="34"/>
        <v>2025-07</v>
      </c>
    </row>
    <row r="13" spans="1:82">
      <c r="A13" s="510" t="str">
        <f>VLOOKUP(F13,'Tenement Lookup'!A:BH,60,FALSE)</f>
        <v>M 80/269</v>
      </c>
      <c r="B13" t="str">
        <f>VLOOKUP(F13,Purpose!$A$2:$B$334,2,FALSE)</f>
        <v>Met</v>
      </c>
      <c r="C13" s="152" t="s">
        <v>11</v>
      </c>
      <c r="D13" s="1">
        <f t="shared" si="38"/>
        <v>45846.71</v>
      </c>
      <c r="E13" t="s">
        <v>172</v>
      </c>
      <c r="F13" s="7" t="s">
        <v>173</v>
      </c>
      <c r="H13" s="4" t="s">
        <v>215</v>
      </c>
      <c r="I13" s="4">
        <v>3</v>
      </c>
      <c r="J13" s="5">
        <f t="shared" si="20"/>
        <v>390</v>
      </c>
      <c r="K13" s="21">
        <v>11</v>
      </c>
      <c r="L13" s="28">
        <v>26.6</v>
      </c>
      <c r="M13" s="28">
        <f t="shared" si="21"/>
        <v>15.600000000000001</v>
      </c>
      <c r="N13" s="30"/>
      <c r="O13" s="26"/>
      <c r="P13" s="31">
        <f t="shared" si="22"/>
        <v>0</v>
      </c>
      <c r="Q13" s="21"/>
      <c r="R13" s="28"/>
      <c r="S13" s="22">
        <f t="shared" si="23"/>
        <v>0</v>
      </c>
      <c r="T13" s="26"/>
      <c r="U13" s="26"/>
      <c r="V13" s="31">
        <f t="shared" si="24"/>
        <v>0</v>
      </c>
      <c r="W13" s="26">
        <f t="shared" si="25"/>
        <v>15.600000000000001</v>
      </c>
      <c r="X13" s="36">
        <f t="shared" si="26"/>
        <v>2730.0000000000005</v>
      </c>
      <c r="Y13" s="37">
        <f t="shared" si="27"/>
        <v>3335</v>
      </c>
      <c r="Z13" s="38"/>
      <c r="AA13" s="38"/>
      <c r="AB13" s="38"/>
      <c r="AC13" s="38"/>
      <c r="AD13" s="157">
        <f t="shared" si="39"/>
        <v>0</v>
      </c>
      <c r="AE13" s="34">
        <v>7.25</v>
      </c>
      <c r="AF13" s="35">
        <v>1.5</v>
      </c>
      <c r="AG13" s="40"/>
      <c r="AH13" s="44">
        <v>0.25</v>
      </c>
      <c r="AI13" s="13"/>
      <c r="AJ13" s="46"/>
      <c r="AK13" s="45">
        <v>3</v>
      </c>
      <c r="AL13" s="23"/>
      <c r="AM13" s="138"/>
      <c r="AN13" s="25">
        <f t="shared" si="28"/>
        <v>12</v>
      </c>
      <c r="AO13" s="50"/>
      <c r="AP13" s="53">
        <f t="shared" si="29"/>
        <v>780</v>
      </c>
      <c r="AQ13" s="53"/>
      <c r="AR13" s="119">
        <v>117.93</v>
      </c>
      <c r="AS13" s="56">
        <f t="shared" si="19"/>
        <v>4622.93</v>
      </c>
      <c r="AT13" s="298">
        <v>4622.93</v>
      </c>
      <c r="AU13" s="298">
        <f t="shared" si="36"/>
        <v>3842.93</v>
      </c>
      <c r="AV13" s="357">
        <f t="shared" si="40"/>
        <v>0.16872416411237037</v>
      </c>
      <c r="AW13" s="18">
        <f>SUM($AS$8:AS13)</f>
        <v>19610.27</v>
      </c>
      <c r="AX13" s="18">
        <f>IF(AS13=0,"",SUMIFS($AS$8:AS13, $BH$8:BH13, BH13))</f>
        <v>19610.27</v>
      </c>
      <c r="AY13" s="57">
        <f t="shared" ca="1" si="37"/>
        <v>296.34166666666664</v>
      </c>
      <c r="AZ13" s="15" t="str">
        <f t="shared" ca="1" si="30"/>
        <v>LINK</v>
      </c>
      <c r="BB13" s="14" t="s">
        <v>211</v>
      </c>
      <c r="BC13" t="str">
        <f t="shared" si="31"/>
        <v>25</v>
      </c>
      <c r="BD13" t="str">
        <f t="shared" si="14"/>
        <v>07</v>
      </c>
      <c r="BE13" s="98" t="str">
        <f t="shared" si="15"/>
        <v>09</v>
      </c>
      <c r="BF13" t="str">
        <f t="shared" si="32"/>
        <v>N</v>
      </c>
      <c r="BG13" t="str">
        <f t="shared" si="33"/>
        <v>https://www.coreplan.io/app/ddh1-drilling/speewah-mining-speewah-fluorite-project-wa/plods/1663-250709N</v>
      </c>
      <c r="BH13" t="str">
        <f t="shared" si="34"/>
        <v>2025-07</v>
      </c>
    </row>
    <row r="14" spans="1:82">
      <c r="A14" s="510" t="str">
        <f>VLOOKUP(F14,'Tenement Lookup'!A:BH,60,FALSE)</f>
        <v>M 80/269</v>
      </c>
      <c r="B14" t="str">
        <f>VLOOKUP(F14,Purpose!$A$2:$B$334,2,FALSE)</f>
        <v>Met</v>
      </c>
      <c r="C14" s="152" t="s">
        <v>11</v>
      </c>
      <c r="D14" s="1">
        <f t="shared" si="38"/>
        <v>45847.21</v>
      </c>
      <c r="E14" t="s">
        <v>171</v>
      </c>
      <c r="F14" s="7" t="s">
        <v>173</v>
      </c>
      <c r="H14" s="4" t="s">
        <v>216</v>
      </c>
      <c r="I14" s="4">
        <v>3</v>
      </c>
      <c r="J14" s="5">
        <f t="shared" si="20"/>
        <v>390</v>
      </c>
      <c r="K14" s="21">
        <v>26.6</v>
      </c>
      <c r="L14" s="28">
        <v>33.700000000000003</v>
      </c>
      <c r="M14" s="28">
        <f t="shared" si="21"/>
        <v>7.1000000000000014</v>
      </c>
      <c r="N14" s="30"/>
      <c r="O14" s="26"/>
      <c r="P14" s="31">
        <f t="shared" si="22"/>
        <v>0</v>
      </c>
      <c r="Q14" s="21"/>
      <c r="R14" s="28"/>
      <c r="S14" s="22">
        <f t="shared" si="23"/>
        <v>0</v>
      </c>
      <c r="T14" s="26"/>
      <c r="U14" s="26"/>
      <c r="V14" s="31">
        <f t="shared" si="24"/>
        <v>0</v>
      </c>
      <c r="W14" s="26">
        <f t="shared" si="25"/>
        <v>7.1000000000000014</v>
      </c>
      <c r="X14" s="36">
        <f t="shared" si="26"/>
        <v>1242.5000000000002</v>
      </c>
      <c r="Y14" s="37">
        <f t="shared" si="27"/>
        <v>1380</v>
      </c>
      <c r="Z14" s="38"/>
      <c r="AA14" s="38">
        <v>1</v>
      </c>
      <c r="AB14" s="38">
        <v>1</v>
      </c>
      <c r="AC14" s="38">
        <v>13170</v>
      </c>
      <c r="AD14" s="157">
        <f t="shared" si="39"/>
        <v>575</v>
      </c>
      <c r="AE14" s="34">
        <v>3</v>
      </c>
      <c r="AF14" s="35">
        <v>0.25</v>
      </c>
      <c r="AG14" s="40"/>
      <c r="AH14" s="44">
        <v>0.25</v>
      </c>
      <c r="AI14" s="13"/>
      <c r="AJ14" s="46"/>
      <c r="AK14" s="45">
        <v>8.5</v>
      </c>
      <c r="AL14" s="23"/>
      <c r="AM14" s="138"/>
      <c r="AN14" s="25">
        <f t="shared" si="28"/>
        <v>12</v>
      </c>
      <c r="AO14" s="50"/>
      <c r="AP14" s="53">
        <f t="shared" si="29"/>
        <v>205</v>
      </c>
      <c r="AQ14" s="53"/>
      <c r="AR14" s="119">
        <v>0</v>
      </c>
      <c r="AS14" s="56">
        <f t="shared" si="19"/>
        <v>2550</v>
      </c>
      <c r="AT14" s="298">
        <v>2550</v>
      </c>
      <c r="AU14" s="298">
        <f t="shared" si="36"/>
        <v>2345</v>
      </c>
      <c r="AV14" s="357">
        <f t="shared" si="40"/>
        <v>8.0392156862745104E-2</v>
      </c>
      <c r="AW14" s="18">
        <f>SUM($AS$8:AS14)</f>
        <v>22160.27</v>
      </c>
      <c r="AX14" s="18">
        <f>IF(AS14=0,"",SUMIFS($AS$8:AS14, $BH$8:BH14, BH14))</f>
        <v>22160.27</v>
      </c>
      <c r="AY14" s="57">
        <f t="shared" ca="1" si="37"/>
        <v>359.15492957746471</v>
      </c>
      <c r="AZ14" s="15" t="str">
        <f t="shared" ca="1" si="30"/>
        <v>LINK</v>
      </c>
      <c r="BA14" s="10" t="s">
        <v>217</v>
      </c>
      <c r="BB14" s="14" t="s">
        <v>211</v>
      </c>
      <c r="BC14" t="str">
        <f t="shared" si="31"/>
        <v>25</v>
      </c>
      <c r="BD14" t="str">
        <f t="shared" si="14"/>
        <v>07</v>
      </c>
      <c r="BE14" s="98">
        <f t="shared" si="15"/>
        <v>10</v>
      </c>
      <c r="BF14" t="str">
        <f t="shared" si="32"/>
        <v>D</v>
      </c>
      <c r="BG14" t="str">
        <f t="shared" si="33"/>
        <v>https://www.coreplan.io/app/ddh1-drilling/speewah-mining-speewah-fluorite-project-wa/plods/1663-250710D</v>
      </c>
      <c r="BH14" t="str">
        <f t="shared" si="34"/>
        <v>2025-07</v>
      </c>
    </row>
    <row r="15" spans="1:82">
      <c r="A15" s="510" t="str">
        <f>VLOOKUP(F15,'Tenement Lookup'!A:BH,60,FALSE)</f>
        <v>M 80/269</v>
      </c>
      <c r="B15" t="str">
        <f>VLOOKUP(F15,Purpose!$A$2:$B$334,2,FALSE)</f>
        <v>Met</v>
      </c>
      <c r="C15" s="152" t="s">
        <v>11</v>
      </c>
      <c r="D15" s="1">
        <f t="shared" si="38"/>
        <v>45847.71</v>
      </c>
      <c r="E15" t="s">
        <v>172</v>
      </c>
      <c r="F15" s="7" t="s">
        <v>173</v>
      </c>
      <c r="H15" s="4" t="s">
        <v>218</v>
      </c>
      <c r="I15" s="4">
        <v>3</v>
      </c>
      <c r="J15" s="5">
        <f t="shared" si="20"/>
        <v>390</v>
      </c>
      <c r="K15" s="21">
        <v>33.700000000000003</v>
      </c>
      <c r="L15" s="28">
        <v>63.7</v>
      </c>
      <c r="M15" s="28">
        <f t="shared" si="21"/>
        <v>30</v>
      </c>
      <c r="N15" s="30"/>
      <c r="O15" s="26"/>
      <c r="P15" s="31">
        <f t="shared" si="22"/>
        <v>0</v>
      </c>
      <c r="Q15" s="21"/>
      <c r="R15" s="28"/>
      <c r="S15" s="22">
        <f t="shared" si="23"/>
        <v>0</v>
      </c>
      <c r="T15" s="26"/>
      <c r="U15" s="26"/>
      <c r="V15" s="31">
        <f t="shared" si="24"/>
        <v>0</v>
      </c>
      <c r="W15" s="26">
        <f t="shared" si="25"/>
        <v>30</v>
      </c>
      <c r="X15" s="36">
        <f t="shared" si="26"/>
        <v>5250</v>
      </c>
      <c r="Y15" s="37">
        <f t="shared" si="27"/>
        <v>5250</v>
      </c>
      <c r="Z15" s="38"/>
      <c r="AA15" s="38"/>
      <c r="AB15" s="38"/>
      <c r="AC15" s="38"/>
      <c r="AD15" s="157">
        <f t="shared" si="39"/>
        <v>0</v>
      </c>
      <c r="AE15" s="34">
        <v>10.75</v>
      </c>
      <c r="AF15" s="35">
        <v>0.75</v>
      </c>
      <c r="AG15" s="40"/>
      <c r="AH15" s="44">
        <v>0.5</v>
      </c>
      <c r="AI15" s="13"/>
      <c r="AJ15" s="46"/>
      <c r="AK15" s="45"/>
      <c r="AL15" s="23"/>
      <c r="AM15" s="138"/>
      <c r="AN15" s="25">
        <f t="shared" si="28"/>
        <v>12</v>
      </c>
      <c r="AO15" s="50"/>
      <c r="AP15" s="53">
        <f t="shared" si="29"/>
        <v>525</v>
      </c>
      <c r="AQ15" s="53"/>
      <c r="AR15" s="119">
        <v>117.93</v>
      </c>
      <c r="AS15" s="56">
        <f t="shared" si="19"/>
        <v>6282.93</v>
      </c>
      <c r="AT15" s="298">
        <v>6282.93</v>
      </c>
      <c r="AU15" s="298">
        <f t="shared" si="36"/>
        <v>5757.93</v>
      </c>
      <c r="AV15" s="357">
        <f t="shared" si="40"/>
        <v>8.3559740439571983E-2</v>
      </c>
      <c r="AW15" s="18">
        <f>SUM($AS$8:AS15)</f>
        <v>28443.200000000001</v>
      </c>
      <c r="AX15" s="18">
        <f>IF(AS15=0,"",SUMIFS($AS$8:AS15, $BH$8:BH15, BH15))</f>
        <v>28443.200000000001</v>
      </c>
      <c r="AY15" s="57">
        <f t="shared" ca="1" si="37"/>
        <v>209.43100000000001</v>
      </c>
      <c r="AZ15" s="15" t="str">
        <f t="shared" ca="1" si="30"/>
        <v>LINK</v>
      </c>
      <c r="BB15" s="14" t="s">
        <v>211</v>
      </c>
      <c r="BC15" t="str">
        <f t="shared" si="31"/>
        <v>25</v>
      </c>
      <c r="BD15" t="str">
        <f t="shared" si="14"/>
        <v>07</v>
      </c>
      <c r="BE15" s="98">
        <f t="shared" si="15"/>
        <v>10</v>
      </c>
      <c r="BF15" t="str">
        <f t="shared" si="32"/>
        <v>N</v>
      </c>
      <c r="BG15" t="str">
        <f t="shared" si="33"/>
        <v>https://www.coreplan.io/app/ddh1-drilling/speewah-mining-speewah-fluorite-project-wa/plods/1663-250710N</v>
      </c>
      <c r="BH15" t="str">
        <f t="shared" si="34"/>
        <v>2025-07</v>
      </c>
    </row>
    <row r="16" spans="1:82">
      <c r="A16" s="510" t="str">
        <f>VLOOKUP(F16,'Tenement Lookup'!A:BH,60,FALSE)</f>
        <v>M 80/269</v>
      </c>
      <c r="B16" t="str">
        <f>VLOOKUP(F16,Purpose!$A$2:$B$334,2,FALSE)</f>
        <v>Met</v>
      </c>
      <c r="C16" s="152" t="s">
        <v>11</v>
      </c>
      <c r="D16" s="1">
        <f t="shared" si="38"/>
        <v>45848.21</v>
      </c>
      <c r="E16" t="s">
        <v>171</v>
      </c>
      <c r="F16" s="7" t="s">
        <v>173</v>
      </c>
      <c r="H16" s="4" t="s">
        <v>216</v>
      </c>
      <c r="I16" s="4">
        <v>3</v>
      </c>
      <c r="J16" s="5">
        <f t="shared" si="20"/>
        <v>390</v>
      </c>
      <c r="K16" s="21">
        <v>63.7</v>
      </c>
      <c r="L16" s="28">
        <v>84.1</v>
      </c>
      <c r="M16" s="28">
        <f t="shared" si="21"/>
        <v>20.399999999999991</v>
      </c>
      <c r="N16" s="30"/>
      <c r="O16" s="26"/>
      <c r="P16" s="31">
        <f t="shared" si="22"/>
        <v>0</v>
      </c>
      <c r="Q16" s="21"/>
      <c r="R16" s="28"/>
      <c r="S16" s="22">
        <f t="shared" si="23"/>
        <v>0</v>
      </c>
      <c r="T16" s="26"/>
      <c r="U16" s="26"/>
      <c r="V16" s="31">
        <f t="shared" si="24"/>
        <v>0</v>
      </c>
      <c r="W16" s="26">
        <f t="shared" si="25"/>
        <v>20.399999999999991</v>
      </c>
      <c r="X16" s="36">
        <f t="shared" si="26"/>
        <v>3569.9999999999986</v>
      </c>
      <c r="Y16" s="37">
        <f t="shared" si="27"/>
        <v>5060</v>
      </c>
      <c r="Z16" s="38"/>
      <c r="AA16" s="38">
        <v>1</v>
      </c>
      <c r="AB16" s="38">
        <v>1</v>
      </c>
      <c r="AC16" s="38">
        <v>13170</v>
      </c>
      <c r="AD16" s="157">
        <f t="shared" si="39"/>
        <v>575</v>
      </c>
      <c r="AE16" s="34">
        <v>11</v>
      </c>
      <c r="AF16" s="35">
        <v>0.5</v>
      </c>
      <c r="AG16" s="40"/>
      <c r="AH16" s="44">
        <v>0.5</v>
      </c>
      <c r="AI16" s="13"/>
      <c r="AJ16" s="46"/>
      <c r="AK16" s="45"/>
      <c r="AL16" s="23"/>
      <c r="AM16" s="138"/>
      <c r="AN16" s="25">
        <f t="shared" si="28"/>
        <v>12</v>
      </c>
      <c r="AO16" s="50"/>
      <c r="AP16" s="53">
        <f t="shared" si="29"/>
        <v>410</v>
      </c>
      <c r="AQ16" s="53"/>
      <c r="AR16" s="119">
        <f>817.99-390</f>
        <v>427.99</v>
      </c>
      <c r="AS16" s="56">
        <f t="shared" si="19"/>
        <v>6862.99</v>
      </c>
      <c r="AT16" s="298">
        <v>6862.99</v>
      </c>
      <c r="AU16" s="298">
        <f t="shared" si="36"/>
        <v>6452.99</v>
      </c>
      <c r="AV16" s="357">
        <f t="shared" si="40"/>
        <v>5.9740725252404564E-2</v>
      </c>
      <c r="AW16" s="18">
        <f>SUM($AS$8:AS16)</f>
        <v>35306.19</v>
      </c>
      <c r="AX16" s="18">
        <f>IF(AS16=0,"",SUMIFS($AS$8:AS16, $BH$8:BH16, BH16))</f>
        <v>35306.19</v>
      </c>
      <c r="AY16" s="57">
        <f t="shared" ca="1" si="37"/>
        <v>336.42107843137268</v>
      </c>
      <c r="AZ16" s="15" t="str">
        <f t="shared" ca="1" si="30"/>
        <v>LINK</v>
      </c>
      <c r="BB16" s="14" t="s">
        <v>211</v>
      </c>
      <c r="BC16" t="str">
        <f t="shared" si="31"/>
        <v>25</v>
      </c>
      <c r="BD16" t="str">
        <f t="shared" si="14"/>
        <v>07</v>
      </c>
      <c r="BE16" s="98">
        <f t="shared" si="15"/>
        <v>11</v>
      </c>
      <c r="BF16" t="str">
        <f t="shared" si="32"/>
        <v>D</v>
      </c>
      <c r="BG16" t="str">
        <f t="shared" si="33"/>
        <v>https://www.coreplan.io/app/ddh1-drilling/speewah-mining-speewah-fluorite-project-wa/plods/1663-250711D</v>
      </c>
      <c r="BH16" t="str">
        <f t="shared" si="34"/>
        <v>2025-07</v>
      </c>
    </row>
    <row r="17" spans="1:60">
      <c r="A17" s="510" t="str">
        <f>VLOOKUP(F17,'Tenement Lookup'!A:BH,60,FALSE)</f>
        <v>M 80/269</v>
      </c>
      <c r="B17" t="str">
        <f>VLOOKUP(F17,Purpose!$A$2:$B$334,2,FALSE)</f>
        <v>Met</v>
      </c>
      <c r="C17" s="152" t="s">
        <v>11</v>
      </c>
      <c r="D17" s="1">
        <f t="shared" si="38"/>
        <v>45848.71</v>
      </c>
      <c r="E17" t="s">
        <v>172</v>
      </c>
      <c r="F17" s="7" t="s">
        <v>173</v>
      </c>
      <c r="H17" s="4" t="s">
        <v>218</v>
      </c>
      <c r="I17" s="4">
        <v>3</v>
      </c>
      <c r="J17" s="5">
        <f t="shared" si="20"/>
        <v>390</v>
      </c>
      <c r="K17" s="21">
        <v>84.1</v>
      </c>
      <c r="L17" s="28">
        <v>99.7</v>
      </c>
      <c r="M17" s="28">
        <f t="shared" si="21"/>
        <v>15.600000000000009</v>
      </c>
      <c r="N17" s="30"/>
      <c r="O17" s="26"/>
      <c r="P17" s="31">
        <f t="shared" si="22"/>
        <v>0</v>
      </c>
      <c r="Q17" s="21"/>
      <c r="R17" s="28"/>
      <c r="S17" s="22">
        <f t="shared" si="23"/>
        <v>0</v>
      </c>
      <c r="T17" s="26"/>
      <c r="U17" s="26"/>
      <c r="V17" s="31">
        <f t="shared" si="24"/>
        <v>0</v>
      </c>
      <c r="W17" s="26">
        <f t="shared" si="25"/>
        <v>15.600000000000009</v>
      </c>
      <c r="X17" s="36">
        <f t="shared" si="26"/>
        <v>2730.0000000000014</v>
      </c>
      <c r="Y17" s="37">
        <f t="shared" si="27"/>
        <v>3105</v>
      </c>
      <c r="Z17" s="38"/>
      <c r="AA17" s="38"/>
      <c r="AB17" s="38"/>
      <c r="AC17" s="38"/>
      <c r="AD17" s="157">
        <f t="shared" si="39"/>
        <v>0</v>
      </c>
      <c r="AE17" s="34">
        <v>6.75</v>
      </c>
      <c r="AF17" s="35">
        <v>4.75</v>
      </c>
      <c r="AG17" s="40" t="s">
        <v>219</v>
      </c>
      <c r="AH17" s="44">
        <v>0.5</v>
      </c>
      <c r="AI17" s="13"/>
      <c r="AJ17" s="46"/>
      <c r="AK17" s="45"/>
      <c r="AL17" s="23"/>
      <c r="AM17" s="138"/>
      <c r="AN17" s="25">
        <f t="shared" si="28"/>
        <v>12</v>
      </c>
      <c r="AO17" s="50"/>
      <c r="AP17" s="53">
        <f t="shared" si="29"/>
        <v>2365</v>
      </c>
      <c r="AQ17" s="53"/>
      <c r="AR17" s="119">
        <f>1166.68-390</f>
        <v>776.68000000000006</v>
      </c>
      <c r="AS17" s="56">
        <f t="shared" si="19"/>
        <v>6636.68</v>
      </c>
      <c r="AT17" s="18">
        <v>6636.68</v>
      </c>
      <c r="AU17" s="298">
        <f t="shared" si="36"/>
        <v>4271.68</v>
      </c>
      <c r="AV17" s="357">
        <f t="shared" si="40"/>
        <v>0.35635287523279713</v>
      </c>
      <c r="AW17" s="18">
        <f>SUM($AS$8:AS17)</f>
        <v>41942.870000000003</v>
      </c>
      <c r="AX17" s="18">
        <f>IF(AS17=0,"",SUMIFS($AS$8:AS17, $BH$8:BH17, BH17))</f>
        <v>41942.870000000003</v>
      </c>
      <c r="AY17" s="57">
        <f t="shared" ca="1" si="37"/>
        <v>425.42820512820492</v>
      </c>
      <c r="AZ17" s="15" t="str">
        <f t="shared" ca="1" si="30"/>
        <v>LINK</v>
      </c>
      <c r="BB17" s="14" t="s">
        <v>211</v>
      </c>
      <c r="BC17" t="str">
        <f t="shared" si="31"/>
        <v>25</v>
      </c>
      <c r="BD17" t="str">
        <f t="shared" si="14"/>
        <v>07</v>
      </c>
      <c r="BE17" s="98">
        <f t="shared" si="15"/>
        <v>11</v>
      </c>
      <c r="BF17" t="str">
        <f t="shared" si="32"/>
        <v>N</v>
      </c>
      <c r="BG17" t="str">
        <f t="shared" si="33"/>
        <v>https://www.coreplan.io/app/ddh1-drilling/speewah-mining-speewah-fluorite-project-wa/plods/1663-250711N</v>
      </c>
      <c r="BH17" t="str">
        <f t="shared" si="34"/>
        <v>2025-07</v>
      </c>
    </row>
    <row r="18" spans="1:60">
      <c r="A18" s="510" t="str">
        <f>VLOOKUP(F18,'Tenement Lookup'!A:BH,60,FALSE)</f>
        <v>M 80/269</v>
      </c>
      <c r="B18" t="str">
        <f>VLOOKUP(F18,Purpose!$A$2:$B$334,2,FALSE)</f>
        <v>Met</v>
      </c>
      <c r="C18" s="152" t="s">
        <v>11</v>
      </c>
      <c r="D18" s="1">
        <f t="shared" si="38"/>
        <v>45849.21</v>
      </c>
      <c r="E18" t="s">
        <v>171</v>
      </c>
      <c r="F18" s="7" t="s">
        <v>173</v>
      </c>
      <c r="H18" s="4" t="s">
        <v>216</v>
      </c>
      <c r="I18" s="4">
        <v>3</v>
      </c>
      <c r="J18" s="5">
        <f t="shared" si="20"/>
        <v>390</v>
      </c>
      <c r="K18" s="21">
        <v>99.7</v>
      </c>
      <c r="L18" s="28">
        <v>118.7</v>
      </c>
      <c r="M18" s="28">
        <f t="shared" si="21"/>
        <v>19</v>
      </c>
      <c r="N18" s="30"/>
      <c r="O18" s="26"/>
      <c r="P18" s="31">
        <f t="shared" si="22"/>
        <v>0</v>
      </c>
      <c r="Q18" s="21"/>
      <c r="R18" s="28"/>
      <c r="S18" s="22">
        <f t="shared" si="23"/>
        <v>0</v>
      </c>
      <c r="T18" s="26"/>
      <c r="U18" s="26"/>
      <c r="V18" s="31">
        <f t="shared" si="24"/>
        <v>0</v>
      </c>
      <c r="W18" s="26">
        <f t="shared" si="25"/>
        <v>19</v>
      </c>
      <c r="X18" s="36">
        <f t="shared" si="26"/>
        <v>3325</v>
      </c>
      <c r="Y18" s="37">
        <f t="shared" si="27"/>
        <v>3910</v>
      </c>
      <c r="Z18" s="38"/>
      <c r="AA18" s="38">
        <v>1</v>
      </c>
      <c r="AB18" s="38">
        <v>1</v>
      </c>
      <c r="AC18" s="38">
        <v>13170</v>
      </c>
      <c r="AD18" s="157">
        <f t="shared" si="39"/>
        <v>575</v>
      </c>
      <c r="AE18" s="34">
        <v>8.5</v>
      </c>
      <c r="AF18" s="35">
        <v>3</v>
      </c>
      <c r="AG18" s="40" t="s">
        <v>220</v>
      </c>
      <c r="AH18" s="44">
        <v>0.5</v>
      </c>
      <c r="AI18" s="13"/>
      <c r="AJ18" s="46"/>
      <c r="AK18" s="45"/>
      <c r="AL18" s="23"/>
      <c r="AM18" s="138"/>
      <c r="AN18" s="25">
        <f t="shared" si="28"/>
        <v>12</v>
      </c>
      <c r="AO18" s="50"/>
      <c r="AP18" s="53">
        <f t="shared" si="29"/>
        <v>1560</v>
      </c>
      <c r="AQ18" s="53"/>
      <c r="AR18" s="119"/>
      <c r="AS18" s="56">
        <f t="shared" si="19"/>
        <v>6435</v>
      </c>
      <c r="AT18" s="298">
        <v>6435</v>
      </c>
      <c r="AU18" s="298">
        <f t="shared" si="36"/>
        <v>4875</v>
      </c>
      <c r="AV18" s="357">
        <f t="shared" si="40"/>
        <v>0.24242424242424243</v>
      </c>
      <c r="AW18" s="18">
        <f>SUM($AS$8:AS18)</f>
        <v>48377.87</v>
      </c>
      <c r="AX18" s="18">
        <f>IF(AS18=0,"",SUMIFS($AS$8:AS18, $BH$8:BH18, BH18))</f>
        <v>48377.87</v>
      </c>
      <c r="AY18" s="57">
        <f t="shared" ca="1" si="37"/>
        <v>338.68421052631578</v>
      </c>
      <c r="AZ18" s="15" t="str">
        <f t="shared" ca="1" si="30"/>
        <v>LINK</v>
      </c>
      <c r="BB18" s="14" t="s">
        <v>211</v>
      </c>
      <c r="BC18" t="str">
        <f t="shared" si="31"/>
        <v>25</v>
      </c>
      <c r="BD18" t="str">
        <f t="shared" si="14"/>
        <v>07</v>
      </c>
      <c r="BE18" s="98">
        <f t="shared" si="15"/>
        <v>12</v>
      </c>
      <c r="BF18" t="str">
        <f t="shared" si="32"/>
        <v>D</v>
      </c>
      <c r="BG18" t="str">
        <f t="shared" si="33"/>
        <v>https://www.coreplan.io/app/ddh1-drilling/speewah-mining-speewah-fluorite-project-wa/plods/1663-250712D</v>
      </c>
      <c r="BH18" t="str">
        <f t="shared" si="34"/>
        <v>2025-07</v>
      </c>
    </row>
    <row r="19" spans="1:60">
      <c r="A19" s="510" t="str">
        <f>VLOOKUP(F19,'Tenement Lookup'!A:BH,60,FALSE)</f>
        <v>M 80/269</v>
      </c>
      <c r="B19" t="str">
        <f>VLOOKUP(F19,Purpose!$A$2:$B$334,2,FALSE)</f>
        <v>Met</v>
      </c>
      <c r="C19" s="152" t="s">
        <v>11</v>
      </c>
      <c r="D19" s="1">
        <f t="shared" si="38"/>
        <v>45849.71</v>
      </c>
      <c r="E19" t="s">
        <v>172</v>
      </c>
      <c r="F19" s="7" t="s">
        <v>174</v>
      </c>
      <c r="H19" s="4" t="s">
        <v>218</v>
      </c>
      <c r="I19" s="4">
        <v>3</v>
      </c>
      <c r="J19" s="5">
        <f t="shared" si="20"/>
        <v>390</v>
      </c>
      <c r="K19" s="21">
        <v>0</v>
      </c>
      <c r="L19" s="28">
        <v>16.5</v>
      </c>
      <c r="M19" s="28">
        <f t="shared" si="21"/>
        <v>16.5</v>
      </c>
      <c r="N19" s="30"/>
      <c r="O19" s="26"/>
      <c r="P19" s="31">
        <f t="shared" si="22"/>
        <v>0</v>
      </c>
      <c r="Q19" s="21"/>
      <c r="R19" s="28"/>
      <c r="S19" s="22">
        <f t="shared" si="23"/>
        <v>0</v>
      </c>
      <c r="T19" s="26"/>
      <c r="U19" s="26"/>
      <c r="V19" s="31">
        <f t="shared" si="24"/>
        <v>0</v>
      </c>
      <c r="W19" s="26">
        <f t="shared" si="25"/>
        <v>16.5</v>
      </c>
      <c r="X19" s="36">
        <f t="shared" si="26"/>
        <v>2887.5</v>
      </c>
      <c r="Y19" s="37">
        <f t="shared" si="27"/>
        <v>3335</v>
      </c>
      <c r="Z19" s="38"/>
      <c r="AA19" s="38"/>
      <c r="AB19" s="38"/>
      <c r="AC19" s="38"/>
      <c r="AD19" s="157">
        <f t="shared" si="39"/>
        <v>0</v>
      </c>
      <c r="AE19" s="34">
        <v>7.25</v>
      </c>
      <c r="AF19" s="35">
        <v>4.25</v>
      </c>
      <c r="AG19" s="40" t="s">
        <v>221</v>
      </c>
      <c r="AH19" s="44">
        <v>0.5</v>
      </c>
      <c r="AI19" s="13"/>
      <c r="AJ19" s="46"/>
      <c r="AK19" s="45"/>
      <c r="AL19" s="23"/>
      <c r="AM19" s="138"/>
      <c r="AN19" s="25">
        <f t="shared" si="28"/>
        <v>12</v>
      </c>
      <c r="AO19" s="50"/>
      <c r="AP19" s="53">
        <f t="shared" si="29"/>
        <v>2135</v>
      </c>
      <c r="AQ19" s="53"/>
      <c r="AR19" s="119">
        <f>786.12-390</f>
        <v>396.12</v>
      </c>
      <c r="AS19" s="56">
        <f t="shared" si="19"/>
        <v>6256.12</v>
      </c>
      <c r="AT19" s="298">
        <v>6256.12</v>
      </c>
      <c r="AU19" s="298">
        <f t="shared" si="36"/>
        <v>4121.12</v>
      </c>
      <c r="AV19" s="357">
        <f t="shared" si="40"/>
        <v>0.34126583249681913</v>
      </c>
      <c r="AW19" s="18">
        <f>SUM($AS$8:AS19)</f>
        <v>54633.990000000005</v>
      </c>
      <c r="AX19" s="18">
        <f>IF(AS19=0,"",SUMIFS($AS$8:AS19, $BH$8:BH19, BH19))</f>
        <v>54633.990000000005</v>
      </c>
      <c r="AY19" s="57">
        <f t="shared" ca="1" si="37"/>
        <v>379.15878787878785</v>
      </c>
      <c r="AZ19" s="15" t="str">
        <f t="shared" ca="1" si="30"/>
        <v>LINK</v>
      </c>
      <c r="BB19" s="14" t="s">
        <v>211</v>
      </c>
      <c r="BC19" t="str">
        <f t="shared" si="31"/>
        <v>25</v>
      </c>
      <c r="BD19" t="str">
        <f t="shared" si="14"/>
        <v>07</v>
      </c>
      <c r="BE19" s="98">
        <f t="shared" si="15"/>
        <v>12</v>
      </c>
      <c r="BF19" t="str">
        <f t="shared" si="32"/>
        <v>N</v>
      </c>
      <c r="BG19" t="str">
        <f t="shared" si="33"/>
        <v>https://www.coreplan.io/app/ddh1-drilling/speewah-mining-speewah-fluorite-project-wa/plods/1663-250712N</v>
      </c>
      <c r="BH19" t="str">
        <f t="shared" si="34"/>
        <v>2025-07</v>
      </c>
    </row>
    <row r="20" spans="1:60">
      <c r="A20" s="510" t="str">
        <f>VLOOKUP(F20,'Tenement Lookup'!A:BH,60,FALSE)</f>
        <v>M 80/269</v>
      </c>
      <c r="B20" t="str">
        <f>VLOOKUP(F20,Purpose!$A$2:$B$334,2,FALSE)</f>
        <v>Met</v>
      </c>
      <c r="C20" s="152" t="s">
        <v>11</v>
      </c>
      <c r="D20" s="1">
        <f t="shared" si="38"/>
        <v>45850.21</v>
      </c>
      <c r="E20" t="s">
        <v>171</v>
      </c>
      <c r="F20" s="7" t="s">
        <v>174</v>
      </c>
      <c r="H20" s="4" t="s">
        <v>216</v>
      </c>
      <c r="I20" s="4">
        <v>3</v>
      </c>
      <c r="J20" s="5">
        <f t="shared" si="20"/>
        <v>390</v>
      </c>
      <c r="K20" s="21">
        <v>16.5</v>
      </c>
      <c r="L20" s="28">
        <v>39.4</v>
      </c>
      <c r="M20" s="28">
        <f t="shared" si="21"/>
        <v>22.9</v>
      </c>
      <c r="N20" s="30"/>
      <c r="O20" s="26"/>
      <c r="P20" s="31">
        <f t="shared" si="22"/>
        <v>0</v>
      </c>
      <c r="Q20" s="21"/>
      <c r="R20" s="28"/>
      <c r="S20" s="22">
        <f t="shared" si="23"/>
        <v>0</v>
      </c>
      <c r="T20" s="26"/>
      <c r="U20" s="26"/>
      <c r="V20" s="31">
        <f t="shared" si="24"/>
        <v>0</v>
      </c>
      <c r="W20" s="26">
        <f t="shared" si="25"/>
        <v>22.9</v>
      </c>
      <c r="X20" s="36">
        <f t="shared" si="26"/>
        <v>4007.4999999999995</v>
      </c>
      <c r="Y20" s="37">
        <f t="shared" si="27"/>
        <v>4945</v>
      </c>
      <c r="Z20" s="38"/>
      <c r="AA20" s="38">
        <v>1</v>
      </c>
      <c r="AB20" s="38">
        <v>1</v>
      </c>
      <c r="AC20" s="38">
        <v>13170</v>
      </c>
      <c r="AD20" s="157">
        <f t="shared" si="39"/>
        <v>575</v>
      </c>
      <c r="AE20" s="34">
        <v>10.75</v>
      </c>
      <c r="AF20" s="35">
        <v>0.25</v>
      </c>
      <c r="AG20" s="40"/>
      <c r="AH20" s="44">
        <v>0.5</v>
      </c>
      <c r="AI20" s="13"/>
      <c r="AJ20" s="46"/>
      <c r="AK20" s="45">
        <v>0.5</v>
      </c>
      <c r="AL20" s="23"/>
      <c r="AM20" s="138"/>
      <c r="AN20" s="25">
        <f t="shared" si="28"/>
        <v>12</v>
      </c>
      <c r="AO20" s="50"/>
      <c r="AP20" s="53">
        <f t="shared" si="29"/>
        <v>295</v>
      </c>
      <c r="AQ20" s="53"/>
      <c r="AR20" s="119">
        <v>151.79</v>
      </c>
      <c r="AS20" s="56">
        <f t="shared" si="19"/>
        <v>6356.79</v>
      </c>
      <c r="AT20" s="298">
        <v>6356.79</v>
      </c>
      <c r="AU20" s="298">
        <f t="shared" si="36"/>
        <v>6061.79</v>
      </c>
      <c r="AV20" s="357">
        <f t="shared" si="40"/>
        <v>4.64070702351344E-2</v>
      </c>
      <c r="AW20" s="18">
        <f>SUM($AS$8:AS20)</f>
        <v>60990.780000000006</v>
      </c>
      <c r="AX20" s="18">
        <f>IF(AS20=0,"",SUMIFS($AS$8:AS20, $BH$8:BH20, BH20))</f>
        <v>60990.780000000006</v>
      </c>
      <c r="AY20" s="57">
        <f t="shared" ca="1" si="37"/>
        <v>277.58908296943235</v>
      </c>
      <c r="AZ20" s="15" t="str">
        <f t="shared" ca="1" si="30"/>
        <v>LINK</v>
      </c>
      <c r="BB20" s="14" t="s">
        <v>211</v>
      </c>
      <c r="BC20" t="str">
        <f t="shared" si="31"/>
        <v>25</v>
      </c>
      <c r="BD20" t="str">
        <f t="shared" si="14"/>
        <v>07</v>
      </c>
      <c r="BE20" s="98">
        <f t="shared" si="15"/>
        <v>13</v>
      </c>
      <c r="BF20" t="str">
        <f t="shared" si="32"/>
        <v>D</v>
      </c>
      <c r="BG20" t="str">
        <f t="shared" si="33"/>
        <v>https://www.coreplan.io/app/ddh1-drilling/speewah-mining-speewah-fluorite-project-wa/plods/1663-250713D</v>
      </c>
      <c r="BH20" t="str">
        <f t="shared" si="34"/>
        <v>2025-07</v>
      </c>
    </row>
    <row r="21" spans="1:60">
      <c r="A21" s="510" t="str">
        <f>VLOOKUP(F21,'Tenement Lookup'!A:BH,60,FALSE)</f>
        <v>M 80/269</v>
      </c>
      <c r="B21" t="str">
        <f>VLOOKUP(F21,Purpose!$A$2:$B$334,2,FALSE)</f>
        <v>Met</v>
      </c>
      <c r="C21" s="152" t="s">
        <v>11</v>
      </c>
      <c r="D21" s="1">
        <f t="shared" si="38"/>
        <v>45850.71</v>
      </c>
      <c r="E21" t="s">
        <v>172</v>
      </c>
      <c r="F21" s="7" t="s">
        <v>174</v>
      </c>
      <c r="H21" s="4" t="s">
        <v>218</v>
      </c>
      <c r="I21" s="4">
        <v>3</v>
      </c>
      <c r="J21" s="5">
        <f t="shared" si="20"/>
        <v>390</v>
      </c>
      <c r="K21" s="21">
        <v>39.4</v>
      </c>
      <c r="L21" s="28">
        <v>60.6</v>
      </c>
      <c r="M21" s="28">
        <f t="shared" si="21"/>
        <v>21.200000000000003</v>
      </c>
      <c r="N21" s="30"/>
      <c r="O21" s="26"/>
      <c r="P21" s="31">
        <f t="shared" si="22"/>
        <v>0</v>
      </c>
      <c r="Q21" s="21"/>
      <c r="R21" s="28"/>
      <c r="S21" s="22">
        <f t="shared" si="23"/>
        <v>0</v>
      </c>
      <c r="T21" s="26"/>
      <c r="U21" s="26"/>
      <c r="V21" s="31">
        <f t="shared" si="24"/>
        <v>0</v>
      </c>
      <c r="W21" s="26">
        <f t="shared" si="25"/>
        <v>21.200000000000003</v>
      </c>
      <c r="X21" s="36">
        <f t="shared" si="26"/>
        <v>3710.0000000000005</v>
      </c>
      <c r="Y21" s="37">
        <f t="shared" si="27"/>
        <v>3910</v>
      </c>
      <c r="Z21" s="38"/>
      <c r="AA21" s="38"/>
      <c r="AB21" s="38"/>
      <c r="AC21" s="38"/>
      <c r="AD21" s="157">
        <f t="shared" si="39"/>
        <v>0</v>
      </c>
      <c r="AE21" s="34">
        <v>8.5</v>
      </c>
      <c r="AF21" s="35">
        <v>2.5</v>
      </c>
      <c r="AG21" s="40"/>
      <c r="AH21" s="44">
        <v>0.5</v>
      </c>
      <c r="AI21" s="13"/>
      <c r="AJ21" s="46"/>
      <c r="AK21" s="45">
        <v>0.5</v>
      </c>
      <c r="AL21" s="23"/>
      <c r="AM21" s="138"/>
      <c r="AN21" s="25">
        <f t="shared" si="28"/>
        <v>12</v>
      </c>
      <c r="AO21" s="50"/>
      <c r="AP21" s="53">
        <f t="shared" si="29"/>
        <v>1330</v>
      </c>
      <c r="AQ21" s="53"/>
      <c r="AR21" s="119">
        <v>117.93</v>
      </c>
      <c r="AS21" s="56">
        <f t="shared" si="19"/>
        <v>5747.93</v>
      </c>
      <c r="AT21" s="298">
        <v>5747.93</v>
      </c>
      <c r="AU21" s="298">
        <f t="shared" si="36"/>
        <v>4417.93</v>
      </c>
      <c r="AV21" s="357">
        <f t="shared" si="40"/>
        <v>0.23138764737914344</v>
      </c>
      <c r="AW21" s="18">
        <f>SUM($AS$8:AS21)</f>
        <v>66738.710000000006</v>
      </c>
      <c r="AX21" s="18">
        <f>IF(AS21=0,"",SUMIFS($AS$8:AS21, $BH$8:BH21, BH21))</f>
        <v>66738.710000000006</v>
      </c>
      <c r="AY21" s="57">
        <f t="shared" ca="1" si="37"/>
        <v>271.12877358490562</v>
      </c>
      <c r="AZ21" s="15" t="str">
        <f t="shared" ca="1" si="30"/>
        <v>LINK</v>
      </c>
      <c r="BB21" s="14" t="s">
        <v>211</v>
      </c>
      <c r="BC21" t="str">
        <f t="shared" si="31"/>
        <v>25</v>
      </c>
      <c r="BD21" t="str">
        <f t="shared" si="14"/>
        <v>07</v>
      </c>
      <c r="BE21" s="98">
        <f t="shared" si="15"/>
        <v>13</v>
      </c>
      <c r="BF21" t="str">
        <f t="shared" si="32"/>
        <v>N</v>
      </c>
      <c r="BG21" t="str">
        <f t="shared" si="33"/>
        <v>https://www.coreplan.io/app/ddh1-drilling/speewah-mining-speewah-fluorite-project-wa/plods/1663-250713N</v>
      </c>
      <c r="BH21" t="str">
        <f t="shared" si="34"/>
        <v>2025-07</v>
      </c>
    </row>
    <row r="22" spans="1:60">
      <c r="A22" s="510" t="str">
        <f>VLOOKUP(F22,'Tenement Lookup'!A:BH,60,FALSE)</f>
        <v>M 80/269</v>
      </c>
      <c r="B22" t="str">
        <f>VLOOKUP(F22,Purpose!$A$2:$B$334,2,FALSE)</f>
        <v>Met</v>
      </c>
      <c r="C22" s="152" t="s">
        <v>11</v>
      </c>
      <c r="D22" s="1">
        <f t="shared" si="38"/>
        <v>45851.21</v>
      </c>
      <c r="E22" t="s">
        <v>171</v>
      </c>
      <c r="F22" s="7" t="s">
        <v>174</v>
      </c>
      <c r="H22" s="4" t="s">
        <v>216</v>
      </c>
      <c r="I22" s="4">
        <v>3</v>
      </c>
      <c r="J22" s="5">
        <f t="shared" si="20"/>
        <v>390</v>
      </c>
      <c r="K22" s="21">
        <v>60.6</v>
      </c>
      <c r="L22" s="28">
        <v>73.8</v>
      </c>
      <c r="M22" s="28">
        <f t="shared" si="21"/>
        <v>13.199999999999996</v>
      </c>
      <c r="N22" s="30"/>
      <c r="O22" s="26"/>
      <c r="P22" s="31">
        <f t="shared" si="22"/>
        <v>0</v>
      </c>
      <c r="Q22" s="21"/>
      <c r="R22" s="28"/>
      <c r="S22" s="22">
        <f t="shared" si="23"/>
        <v>0</v>
      </c>
      <c r="T22" s="26"/>
      <c r="U22" s="26"/>
      <c r="V22" s="31">
        <f t="shared" si="24"/>
        <v>0</v>
      </c>
      <c r="W22" s="26">
        <f t="shared" si="25"/>
        <v>13.199999999999996</v>
      </c>
      <c r="X22" s="36">
        <f t="shared" si="26"/>
        <v>2309.9999999999991</v>
      </c>
      <c r="Y22" s="37">
        <f t="shared" si="27"/>
        <v>4025</v>
      </c>
      <c r="Z22" s="38"/>
      <c r="AA22" s="38">
        <v>1</v>
      </c>
      <c r="AB22" s="38">
        <v>1</v>
      </c>
      <c r="AC22" s="38">
        <v>13170</v>
      </c>
      <c r="AD22" s="157">
        <f t="shared" si="39"/>
        <v>575</v>
      </c>
      <c r="AE22" s="34">
        <v>8.75</v>
      </c>
      <c r="AF22" s="35">
        <v>2.75</v>
      </c>
      <c r="AG22" s="40"/>
      <c r="AH22" s="44">
        <v>0.5</v>
      </c>
      <c r="AI22" s="13"/>
      <c r="AJ22" s="46"/>
      <c r="AK22" s="45"/>
      <c r="AL22" s="23"/>
      <c r="AM22" s="138"/>
      <c r="AN22" s="25">
        <f t="shared" si="28"/>
        <v>12</v>
      </c>
      <c r="AO22" s="50"/>
      <c r="AP22" s="53">
        <f t="shared" si="29"/>
        <v>1445</v>
      </c>
      <c r="AQ22" s="53"/>
      <c r="AR22" s="119">
        <v>53.23</v>
      </c>
      <c r="AS22" s="56">
        <f t="shared" si="19"/>
        <v>6488.23</v>
      </c>
      <c r="AT22" s="298">
        <v>6488.23</v>
      </c>
      <c r="AU22" s="298">
        <f t="shared" si="36"/>
        <v>5043.2299999999996</v>
      </c>
      <c r="AV22" s="357">
        <f t="shared" si="40"/>
        <v>0.22271097048039298</v>
      </c>
      <c r="AW22" s="18">
        <f>SUM($AS$8:AS22)</f>
        <v>73226.94</v>
      </c>
      <c r="AX22" s="18">
        <f>IF(AS22=0,"",SUMIFS($AS$8:AS22, $BH$8:BH22, BH22))</f>
        <v>73226.94</v>
      </c>
      <c r="AY22" s="57">
        <f t="shared" ca="1" si="37"/>
        <v>491.5325757575759</v>
      </c>
      <c r="AZ22" s="15" t="str">
        <f t="shared" ca="1" si="30"/>
        <v>LINK</v>
      </c>
      <c r="BB22" s="14" t="s">
        <v>211</v>
      </c>
      <c r="BC22" t="str">
        <f t="shared" si="31"/>
        <v>25</v>
      </c>
      <c r="BD22" t="str">
        <f t="shared" si="14"/>
        <v>07</v>
      </c>
      <c r="BE22" s="98">
        <f t="shared" si="15"/>
        <v>14</v>
      </c>
      <c r="BF22" t="str">
        <f t="shared" si="32"/>
        <v>D</v>
      </c>
      <c r="BG22" t="str">
        <f t="shared" si="33"/>
        <v>https://www.coreplan.io/app/ddh1-drilling/speewah-mining-speewah-fluorite-project-wa/plods/1663-250714D</v>
      </c>
      <c r="BH22" t="str">
        <f t="shared" si="34"/>
        <v>2025-07</v>
      </c>
    </row>
    <row r="23" spans="1:60">
      <c r="A23" s="510" t="str">
        <f>VLOOKUP(F23,'Tenement Lookup'!A:BH,60,FALSE)</f>
        <v>M 80/269</v>
      </c>
      <c r="B23" t="str">
        <f>VLOOKUP(F23,Purpose!$A$2:$B$334,2,FALSE)</f>
        <v>Met</v>
      </c>
      <c r="C23" s="152" t="s">
        <v>11</v>
      </c>
      <c r="D23" s="1">
        <f t="shared" si="38"/>
        <v>45851.71</v>
      </c>
      <c r="E23" t="s">
        <v>172</v>
      </c>
      <c r="F23" s="7" t="s">
        <v>174</v>
      </c>
      <c r="H23" s="4" t="s">
        <v>218</v>
      </c>
      <c r="I23" s="4">
        <v>3</v>
      </c>
      <c r="J23" s="5">
        <f t="shared" si="20"/>
        <v>390</v>
      </c>
      <c r="K23" s="21">
        <v>73.8</v>
      </c>
      <c r="L23" s="28">
        <v>101.1</v>
      </c>
      <c r="M23" s="28">
        <f t="shared" si="21"/>
        <v>27.299999999999997</v>
      </c>
      <c r="N23" s="30"/>
      <c r="O23" s="26"/>
      <c r="P23" s="31">
        <f t="shared" si="22"/>
        <v>0</v>
      </c>
      <c r="Q23" s="21"/>
      <c r="R23" s="28"/>
      <c r="S23" s="22">
        <f t="shared" si="23"/>
        <v>0</v>
      </c>
      <c r="T23" s="26"/>
      <c r="U23" s="26"/>
      <c r="V23" s="31">
        <f t="shared" si="24"/>
        <v>0</v>
      </c>
      <c r="W23" s="26">
        <f t="shared" si="25"/>
        <v>27.299999999999997</v>
      </c>
      <c r="X23" s="36">
        <f t="shared" si="26"/>
        <v>4777.4999999999991</v>
      </c>
      <c r="Y23" s="37">
        <f t="shared" si="27"/>
        <v>5060</v>
      </c>
      <c r="Z23" s="38"/>
      <c r="AA23" s="38"/>
      <c r="AB23" s="38"/>
      <c r="AC23" s="38"/>
      <c r="AD23" s="157">
        <f t="shared" si="39"/>
        <v>0</v>
      </c>
      <c r="AE23" s="34">
        <v>11</v>
      </c>
      <c r="AF23" s="35">
        <v>0.5</v>
      </c>
      <c r="AG23" s="40"/>
      <c r="AH23" s="44">
        <v>0.5</v>
      </c>
      <c r="AI23" s="13"/>
      <c r="AJ23" s="46"/>
      <c r="AK23" s="45"/>
      <c r="AL23" s="23"/>
      <c r="AM23" s="138"/>
      <c r="AN23" s="25">
        <f t="shared" si="28"/>
        <v>12</v>
      </c>
      <c r="AO23" s="50"/>
      <c r="AP23" s="53">
        <f t="shared" si="29"/>
        <v>410</v>
      </c>
      <c r="AQ23" s="53"/>
      <c r="AR23" s="119">
        <v>117.93</v>
      </c>
      <c r="AS23" s="56">
        <f t="shared" si="19"/>
        <v>5977.93</v>
      </c>
      <c r="AT23" s="298">
        <v>5977.93</v>
      </c>
      <c r="AU23" s="298">
        <f t="shared" si="36"/>
        <v>5567.93</v>
      </c>
      <c r="AV23" s="357">
        <f t="shared" si="40"/>
        <v>6.8585614083804924E-2</v>
      </c>
      <c r="AW23" s="18">
        <f>SUM($AS$8:AS23)</f>
        <v>79204.87</v>
      </c>
      <c r="AX23" s="18">
        <f>IF(AS23=0,"",SUMIFS($AS$8:AS23, $BH$8:BH23, BH23))</f>
        <v>79204.87</v>
      </c>
      <c r="AY23" s="57">
        <f t="shared" ca="1" si="37"/>
        <v>218.97179487179491</v>
      </c>
      <c r="AZ23" s="15" t="str">
        <f t="shared" ca="1" si="30"/>
        <v>LINK</v>
      </c>
      <c r="BB23" s="14" t="s">
        <v>211</v>
      </c>
      <c r="BC23" t="str">
        <f t="shared" si="31"/>
        <v>25</v>
      </c>
      <c r="BD23" t="str">
        <f t="shared" si="14"/>
        <v>07</v>
      </c>
      <c r="BE23" s="98">
        <f t="shared" si="15"/>
        <v>14</v>
      </c>
      <c r="BF23" t="str">
        <f t="shared" si="32"/>
        <v>N</v>
      </c>
      <c r="BG23" t="str">
        <f t="shared" si="33"/>
        <v>https://www.coreplan.io/app/ddh1-drilling/speewah-mining-speewah-fluorite-project-wa/plods/1663-250714N</v>
      </c>
      <c r="BH23" t="str">
        <f t="shared" si="34"/>
        <v>2025-07</v>
      </c>
    </row>
    <row r="24" spans="1:60">
      <c r="A24" s="510" t="str">
        <f>VLOOKUP(F24,'Tenement Lookup'!A:BH,60,FALSE)</f>
        <v>M 80/269</v>
      </c>
      <c r="B24" t="str">
        <f>VLOOKUP(F24,Purpose!$A$2:$B$334,2,FALSE)</f>
        <v>Met</v>
      </c>
      <c r="C24" s="152" t="s">
        <v>11</v>
      </c>
      <c r="D24" s="1">
        <f t="shared" si="38"/>
        <v>45852.21</v>
      </c>
      <c r="E24" t="s">
        <v>171</v>
      </c>
      <c r="F24" s="7" t="s">
        <v>174</v>
      </c>
      <c r="H24" s="4" t="s">
        <v>216</v>
      </c>
      <c r="I24" s="4">
        <v>3</v>
      </c>
      <c r="J24" s="5">
        <f t="shared" si="20"/>
        <v>390</v>
      </c>
      <c r="K24" s="21">
        <v>101.1</v>
      </c>
      <c r="L24" s="28">
        <v>120.7</v>
      </c>
      <c r="M24" s="28">
        <f t="shared" si="21"/>
        <v>19.600000000000009</v>
      </c>
      <c r="N24" s="30"/>
      <c r="O24" s="26"/>
      <c r="P24" s="31">
        <f t="shared" si="22"/>
        <v>0</v>
      </c>
      <c r="Q24" s="21"/>
      <c r="R24" s="28"/>
      <c r="S24" s="22">
        <f t="shared" si="23"/>
        <v>0</v>
      </c>
      <c r="T24" s="26"/>
      <c r="U24" s="26"/>
      <c r="V24" s="31">
        <f t="shared" si="24"/>
        <v>0</v>
      </c>
      <c r="W24" s="26">
        <f t="shared" si="25"/>
        <v>19.600000000000009</v>
      </c>
      <c r="X24" s="36">
        <f t="shared" si="26"/>
        <v>3430.0000000000014</v>
      </c>
      <c r="Y24" s="37">
        <f t="shared" si="27"/>
        <v>3680</v>
      </c>
      <c r="Z24" s="38"/>
      <c r="AA24" s="38">
        <v>1</v>
      </c>
      <c r="AB24" s="38">
        <v>1</v>
      </c>
      <c r="AC24" s="38">
        <v>13170</v>
      </c>
      <c r="AD24" s="157">
        <f t="shared" si="39"/>
        <v>575</v>
      </c>
      <c r="AE24" s="34">
        <v>8</v>
      </c>
      <c r="AF24" s="35">
        <v>3.5</v>
      </c>
      <c r="AG24" s="40" t="s">
        <v>222</v>
      </c>
      <c r="AH24" s="44">
        <v>0.5</v>
      </c>
      <c r="AI24" s="13"/>
      <c r="AJ24" s="46"/>
      <c r="AK24" s="45"/>
      <c r="AL24" s="23"/>
      <c r="AM24" s="138"/>
      <c r="AN24" s="25">
        <f t="shared" si="28"/>
        <v>12</v>
      </c>
      <c r="AO24" s="50"/>
      <c r="AP24" s="53">
        <f t="shared" si="29"/>
        <v>1790</v>
      </c>
      <c r="AQ24" s="53"/>
      <c r="AR24" s="119"/>
      <c r="AS24" s="56">
        <f t="shared" si="19"/>
        <v>6435</v>
      </c>
      <c r="AT24" s="298">
        <v>6435</v>
      </c>
      <c r="AU24" s="298">
        <f t="shared" si="36"/>
        <v>4645</v>
      </c>
      <c r="AV24" s="357">
        <f t="shared" si="40"/>
        <v>0.27816627816627815</v>
      </c>
      <c r="AW24" s="18">
        <f>SUM($AS$8:AS24)</f>
        <v>85639.87</v>
      </c>
      <c r="AX24" s="18">
        <f>IF(AS24=0,"",SUMIFS($AS$8:AS24, $BH$8:BH24, BH24))</f>
        <v>85639.87</v>
      </c>
      <c r="AY24" s="57">
        <f t="shared" ca="1" si="37"/>
        <v>328.31632653061212</v>
      </c>
      <c r="AZ24" s="15" t="str">
        <f t="shared" ca="1" si="30"/>
        <v>LINK</v>
      </c>
      <c r="BA24" s="10" t="s">
        <v>223</v>
      </c>
      <c r="BB24" s="14" t="s">
        <v>211</v>
      </c>
      <c r="BC24" t="str">
        <f t="shared" si="31"/>
        <v>25</v>
      </c>
      <c r="BD24" t="str">
        <f t="shared" si="14"/>
        <v>07</v>
      </c>
      <c r="BE24" s="98">
        <f t="shared" si="15"/>
        <v>15</v>
      </c>
      <c r="BF24" t="str">
        <f t="shared" si="32"/>
        <v>D</v>
      </c>
      <c r="BG24" t="str">
        <f t="shared" si="33"/>
        <v>https://www.coreplan.io/app/ddh1-drilling/speewah-mining-speewah-fluorite-project-wa/plods/1663-250715D</v>
      </c>
      <c r="BH24" t="str">
        <f t="shared" si="34"/>
        <v>2025-07</v>
      </c>
    </row>
    <row r="25" spans="1:60">
      <c r="A25" s="510" t="str">
        <f>VLOOKUP(F25,'Tenement Lookup'!A:BH,60,FALSE)</f>
        <v>M 80/269</v>
      </c>
      <c r="B25" t="str">
        <f>VLOOKUP(F25,Purpose!$A$2:$B$334,2,FALSE)</f>
        <v>Met</v>
      </c>
      <c r="C25" s="152" t="s">
        <v>11</v>
      </c>
      <c r="D25" s="1">
        <f t="shared" si="38"/>
        <v>45852.71</v>
      </c>
      <c r="E25" t="s">
        <v>172</v>
      </c>
      <c r="F25" s="7" t="s">
        <v>175</v>
      </c>
      <c r="H25" s="4" t="s">
        <v>218</v>
      </c>
      <c r="I25" s="4">
        <v>3</v>
      </c>
      <c r="J25" s="5">
        <f t="shared" si="20"/>
        <v>390</v>
      </c>
      <c r="K25" s="21">
        <v>0</v>
      </c>
      <c r="L25" s="28">
        <v>20.5</v>
      </c>
      <c r="M25" s="28">
        <f t="shared" si="21"/>
        <v>20.5</v>
      </c>
      <c r="N25" s="30"/>
      <c r="O25" s="26"/>
      <c r="P25" s="31">
        <f t="shared" si="22"/>
        <v>0</v>
      </c>
      <c r="Q25" s="21"/>
      <c r="R25" s="28"/>
      <c r="S25" s="22">
        <f t="shared" si="23"/>
        <v>0</v>
      </c>
      <c r="T25" s="26"/>
      <c r="U25" s="26"/>
      <c r="V25" s="31">
        <f t="shared" si="24"/>
        <v>0</v>
      </c>
      <c r="W25" s="26">
        <f t="shared" si="25"/>
        <v>20.5</v>
      </c>
      <c r="X25" s="36">
        <f t="shared" si="26"/>
        <v>3587.5</v>
      </c>
      <c r="Y25" s="37">
        <f t="shared" si="27"/>
        <v>3795</v>
      </c>
      <c r="Z25" s="38"/>
      <c r="AA25" s="38"/>
      <c r="AB25" s="38"/>
      <c r="AC25" s="38"/>
      <c r="AD25" s="157">
        <f t="shared" si="39"/>
        <v>0</v>
      </c>
      <c r="AE25" s="34">
        <v>8.25</v>
      </c>
      <c r="AF25" s="35">
        <v>3.25</v>
      </c>
      <c r="AG25" s="40"/>
      <c r="AH25" s="44">
        <v>0.5</v>
      </c>
      <c r="AI25" s="13"/>
      <c r="AJ25" s="46"/>
      <c r="AK25" s="45"/>
      <c r="AL25" s="23"/>
      <c r="AM25" s="138"/>
      <c r="AN25" s="25">
        <f t="shared" si="28"/>
        <v>12</v>
      </c>
      <c r="AO25" s="50"/>
      <c r="AP25" s="53">
        <f t="shared" si="29"/>
        <v>1675</v>
      </c>
      <c r="AQ25" s="53"/>
      <c r="AR25" s="119">
        <v>235.86</v>
      </c>
      <c r="AS25" s="56">
        <f t="shared" si="19"/>
        <v>6095.86</v>
      </c>
      <c r="AT25" s="298">
        <v>6095.86</v>
      </c>
      <c r="AU25" s="298">
        <f t="shared" si="36"/>
        <v>4420.8600000000006</v>
      </c>
      <c r="AV25" s="357">
        <f t="shared" si="40"/>
        <v>0.27477665169475662</v>
      </c>
      <c r="AW25" s="18">
        <f>SUM($AS$8:AS25)</f>
        <v>91735.73</v>
      </c>
      <c r="AX25" s="18">
        <f>IF(AS25=0,"",SUMIFS($AS$8:AS25, $BH$8:BH25, BH25))</f>
        <v>91735.73</v>
      </c>
      <c r="AY25" s="57">
        <f t="shared" ca="1" si="37"/>
        <v>297.35902439024386</v>
      </c>
      <c r="AZ25" s="15" t="str">
        <f t="shared" ca="1" si="30"/>
        <v>LINK</v>
      </c>
      <c r="BA25" s="10" t="s">
        <v>224</v>
      </c>
      <c r="BB25" s="14" t="s">
        <v>211</v>
      </c>
      <c r="BC25" t="str">
        <f t="shared" si="31"/>
        <v>25</v>
      </c>
      <c r="BD25" t="str">
        <f t="shared" si="14"/>
        <v>07</v>
      </c>
      <c r="BE25" s="98">
        <f t="shared" si="15"/>
        <v>15</v>
      </c>
      <c r="BF25" t="str">
        <f t="shared" si="32"/>
        <v>N</v>
      </c>
      <c r="BG25" t="str">
        <f t="shared" si="33"/>
        <v>https://www.coreplan.io/app/ddh1-drilling/speewah-mining-speewah-fluorite-project-wa/plods/1663-250715N</v>
      </c>
      <c r="BH25" t="str">
        <f t="shared" si="34"/>
        <v>2025-07</v>
      </c>
    </row>
    <row r="26" spans="1:60">
      <c r="A26" s="510" t="str">
        <f>VLOOKUP(F26,'Tenement Lookup'!A:BH,60,FALSE)</f>
        <v>M 80/269</v>
      </c>
      <c r="B26" t="str">
        <f>VLOOKUP(F26,Purpose!$A$2:$B$334,2,FALSE)</f>
        <v>Met</v>
      </c>
      <c r="C26" s="152" t="s">
        <v>11</v>
      </c>
      <c r="D26" s="1">
        <f t="shared" si="38"/>
        <v>45853.21</v>
      </c>
      <c r="E26" t="s">
        <v>171</v>
      </c>
      <c r="F26" s="7" t="s">
        <v>175</v>
      </c>
      <c r="H26" s="4" t="s">
        <v>216</v>
      </c>
      <c r="I26" s="4">
        <v>3</v>
      </c>
      <c r="J26" s="5">
        <f t="shared" si="20"/>
        <v>390</v>
      </c>
      <c r="K26" s="21">
        <v>20.5</v>
      </c>
      <c r="L26" s="28">
        <v>50.5</v>
      </c>
      <c r="M26" s="28">
        <f t="shared" si="21"/>
        <v>30</v>
      </c>
      <c r="N26" s="30"/>
      <c r="O26" s="26"/>
      <c r="P26" s="31">
        <f t="shared" ref="P26:P89" si="41">IF(ISBLANK(N26),,O26-N26)</f>
        <v>0</v>
      </c>
      <c r="Q26" s="21"/>
      <c r="R26" s="28"/>
      <c r="S26" s="22">
        <f t="shared" ref="S26:S89" si="42">IF(ISBLANK(Q26),,R26-Q26)</f>
        <v>0</v>
      </c>
      <c r="T26" s="26"/>
      <c r="U26" s="26"/>
      <c r="V26" s="31">
        <f t="shared" ref="V26:V89" si="43">IF(ISBLANK(T26),,U26-T26)</f>
        <v>0</v>
      </c>
      <c r="W26" s="26">
        <f t="shared" si="25"/>
        <v>30</v>
      </c>
      <c r="X26" s="36">
        <f t="shared" si="26"/>
        <v>5250</v>
      </c>
      <c r="Y26" s="37">
        <f t="shared" ref="Y26:Y89" si="44">IF(F26&lt;&gt;"",IF(X26&lt;(AE26*$AE$2),(AE26*$AE$2),X26),"")</f>
        <v>5250</v>
      </c>
      <c r="Z26" s="38"/>
      <c r="AA26" s="38">
        <v>1</v>
      </c>
      <c r="AB26" s="38">
        <v>1</v>
      </c>
      <c r="AC26" s="38">
        <v>13170</v>
      </c>
      <c r="AD26" s="157">
        <f t="shared" si="39"/>
        <v>575</v>
      </c>
      <c r="AE26" s="34">
        <v>10.5</v>
      </c>
      <c r="AF26" s="35">
        <v>1</v>
      </c>
      <c r="AG26" s="40"/>
      <c r="AH26" s="44">
        <v>0.5</v>
      </c>
      <c r="AI26" s="13"/>
      <c r="AJ26" s="46"/>
      <c r="AK26" s="45"/>
      <c r="AL26" s="23"/>
      <c r="AM26" s="138"/>
      <c r="AN26" s="25">
        <f t="shared" si="28"/>
        <v>12</v>
      </c>
      <c r="AO26" s="50"/>
      <c r="AP26" s="53">
        <f t="shared" ref="AP26:AP89" si="45">(AF26*$AF$2)+(AH26*$AH$2)+(AI26*$AI$2)</f>
        <v>640</v>
      </c>
      <c r="AQ26" s="53"/>
      <c r="AR26" s="119">
        <v>879.56</v>
      </c>
      <c r="AS26" s="56">
        <f t="shared" si="19"/>
        <v>7734.5599999999995</v>
      </c>
      <c r="AT26" s="298">
        <v>7734.56</v>
      </c>
      <c r="AU26" s="298">
        <f t="shared" si="36"/>
        <v>7094.5599999999995</v>
      </c>
      <c r="AV26" s="357">
        <f t="shared" si="40"/>
        <v>8.2745495542086434E-2</v>
      </c>
      <c r="AW26" s="18">
        <f>SUM($AS$8:AS26)</f>
        <v>99470.29</v>
      </c>
      <c r="AX26" s="18">
        <f>IF(AS26=0,"",SUMIFS($AS$8:AS26, $BH$8:BH26, BH26))</f>
        <v>99470.29</v>
      </c>
      <c r="AY26" s="57">
        <f t="shared" ref="AY26:AY56" ca="1" si="46">IF(AND(D26&gt;TODAY(),ISBLANK(H26)),"",IF(ISBLANK(AE26),"no drilling completed",AS26/(W26)))</f>
        <v>257.81866666666667</v>
      </c>
      <c r="AZ26" s="15" t="str">
        <f t="shared" ref="AZ26:AZ89" ca="1" si="47">IF(D26&lt;TODAY(),HYPERLINK(BG26,"LINK"),"")</f>
        <v>LINK</v>
      </c>
      <c r="BA26" s="10" t="s">
        <v>225</v>
      </c>
      <c r="BB26" s="14" t="s">
        <v>211</v>
      </c>
      <c r="BC26" t="str">
        <f t="shared" ref="BC26:BC89" si="48">RIGHT(YEAR(D26),2)</f>
        <v>25</v>
      </c>
      <c r="BD26" t="str">
        <f t="shared" si="14"/>
        <v>07</v>
      </c>
      <c r="BE26" s="98">
        <f t="shared" si="15"/>
        <v>16</v>
      </c>
      <c r="BF26" t="str">
        <f t="shared" ref="BF26:BF89" si="49">LEFT(E26,1)</f>
        <v>D</v>
      </c>
      <c r="BG26" t="str">
        <f t="shared" si="33"/>
        <v>https://www.coreplan.io/app/ddh1-drilling/speewah-mining-speewah-fluorite-project-wa/plods/1663-250716D</v>
      </c>
      <c r="BH26" t="str">
        <f t="shared" ref="BH26:BH89" si="50">TEXT(D26, "yyyy-mm")</f>
        <v>2025-07</v>
      </c>
    </row>
    <row r="27" spans="1:60">
      <c r="A27" s="510" t="str">
        <f>VLOOKUP(F27,'Tenement Lookup'!A:BH,60,FALSE)</f>
        <v>M 80/269</v>
      </c>
      <c r="B27" t="str">
        <f>VLOOKUP(F27,Purpose!$A$2:$B$334,2,FALSE)</f>
        <v>Met</v>
      </c>
      <c r="C27" s="152" t="s">
        <v>11</v>
      </c>
      <c r="D27" s="1">
        <f t="shared" si="38"/>
        <v>45853.71</v>
      </c>
      <c r="E27" t="s">
        <v>172</v>
      </c>
      <c r="F27" s="7" t="s">
        <v>175</v>
      </c>
      <c r="H27" s="4" t="s">
        <v>218</v>
      </c>
      <c r="I27" s="4">
        <v>3</v>
      </c>
      <c r="J27" s="5">
        <f t="shared" si="20"/>
        <v>390</v>
      </c>
      <c r="K27" s="21">
        <v>50.5</v>
      </c>
      <c r="L27" s="28">
        <v>80.599999999999994</v>
      </c>
      <c r="M27" s="28">
        <f t="shared" ref="M27:M36" si="51">IF(ISBLANK(K27),"",L27-K27)</f>
        <v>30.099999999999994</v>
      </c>
      <c r="N27" s="30"/>
      <c r="O27" s="26"/>
      <c r="P27" s="31">
        <f t="shared" si="41"/>
        <v>0</v>
      </c>
      <c r="Q27" s="21"/>
      <c r="R27" s="28"/>
      <c r="S27" s="22">
        <f t="shared" si="42"/>
        <v>0</v>
      </c>
      <c r="T27" s="26"/>
      <c r="U27" s="26"/>
      <c r="V27" s="31">
        <f t="shared" si="43"/>
        <v>0</v>
      </c>
      <c r="W27" s="26">
        <f t="shared" ref="W27:W58" si="52">IFERROR(M27+P27+S27+V27,"")</f>
        <v>30.099999999999994</v>
      </c>
      <c r="X27" s="36">
        <f t="shared" si="26"/>
        <v>5267.4999999999991</v>
      </c>
      <c r="Y27" s="37">
        <f t="shared" si="44"/>
        <v>5267.4999999999991</v>
      </c>
      <c r="Z27" s="38"/>
      <c r="AA27" s="38"/>
      <c r="AB27" s="38"/>
      <c r="AC27" s="38"/>
      <c r="AD27" s="157">
        <f t="shared" si="39"/>
        <v>0</v>
      </c>
      <c r="AE27" s="34">
        <v>10.25</v>
      </c>
      <c r="AF27" s="35">
        <v>1.25</v>
      </c>
      <c r="AG27" s="40"/>
      <c r="AH27" s="44">
        <v>0.5</v>
      </c>
      <c r="AI27" s="13"/>
      <c r="AJ27" s="46"/>
      <c r="AK27" s="45"/>
      <c r="AL27" s="23"/>
      <c r="AM27" s="138"/>
      <c r="AN27" s="25">
        <f t="shared" si="28"/>
        <v>12</v>
      </c>
      <c r="AO27" s="50"/>
      <c r="AP27" s="53">
        <f t="shared" si="45"/>
        <v>755</v>
      </c>
      <c r="AQ27" s="53"/>
      <c r="AR27" s="119">
        <v>236.49</v>
      </c>
      <c r="AS27" s="56">
        <f t="shared" si="19"/>
        <v>6648.9899999999989</v>
      </c>
      <c r="AT27" s="298">
        <v>6648.99</v>
      </c>
      <c r="AU27" s="298">
        <f t="shared" si="36"/>
        <v>5893.9899999999989</v>
      </c>
      <c r="AV27" s="357">
        <f t="shared" si="40"/>
        <v>0.11355108069045075</v>
      </c>
      <c r="AW27" s="18">
        <f>SUM($AS$8:AS27)</f>
        <v>106119.28</v>
      </c>
      <c r="AX27" s="18">
        <f>IF(AS27=0,"",SUMIFS($AS$8:AS27, $BH$8:BH27, BH27))</f>
        <v>106119.28</v>
      </c>
      <c r="AY27" s="57">
        <f t="shared" ca="1" si="46"/>
        <v>220.89667774086379</v>
      </c>
      <c r="AZ27" s="15" t="str">
        <f t="shared" ca="1" si="47"/>
        <v>LINK</v>
      </c>
      <c r="BA27" s="10" t="s">
        <v>226</v>
      </c>
      <c r="BB27" s="14" t="s">
        <v>211</v>
      </c>
      <c r="BC27" t="str">
        <f t="shared" si="48"/>
        <v>25</v>
      </c>
      <c r="BD27" t="str">
        <f t="shared" si="14"/>
        <v>07</v>
      </c>
      <c r="BE27" s="98">
        <f t="shared" si="15"/>
        <v>16</v>
      </c>
      <c r="BF27" t="str">
        <f t="shared" si="49"/>
        <v>N</v>
      </c>
      <c r="BG27" t="str">
        <f t="shared" ref="BG27:BG90" si="53">CONCATENATE(BB27,BC27,BD27,BE27,BF27)</f>
        <v>https://www.coreplan.io/app/ddh1-drilling/speewah-mining-speewah-fluorite-project-wa/plods/1663-250716N</v>
      </c>
      <c r="BH27" t="str">
        <f t="shared" si="50"/>
        <v>2025-07</v>
      </c>
    </row>
    <row r="28" spans="1:60">
      <c r="A28" s="510" t="str">
        <f>VLOOKUP(F28,'Tenement Lookup'!A:BH,60,FALSE)</f>
        <v>M 80/269</v>
      </c>
      <c r="B28" t="str">
        <f>VLOOKUP(F28,Purpose!$A$2:$B$334,2,FALSE)</f>
        <v>Met</v>
      </c>
      <c r="C28" s="152" t="s">
        <v>11</v>
      </c>
      <c r="D28" s="1">
        <f t="shared" si="38"/>
        <v>45854.21</v>
      </c>
      <c r="E28" t="s">
        <v>171</v>
      </c>
      <c r="F28" s="7" t="s">
        <v>175</v>
      </c>
      <c r="G28" t="s">
        <v>176</v>
      </c>
      <c r="H28" s="4" t="s">
        <v>216</v>
      </c>
      <c r="I28" s="4">
        <v>3</v>
      </c>
      <c r="J28" s="5">
        <f t="shared" si="20"/>
        <v>390</v>
      </c>
      <c r="K28" s="21">
        <v>80.599999999999994</v>
      </c>
      <c r="L28" s="28">
        <v>90.6</v>
      </c>
      <c r="M28" s="28">
        <f t="shared" si="51"/>
        <v>10</v>
      </c>
      <c r="N28" s="30"/>
      <c r="O28" s="26"/>
      <c r="P28" s="31">
        <f t="shared" si="41"/>
        <v>0</v>
      </c>
      <c r="Q28" s="21">
        <v>0</v>
      </c>
      <c r="R28" s="28">
        <v>9</v>
      </c>
      <c r="S28" s="22">
        <f t="shared" si="42"/>
        <v>9</v>
      </c>
      <c r="T28" s="26"/>
      <c r="U28" s="26"/>
      <c r="V28" s="31">
        <f t="shared" si="43"/>
        <v>0</v>
      </c>
      <c r="W28" s="26">
        <f t="shared" si="52"/>
        <v>19</v>
      </c>
      <c r="X28" s="36">
        <f t="shared" si="26"/>
        <v>3325</v>
      </c>
      <c r="Y28" s="37">
        <f t="shared" si="44"/>
        <v>3325</v>
      </c>
      <c r="Z28" s="38"/>
      <c r="AA28" s="38">
        <v>1</v>
      </c>
      <c r="AB28" s="38">
        <v>1</v>
      </c>
      <c r="AC28" s="38">
        <v>13170</v>
      </c>
      <c r="AD28" s="157">
        <f t="shared" si="39"/>
        <v>575</v>
      </c>
      <c r="AE28" s="34">
        <v>6.5</v>
      </c>
      <c r="AF28" s="35">
        <v>4.5</v>
      </c>
      <c r="AG28" s="40"/>
      <c r="AH28" s="44">
        <v>1</v>
      </c>
      <c r="AI28" s="13"/>
      <c r="AJ28" s="46"/>
      <c r="AK28" s="45"/>
      <c r="AL28" s="23"/>
      <c r="AM28" s="138"/>
      <c r="AN28" s="25">
        <f t="shared" si="28"/>
        <v>12</v>
      </c>
      <c r="AO28" s="50"/>
      <c r="AP28" s="53">
        <f t="shared" si="45"/>
        <v>2430</v>
      </c>
      <c r="AQ28" s="53"/>
      <c r="AR28" s="119"/>
      <c r="AS28" s="56">
        <f t="shared" si="19"/>
        <v>6720</v>
      </c>
      <c r="AT28" s="298">
        <v>6720</v>
      </c>
      <c r="AU28" s="298">
        <f t="shared" si="36"/>
        <v>4290</v>
      </c>
      <c r="AV28" s="357">
        <f t="shared" si="40"/>
        <v>0.36160714285714285</v>
      </c>
      <c r="AW28" s="18">
        <f>SUM($AS$8:AS28)</f>
        <v>112839.28</v>
      </c>
      <c r="AX28" s="18">
        <f>IF(AS28=0,"",SUMIFS($AS$8:AS28, $BH$8:BH28, BH28))</f>
        <v>112839.28</v>
      </c>
      <c r="AY28" s="57">
        <f t="shared" ca="1" si="46"/>
        <v>353.68421052631578</v>
      </c>
      <c r="AZ28" s="15" t="str">
        <f t="shared" ca="1" si="47"/>
        <v>LINK</v>
      </c>
      <c r="BA28" s="10" t="s">
        <v>227</v>
      </c>
      <c r="BB28" s="14" t="s">
        <v>211</v>
      </c>
      <c r="BC28" t="str">
        <f t="shared" si="48"/>
        <v>25</v>
      </c>
      <c r="BD28" t="str">
        <f t="shared" si="14"/>
        <v>07</v>
      </c>
      <c r="BE28" s="98">
        <f t="shared" si="15"/>
        <v>17</v>
      </c>
      <c r="BF28" t="str">
        <f t="shared" si="49"/>
        <v>D</v>
      </c>
      <c r="BG28" t="str">
        <f t="shared" si="53"/>
        <v>https://www.coreplan.io/app/ddh1-drilling/speewah-mining-speewah-fluorite-project-wa/plods/1663-250717D</v>
      </c>
      <c r="BH28" t="str">
        <f t="shared" si="50"/>
        <v>2025-07</v>
      </c>
    </row>
    <row r="29" spans="1:60">
      <c r="A29" s="510" t="str">
        <f>VLOOKUP(F29,'Tenement Lookup'!A:BH,60,FALSE)</f>
        <v>M 80/269</v>
      </c>
      <c r="B29" t="str">
        <f>VLOOKUP(F29,Purpose!$A$2:$B$334,2,FALSE)</f>
        <v>Met</v>
      </c>
      <c r="C29" s="152" t="s">
        <v>11</v>
      </c>
      <c r="D29" s="1">
        <f t="shared" si="38"/>
        <v>45854.71</v>
      </c>
      <c r="E29" t="s">
        <v>172</v>
      </c>
      <c r="F29" s="7" t="s">
        <v>176</v>
      </c>
      <c r="H29" s="4" t="s">
        <v>218</v>
      </c>
      <c r="I29" s="4">
        <v>3</v>
      </c>
      <c r="J29" s="5">
        <f t="shared" si="20"/>
        <v>390</v>
      </c>
      <c r="K29" s="21">
        <v>9</v>
      </c>
      <c r="L29" s="28">
        <v>30.8</v>
      </c>
      <c r="M29" s="28">
        <f t="shared" si="51"/>
        <v>21.8</v>
      </c>
      <c r="N29" s="30"/>
      <c r="O29" s="26"/>
      <c r="P29" s="31">
        <f t="shared" si="41"/>
        <v>0</v>
      </c>
      <c r="Q29" s="21"/>
      <c r="R29" s="28"/>
      <c r="S29" s="22">
        <f t="shared" si="42"/>
        <v>0</v>
      </c>
      <c r="T29" s="26"/>
      <c r="U29" s="26"/>
      <c r="V29" s="31">
        <f t="shared" si="43"/>
        <v>0</v>
      </c>
      <c r="W29" s="26">
        <f t="shared" si="52"/>
        <v>21.8</v>
      </c>
      <c r="X29" s="36">
        <f t="shared" si="26"/>
        <v>3815</v>
      </c>
      <c r="Y29" s="37">
        <f t="shared" si="44"/>
        <v>4025</v>
      </c>
      <c r="Z29" s="38"/>
      <c r="AA29" s="38"/>
      <c r="AB29" s="38"/>
      <c r="AC29" s="38"/>
      <c r="AD29" s="157">
        <f t="shared" si="39"/>
        <v>0</v>
      </c>
      <c r="AE29" s="34">
        <v>8.75</v>
      </c>
      <c r="AF29" s="35">
        <v>2.75</v>
      </c>
      <c r="AG29" s="40"/>
      <c r="AH29" s="44">
        <v>0.5</v>
      </c>
      <c r="AI29" s="13"/>
      <c r="AJ29" s="46"/>
      <c r="AK29" s="45"/>
      <c r="AL29" s="23"/>
      <c r="AM29" s="138"/>
      <c r="AN29" s="25">
        <f t="shared" si="28"/>
        <v>12</v>
      </c>
      <c r="AO29" s="50"/>
      <c r="AP29" s="53">
        <f t="shared" si="45"/>
        <v>1445</v>
      </c>
      <c r="AQ29" s="53"/>
      <c r="AR29" s="119">
        <v>396.12</v>
      </c>
      <c r="AS29" s="56">
        <f t="shared" si="19"/>
        <v>6256.12</v>
      </c>
      <c r="AT29" s="298">
        <v>6256.12</v>
      </c>
      <c r="AU29" s="298">
        <f t="shared" si="36"/>
        <v>4811.12</v>
      </c>
      <c r="AV29" s="357">
        <f t="shared" si="40"/>
        <v>0.23097383042524761</v>
      </c>
      <c r="AW29" s="18">
        <f>SUM($AS$8:AS29)</f>
        <v>119095.4</v>
      </c>
      <c r="AX29" s="18">
        <f>IF(AS29=0,"",SUMIFS($AS$8:AS29, $BH$8:BH29, BH29))</f>
        <v>119095.4</v>
      </c>
      <c r="AY29" s="57">
        <f t="shared" ca="1" si="46"/>
        <v>286.97798165137613</v>
      </c>
      <c r="AZ29" s="15" t="str">
        <f t="shared" ca="1" si="47"/>
        <v>LINK</v>
      </c>
      <c r="BA29" s="10" t="s">
        <v>228</v>
      </c>
      <c r="BB29" s="14" t="s">
        <v>211</v>
      </c>
      <c r="BC29" t="str">
        <f t="shared" si="48"/>
        <v>25</v>
      </c>
      <c r="BD29" t="str">
        <f t="shared" si="14"/>
        <v>07</v>
      </c>
      <c r="BE29" s="98">
        <f t="shared" si="15"/>
        <v>17</v>
      </c>
      <c r="BF29" t="str">
        <f t="shared" si="49"/>
        <v>N</v>
      </c>
      <c r="BG29" t="str">
        <f t="shared" si="53"/>
        <v>https://www.coreplan.io/app/ddh1-drilling/speewah-mining-speewah-fluorite-project-wa/plods/1663-250717N</v>
      </c>
      <c r="BH29" t="str">
        <f t="shared" si="50"/>
        <v>2025-07</v>
      </c>
    </row>
    <row r="30" spans="1:60">
      <c r="A30" s="510" t="str">
        <f>VLOOKUP(F30,'Tenement Lookup'!A:BH,60,FALSE)</f>
        <v>M 80/269</v>
      </c>
      <c r="B30" t="str">
        <f>VLOOKUP(F30,Purpose!$A$2:$B$334,2,FALSE)</f>
        <v>Met</v>
      </c>
      <c r="C30" s="152" t="s">
        <v>11</v>
      </c>
      <c r="D30" s="1">
        <f t="shared" si="38"/>
        <v>45855.21</v>
      </c>
      <c r="E30" t="s">
        <v>171</v>
      </c>
      <c r="F30" s="7" t="s">
        <v>176</v>
      </c>
      <c r="H30" s="4" t="s">
        <v>216</v>
      </c>
      <c r="I30" s="4">
        <v>3</v>
      </c>
      <c r="J30" s="5">
        <f t="shared" si="20"/>
        <v>390</v>
      </c>
      <c r="K30" s="21">
        <v>30.8</v>
      </c>
      <c r="L30" s="28">
        <v>57</v>
      </c>
      <c r="M30" s="28">
        <f t="shared" si="51"/>
        <v>26.2</v>
      </c>
      <c r="N30" s="30"/>
      <c r="O30" s="26"/>
      <c r="P30" s="31">
        <f t="shared" si="41"/>
        <v>0</v>
      </c>
      <c r="Q30" s="21"/>
      <c r="R30" s="28"/>
      <c r="S30" s="22">
        <f t="shared" si="42"/>
        <v>0</v>
      </c>
      <c r="T30" s="26"/>
      <c r="U30" s="26"/>
      <c r="V30" s="31">
        <f t="shared" si="43"/>
        <v>0</v>
      </c>
      <c r="W30" s="26">
        <f t="shared" si="52"/>
        <v>26.2</v>
      </c>
      <c r="X30" s="36">
        <f t="shared" si="26"/>
        <v>4585</v>
      </c>
      <c r="Y30" s="37">
        <f t="shared" si="44"/>
        <v>4715</v>
      </c>
      <c r="Z30" s="38"/>
      <c r="AA30" s="38">
        <v>1</v>
      </c>
      <c r="AB30" s="38">
        <v>1</v>
      </c>
      <c r="AC30" s="38">
        <v>13170</v>
      </c>
      <c r="AD30" s="157">
        <f t="shared" si="39"/>
        <v>575</v>
      </c>
      <c r="AE30" s="34">
        <v>10.25</v>
      </c>
      <c r="AF30" s="35">
        <v>1.25</v>
      </c>
      <c r="AG30" s="40"/>
      <c r="AH30" s="44">
        <v>0.5</v>
      </c>
      <c r="AI30" s="13"/>
      <c r="AJ30" s="46"/>
      <c r="AK30" s="45"/>
      <c r="AL30" s="23"/>
      <c r="AM30" s="138"/>
      <c r="AN30" s="25">
        <f t="shared" si="28"/>
        <v>12</v>
      </c>
      <c r="AO30" s="50"/>
      <c r="AP30" s="53">
        <f t="shared" si="45"/>
        <v>755</v>
      </c>
      <c r="AQ30" s="53"/>
      <c r="AR30" s="119"/>
      <c r="AS30" s="56">
        <f t="shared" si="19"/>
        <v>6435</v>
      </c>
      <c r="AT30" s="298">
        <v>6435</v>
      </c>
      <c r="AU30" s="298">
        <f t="shared" si="36"/>
        <v>5680</v>
      </c>
      <c r="AV30" s="357">
        <f t="shared" si="40"/>
        <v>0.11732711732711733</v>
      </c>
      <c r="AW30" s="18">
        <f>SUM($AS$8:AS30)</f>
        <v>125530.4</v>
      </c>
      <c r="AX30" s="18">
        <f>IF(AS30=0,"",SUMIFS($AS$8:AS30, $BH$8:BH30, BH30))</f>
        <v>125530.4</v>
      </c>
      <c r="AY30" s="57">
        <f t="shared" ca="1" si="46"/>
        <v>245.61068702290078</v>
      </c>
      <c r="AZ30" s="15" t="str">
        <f t="shared" ca="1" si="47"/>
        <v>LINK</v>
      </c>
      <c r="BA30" s="10" t="s">
        <v>229</v>
      </c>
      <c r="BB30" s="14" t="s">
        <v>211</v>
      </c>
      <c r="BC30" t="str">
        <f t="shared" si="48"/>
        <v>25</v>
      </c>
      <c r="BD30" t="str">
        <f t="shared" si="14"/>
        <v>07</v>
      </c>
      <c r="BE30" s="98">
        <f t="shared" si="15"/>
        <v>18</v>
      </c>
      <c r="BF30" t="str">
        <f t="shared" si="49"/>
        <v>D</v>
      </c>
      <c r="BG30" t="str">
        <f t="shared" si="53"/>
        <v>https://www.coreplan.io/app/ddh1-drilling/speewah-mining-speewah-fluorite-project-wa/plods/1663-250718D</v>
      </c>
      <c r="BH30" t="str">
        <f t="shared" si="50"/>
        <v>2025-07</v>
      </c>
    </row>
    <row r="31" spans="1:60">
      <c r="A31" s="510" t="str">
        <f>VLOOKUP(F31,'Tenement Lookup'!A:BH,60,FALSE)</f>
        <v>M 80/269</v>
      </c>
      <c r="B31" t="str">
        <f>VLOOKUP(F31,Purpose!$A$2:$B$334,2,FALSE)</f>
        <v>Met</v>
      </c>
      <c r="C31" s="152" t="s">
        <v>11</v>
      </c>
      <c r="D31" s="1">
        <f t="shared" si="38"/>
        <v>45855.71</v>
      </c>
      <c r="E31" t="s">
        <v>172</v>
      </c>
      <c r="F31" s="7" t="s">
        <v>176</v>
      </c>
      <c r="H31" s="4" t="s">
        <v>218</v>
      </c>
      <c r="I31" s="4">
        <v>3</v>
      </c>
      <c r="J31" s="5">
        <f t="shared" si="20"/>
        <v>390</v>
      </c>
      <c r="K31" s="21">
        <v>57</v>
      </c>
      <c r="L31" s="28">
        <v>84.7</v>
      </c>
      <c r="M31" s="28">
        <f t="shared" si="51"/>
        <v>27.700000000000003</v>
      </c>
      <c r="N31" s="30"/>
      <c r="O31" s="26"/>
      <c r="P31" s="31">
        <f t="shared" si="41"/>
        <v>0</v>
      </c>
      <c r="Q31" s="21"/>
      <c r="R31" s="28"/>
      <c r="S31" s="22">
        <f t="shared" si="42"/>
        <v>0</v>
      </c>
      <c r="T31" s="26"/>
      <c r="U31" s="26"/>
      <c r="V31" s="31">
        <f t="shared" si="43"/>
        <v>0</v>
      </c>
      <c r="W31" s="26">
        <f t="shared" si="52"/>
        <v>27.700000000000003</v>
      </c>
      <c r="X31" s="36">
        <f t="shared" si="26"/>
        <v>4847.5000000000009</v>
      </c>
      <c r="Y31" s="37">
        <f t="shared" si="44"/>
        <v>4847.5000000000009</v>
      </c>
      <c r="Z31" s="38"/>
      <c r="AA31" s="38"/>
      <c r="AB31" s="38"/>
      <c r="AC31" s="38"/>
      <c r="AD31" s="157">
        <f t="shared" si="39"/>
        <v>0</v>
      </c>
      <c r="AE31" s="34">
        <v>10</v>
      </c>
      <c r="AF31" s="35">
        <v>1.5</v>
      </c>
      <c r="AG31" s="40"/>
      <c r="AH31" s="44">
        <v>0.5</v>
      </c>
      <c r="AI31" s="13"/>
      <c r="AJ31" s="46"/>
      <c r="AK31" s="45"/>
      <c r="AL31" s="23"/>
      <c r="AM31" s="138"/>
      <c r="AN31" s="25">
        <f t="shared" si="28"/>
        <v>12</v>
      </c>
      <c r="AO31" s="50"/>
      <c r="AP31" s="53">
        <f t="shared" si="45"/>
        <v>870</v>
      </c>
      <c r="AQ31" s="53"/>
      <c r="AR31" s="119">
        <v>117.93</v>
      </c>
      <c r="AS31" s="56">
        <f t="shared" si="19"/>
        <v>6225.4300000000012</v>
      </c>
      <c r="AT31" s="298">
        <v>6225.43</v>
      </c>
      <c r="AU31" s="298">
        <f t="shared" si="36"/>
        <v>5355.4300000000012</v>
      </c>
      <c r="AV31" s="357">
        <f t="shared" si="40"/>
        <v>0.13974938277355939</v>
      </c>
      <c r="AW31" s="18">
        <f>SUM($AS$8:AS31)</f>
        <v>131755.82999999999</v>
      </c>
      <c r="AX31" s="18">
        <f>IF(AS31=0,"",SUMIFS($AS$8:AS31, $BH$8:BH31, BH31))</f>
        <v>131755.82999999999</v>
      </c>
      <c r="AY31" s="57">
        <f t="shared" ca="1" si="46"/>
        <v>224.74476534296031</v>
      </c>
      <c r="AZ31" s="15" t="str">
        <f t="shared" ca="1" si="47"/>
        <v>LINK</v>
      </c>
      <c r="BA31" s="10" t="s">
        <v>230</v>
      </c>
      <c r="BB31" s="14" t="s">
        <v>211</v>
      </c>
      <c r="BC31" t="str">
        <f t="shared" si="48"/>
        <v>25</v>
      </c>
      <c r="BD31" t="str">
        <f t="shared" si="14"/>
        <v>07</v>
      </c>
      <c r="BE31" s="98">
        <f t="shared" si="15"/>
        <v>18</v>
      </c>
      <c r="BF31" t="str">
        <f t="shared" si="49"/>
        <v>N</v>
      </c>
      <c r="BG31" t="str">
        <f t="shared" si="53"/>
        <v>https://www.coreplan.io/app/ddh1-drilling/speewah-mining-speewah-fluorite-project-wa/plods/1663-250718N</v>
      </c>
      <c r="BH31" t="str">
        <f t="shared" si="50"/>
        <v>2025-07</v>
      </c>
    </row>
    <row r="32" spans="1:60">
      <c r="A32" s="510" t="str">
        <f>VLOOKUP(F32,'Tenement Lookup'!A:BH,60,FALSE)</f>
        <v>M 80/269</v>
      </c>
      <c r="B32" t="str">
        <f>VLOOKUP(F32,Purpose!$A$2:$B$334,2,FALSE)</f>
        <v>Met</v>
      </c>
      <c r="C32" s="152" t="s">
        <v>11</v>
      </c>
      <c r="D32" s="1">
        <f t="shared" si="38"/>
        <v>45856.21</v>
      </c>
      <c r="E32" t="s">
        <v>171</v>
      </c>
      <c r="F32" s="7" t="s">
        <v>176</v>
      </c>
      <c r="H32" s="4" t="s">
        <v>216</v>
      </c>
      <c r="I32" s="4">
        <v>3</v>
      </c>
      <c r="J32" s="5">
        <f t="shared" si="20"/>
        <v>390</v>
      </c>
      <c r="K32" s="21">
        <v>84.7</v>
      </c>
      <c r="L32" s="28">
        <v>90.7</v>
      </c>
      <c r="M32" s="28">
        <f t="shared" si="51"/>
        <v>6</v>
      </c>
      <c r="N32" s="30"/>
      <c r="O32" s="26"/>
      <c r="P32" s="31">
        <f t="shared" si="41"/>
        <v>0</v>
      </c>
      <c r="Q32" s="21"/>
      <c r="R32" s="28"/>
      <c r="S32" s="22">
        <f t="shared" si="42"/>
        <v>0</v>
      </c>
      <c r="T32" s="26"/>
      <c r="U32" s="26"/>
      <c r="V32" s="31">
        <f t="shared" si="43"/>
        <v>0</v>
      </c>
      <c r="W32" s="26">
        <f t="shared" si="52"/>
        <v>6</v>
      </c>
      <c r="X32" s="36">
        <f t="shared" si="26"/>
        <v>1050</v>
      </c>
      <c r="Y32" s="37">
        <f t="shared" si="44"/>
        <v>1610</v>
      </c>
      <c r="Z32" s="38"/>
      <c r="AA32" s="38">
        <v>1</v>
      </c>
      <c r="AB32" s="38">
        <v>1</v>
      </c>
      <c r="AC32" s="38">
        <v>13170</v>
      </c>
      <c r="AD32" s="157">
        <f t="shared" si="39"/>
        <v>575</v>
      </c>
      <c r="AE32" s="34">
        <v>3.5</v>
      </c>
      <c r="AF32" s="35">
        <v>7.5</v>
      </c>
      <c r="AG32" s="40" t="s">
        <v>222</v>
      </c>
      <c r="AH32" s="44">
        <v>1</v>
      </c>
      <c r="AI32" s="13"/>
      <c r="AJ32" s="46"/>
      <c r="AK32" s="45"/>
      <c r="AL32" s="23"/>
      <c r="AM32" s="138"/>
      <c r="AN32" s="25">
        <f t="shared" ref="AN32:AN95" si="54">IF(ISBLANK(AE32),"",SUM(AE32:AF32,AH32:AL32))</f>
        <v>12</v>
      </c>
      <c r="AO32" s="50"/>
      <c r="AP32" s="53">
        <f t="shared" si="45"/>
        <v>3810</v>
      </c>
      <c r="AQ32" s="53"/>
      <c r="AR32" s="119"/>
      <c r="AS32" s="56">
        <f t="shared" si="19"/>
        <v>6385</v>
      </c>
      <c r="AT32" s="298">
        <v>6385</v>
      </c>
      <c r="AU32" s="298">
        <f t="shared" si="36"/>
        <v>2575</v>
      </c>
      <c r="AV32" s="357">
        <f t="shared" si="40"/>
        <v>0.59671104150352383</v>
      </c>
      <c r="AW32" s="18">
        <f>SUM($AS$8:AS32)</f>
        <v>138140.82999999999</v>
      </c>
      <c r="AX32" s="18">
        <f>IF(AS32=0,"",SUMIFS($AS$8:AS32, $BH$8:BH32, BH32))</f>
        <v>138140.82999999999</v>
      </c>
      <c r="AY32" s="57"/>
      <c r="AZ32" s="15" t="str">
        <f t="shared" ca="1" si="47"/>
        <v>LINK</v>
      </c>
      <c r="BA32" s="10" t="s">
        <v>231</v>
      </c>
      <c r="BB32" s="14" t="s">
        <v>211</v>
      </c>
      <c r="BC32" t="str">
        <f t="shared" si="48"/>
        <v>25</v>
      </c>
      <c r="BD32" t="str">
        <f t="shared" si="14"/>
        <v>07</v>
      </c>
      <c r="BE32" s="98">
        <f t="shared" si="15"/>
        <v>19</v>
      </c>
      <c r="BF32" t="str">
        <f t="shared" si="49"/>
        <v>D</v>
      </c>
      <c r="BG32" t="str">
        <f t="shared" si="53"/>
        <v>https://www.coreplan.io/app/ddh1-drilling/speewah-mining-speewah-fluorite-project-wa/plods/1663-250719D</v>
      </c>
      <c r="BH32" t="str">
        <f t="shared" si="50"/>
        <v>2025-07</v>
      </c>
    </row>
    <row r="33" spans="1:60">
      <c r="A33" s="510" t="str">
        <f>VLOOKUP(F33,'Tenement Lookup'!A:BH,60,FALSE)</f>
        <v>M 80/269</v>
      </c>
      <c r="B33" t="str">
        <f>VLOOKUP(F33,Purpose!$A$2:$B$334,2,FALSE)</f>
        <v>Met</v>
      </c>
      <c r="C33" s="152" t="s">
        <v>11</v>
      </c>
      <c r="D33" s="1">
        <f t="shared" si="38"/>
        <v>45856.71</v>
      </c>
      <c r="E33" t="s">
        <v>172</v>
      </c>
      <c r="F33" s="7" t="s">
        <v>177</v>
      </c>
      <c r="H33" s="4" t="s">
        <v>218</v>
      </c>
      <c r="I33" s="4">
        <v>3</v>
      </c>
      <c r="J33" s="5">
        <f t="shared" si="20"/>
        <v>390</v>
      </c>
      <c r="K33" s="21">
        <v>0</v>
      </c>
      <c r="L33" s="28">
        <v>14.9</v>
      </c>
      <c r="M33" s="28">
        <f t="shared" si="51"/>
        <v>14.9</v>
      </c>
      <c r="N33" s="30"/>
      <c r="O33" s="26"/>
      <c r="P33" s="31">
        <f t="shared" si="41"/>
        <v>0</v>
      </c>
      <c r="Q33" s="21"/>
      <c r="R33" s="28"/>
      <c r="S33" s="22">
        <f t="shared" si="42"/>
        <v>0</v>
      </c>
      <c r="T33" s="26"/>
      <c r="U33" s="26"/>
      <c r="V33" s="31">
        <f t="shared" si="43"/>
        <v>0</v>
      </c>
      <c r="W33" s="26">
        <f t="shared" si="52"/>
        <v>14.9</v>
      </c>
      <c r="X33" s="36">
        <f t="shared" si="26"/>
        <v>2607.5</v>
      </c>
      <c r="Y33" s="37">
        <f t="shared" si="44"/>
        <v>2607.5</v>
      </c>
      <c r="Z33" s="38"/>
      <c r="AA33" s="38"/>
      <c r="AB33" s="38"/>
      <c r="AC33" s="38"/>
      <c r="AD33" s="157">
        <f t="shared" si="39"/>
        <v>0</v>
      </c>
      <c r="AE33" s="34">
        <v>5.25</v>
      </c>
      <c r="AF33" s="35">
        <v>3.75</v>
      </c>
      <c r="AG33" s="40"/>
      <c r="AH33" s="44">
        <v>0.5</v>
      </c>
      <c r="AI33" s="13">
        <v>2.5</v>
      </c>
      <c r="AJ33" s="46"/>
      <c r="AK33" s="45"/>
      <c r="AL33" s="23"/>
      <c r="AM33" s="138"/>
      <c r="AN33" s="25">
        <f t="shared" si="54"/>
        <v>12</v>
      </c>
      <c r="AO33" s="50"/>
      <c r="AP33" s="53">
        <f t="shared" si="45"/>
        <v>2805</v>
      </c>
      <c r="AQ33" s="53"/>
      <c r="AR33" s="119">
        <v>514.04999999999995</v>
      </c>
      <c r="AS33" s="56">
        <f t="shared" si="19"/>
        <v>6316.55</v>
      </c>
      <c r="AT33" s="298">
        <v>6316.55</v>
      </c>
      <c r="AU33" s="298">
        <f t="shared" si="36"/>
        <v>3511.55</v>
      </c>
      <c r="AV33" s="357">
        <f t="shared" si="40"/>
        <v>0.4440715263870309</v>
      </c>
      <c r="AW33" s="18">
        <f>SUM($AS$8:AS33)</f>
        <v>144457.37999999998</v>
      </c>
      <c r="AX33" s="18">
        <f>IF(AS33=0,"",SUMIFS($AS$8:AS33, $BH$8:BH33, BH33))</f>
        <v>144457.37999999998</v>
      </c>
      <c r="AY33" s="57">
        <f t="shared" ca="1" si="46"/>
        <v>423.92953020134229</v>
      </c>
      <c r="AZ33" s="15" t="str">
        <f t="shared" ca="1" si="47"/>
        <v>LINK</v>
      </c>
      <c r="BA33" s="10" t="s">
        <v>232</v>
      </c>
      <c r="BB33" s="14" t="s">
        <v>211</v>
      </c>
      <c r="BC33" t="str">
        <f t="shared" si="48"/>
        <v>25</v>
      </c>
      <c r="BD33" t="str">
        <f t="shared" si="14"/>
        <v>07</v>
      </c>
      <c r="BE33" s="98">
        <f t="shared" si="15"/>
        <v>19</v>
      </c>
      <c r="BF33" t="str">
        <f t="shared" si="49"/>
        <v>N</v>
      </c>
      <c r="BG33" t="str">
        <f t="shared" si="53"/>
        <v>https://www.coreplan.io/app/ddh1-drilling/speewah-mining-speewah-fluorite-project-wa/plods/1663-250719N</v>
      </c>
      <c r="BH33" t="str">
        <f t="shared" si="50"/>
        <v>2025-07</v>
      </c>
    </row>
    <row r="34" spans="1:60">
      <c r="A34" s="510" t="str">
        <f>VLOOKUP(F34,'Tenement Lookup'!A:BH,60,FALSE)</f>
        <v>M 80/269</v>
      </c>
      <c r="B34" t="str">
        <f>VLOOKUP(F34,Purpose!$A$2:$B$334,2,FALSE)</f>
        <v>Met</v>
      </c>
      <c r="C34" s="152" t="s">
        <v>11</v>
      </c>
      <c r="D34" s="1">
        <f t="shared" si="38"/>
        <v>45857.21</v>
      </c>
      <c r="E34" t="s">
        <v>171</v>
      </c>
      <c r="F34" s="7" t="s">
        <v>177</v>
      </c>
      <c r="H34" s="4" t="s">
        <v>216</v>
      </c>
      <c r="I34" s="4">
        <v>3</v>
      </c>
      <c r="J34" s="5">
        <f t="shared" si="20"/>
        <v>390</v>
      </c>
      <c r="K34" s="21">
        <v>14.9</v>
      </c>
      <c r="L34" s="28">
        <v>45.6</v>
      </c>
      <c r="M34" s="28">
        <f t="shared" si="51"/>
        <v>30.700000000000003</v>
      </c>
      <c r="N34" s="30"/>
      <c r="O34" s="26"/>
      <c r="P34" s="31">
        <f t="shared" si="41"/>
        <v>0</v>
      </c>
      <c r="Q34" s="21"/>
      <c r="R34" s="28"/>
      <c r="S34" s="22">
        <f t="shared" si="42"/>
        <v>0</v>
      </c>
      <c r="T34" s="26"/>
      <c r="U34" s="26"/>
      <c r="V34" s="31">
        <f t="shared" si="43"/>
        <v>0</v>
      </c>
      <c r="W34" s="26">
        <f t="shared" si="52"/>
        <v>30.700000000000003</v>
      </c>
      <c r="X34" s="36">
        <f t="shared" si="26"/>
        <v>5372.5000000000009</v>
      </c>
      <c r="Y34" s="37">
        <f t="shared" si="44"/>
        <v>5372.5000000000009</v>
      </c>
      <c r="Z34" s="38"/>
      <c r="AA34" s="38">
        <v>1</v>
      </c>
      <c r="AB34" s="38">
        <v>1</v>
      </c>
      <c r="AC34" s="38">
        <v>13170</v>
      </c>
      <c r="AD34" s="157">
        <f t="shared" si="39"/>
        <v>575</v>
      </c>
      <c r="AE34" s="34">
        <v>10.75</v>
      </c>
      <c r="AF34" s="35">
        <v>0.75</v>
      </c>
      <c r="AG34" s="40"/>
      <c r="AH34" s="44">
        <v>0.5</v>
      </c>
      <c r="AI34" s="13"/>
      <c r="AJ34" s="46"/>
      <c r="AK34" s="45"/>
      <c r="AL34" s="23"/>
      <c r="AM34" s="138"/>
      <c r="AN34" s="25">
        <f t="shared" si="54"/>
        <v>12</v>
      </c>
      <c r="AO34" s="50"/>
      <c r="AP34" s="53">
        <f t="shared" si="45"/>
        <v>525</v>
      </c>
      <c r="AQ34" s="53"/>
      <c r="AR34" s="119"/>
      <c r="AS34" s="56">
        <f t="shared" si="19"/>
        <v>6862.5000000000009</v>
      </c>
      <c r="AT34" s="298">
        <v>6862.5</v>
      </c>
      <c r="AU34" s="298">
        <f t="shared" si="36"/>
        <v>6337.5000000000009</v>
      </c>
      <c r="AV34" s="357">
        <f t="shared" si="40"/>
        <v>7.6502732240437146E-2</v>
      </c>
      <c r="AW34" s="18">
        <f>SUM($AS$8:AS34)</f>
        <v>151319.87999999998</v>
      </c>
      <c r="AX34" s="18">
        <f>IF(AS34=0,"",SUMIFS($AS$8:AS34, $BH$8:BH34, BH34))</f>
        <v>151319.87999999998</v>
      </c>
      <c r="AY34" s="57">
        <f t="shared" ca="1" si="46"/>
        <v>223.53420195439739</v>
      </c>
      <c r="AZ34" s="15" t="str">
        <f t="shared" ca="1" si="47"/>
        <v>LINK</v>
      </c>
      <c r="BA34" s="10" t="s">
        <v>233</v>
      </c>
      <c r="BB34" s="14" t="s">
        <v>211</v>
      </c>
      <c r="BC34" t="str">
        <f t="shared" si="48"/>
        <v>25</v>
      </c>
      <c r="BD34" t="str">
        <f t="shared" si="14"/>
        <v>07</v>
      </c>
      <c r="BE34" s="98">
        <f t="shared" si="15"/>
        <v>20</v>
      </c>
      <c r="BF34" t="str">
        <f t="shared" si="49"/>
        <v>D</v>
      </c>
      <c r="BG34" t="str">
        <f t="shared" si="53"/>
        <v>https://www.coreplan.io/app/ddh1-drilling/speewah-mining-speewah-fluorite-project-wa/plods/1663-250720D</v>
      </c>
      <c r="BH34" t="str">
        <f t="shared" si="50"/>
        <v>2025-07</v>
      </c>
    </row>
    <row r="35" spans="1:60">
      <c r="A35" s="510" t="str">
        <f>VLOOKUP(F35,'Tenement Lookup'!A:BH,60,FALSE)</f>
        <v>M 80/269</v>
      </c>
      <c r="B35" t="str">
        <f>VLOOKUP(F35,Purpose!$A$2:$B$334,2,FALSE)</f>
        <v>Met</v>
      </c>
      <c r="C35" s="152" t="s">
        <v>11</v>
      </c>
      <c r="D35" s="1">
        <f t="shared" si="38"/>
        <v>45857.71</v>
      </c>
      <c r="E35" t="s">
        <v>172</v>
      </c>
      <c r="F35" s="7" t="s">
        <v>177</v>
      </c>
      <c r="H35" s="4" t="s">
        <v>218</v>
      </c>
      <c r="I35" s="4">
        <v>3</v>
      </c>
      <c r="J35" s="5">
        <f t="shared" si="20"/>
        <v>390</v>
      </c>
      <c r="K35" s="21">
        <v>45.6</v>
      </c>
      <c r="L35" s="28">
        <v>75.599999999999994</v>
      </c>
      <c r="M35" s="28">
        <f t="shared" si="51"/>
        <v>29.999999999999993</v>
      </c>
      <c r="N35" s="30"/>
      <c r="O35" s="26"/>
      <c r="P35" s="31">
        <f t="shared" si="41"/>
        <v>0</v>
      </c>
      <c r="Q35" s="21"/>
      <c r="R35" s="28"/>
      <c r="S35" s="22">
        <f t="shared" si="42"/>
        <v>0</v>
      </c>
      <c r="T35" s="26"/>
      <c r="U35" s="26"/>
      <c r="V35" s="31">
        <f t="shared" si="43"/>
        <v>0</v>
      </c>
      <c r="W35" s="26">
        <f t="shared" si="52"/>
        <v>29.999999999999993</v>
      </c>
      <c r="X35" s="36">
        <f t="shared" si="26"/>
        <v>5249.9999999999991</v>
      </c>
      <c r="Y35" s="37">
        <f t="shared" si="44"/>
        <v>5249.9999999999991</v>
      </c>
      <c r="Z35" s="38"/>
      <c r="AA35" s="38"/>
      <c r="AB35" s="38"/>
      <c r="AC35" s="38"/>
      <c r="AD35" s="157">
        <f t="shared" si="39"/>
        <v>0</v>
      </c>
      <c r="AE35" s="34">
        <v>10.5</v>
      </c>
      <c r="AF35" s="35">
        <v>1</v>
      </c>
      <c r="AG35" s="40"/>
      <c r="AH35" s="44">
        <v>0.5</v>
      </c>
      <c r="AI35" s="13"/>
      <c r="AJ35" s="46"/>
      <c r="AK35" s="45"/>
      <c r="AL35" s="23"/>
      <c r="AM35" s="138"/>
      <c r="AN35" s="25">
        <f t="shared" si="54"/>
        <v>12</v>
      </c>
      <c r="AO35" s="50"/>
      <c r="AP35" s="53">
        <f t="shared" si="45"/>
        <v>640</v>
      </c>
      <c r="AQ35" s="53"/>
      <c r="AR35" s="119">
        <v>117.93</v>
      </c>
      <c r="AS35" s="56">
        <f t="shared" si="19"/>
        <v>6397.9299999999994</v>
      </c>
      <c r="AT35" s="298">
        <v>6397.93</v>
      </c>
      <c r="AU35" s="298">
        <f t="shared" si="36"/>
        <v>5757.9299999999994</v>
      </c>
      <c r="AV35" s="357">
        <f t="shared" si="40"/>
        <v>0.10003235421456629</v>
      </c>
      <c r="AW35" s="18">
        <f>SUM($AS$8:AS35)</f>
        <v>157717.80999999997</v>
      </c>
      <c r="AX35" s="18">
        <f>IF(AS35=0,"",SUMIFS($AS$8:AS35, $BH$8:BH35, BH35))</f>
        <v>157717.80999999997</v>
      </c>
      <c r="AY35" s="57">
        <f t="shared" ca="1" si="46"/>
        <v>213.26433333333335</v>
      </c>
      <c r="AZ35" s="15" t="str">
        <f t="shared" ca="1" si="47"/>
        <v>LINK</v>
      </c>
      <c r="BA35" s="10" t="s">
        <v>234</v>
      </c>
      <c r="BB35" s="14" t="s">
        <v>211</v>
      </c>
      <c r="BC35" t="str">
        <f t="shared" si="48"/>
        <v>25</v>
      </c>
      <c r="BD35" t="str">
        <f t="shared" si="14"/>
        <v>07</v>
      </c>
      <c r="BE35" s="98">
        <f t="shared" si="15"/>
        <v>20</v>
      </c>
      <c r="BF35" t="str">
        <f t="shared" si="49"/>
        <v>N</v>
      </c>
      <c r="BG35" t="str">
        <f t="shared" si="53"/>
        <v>https://www.coreplan.io/app/ddh1-drilling/speewah-mining-speewah-fluorite-project-wa/plods/1663-250720N</v>
      </c>
      <c r="BH35" t="str">
        <f t="shared" si="50"/>
        <v>2025-07</v>
      </c>
    </row>
    <row r="36" spans="1:60">
      <c r="A36" s="510" t="str">
        <f>VLOOKUP(F36,'Tenement Lookup'!A:BH,60,FALSE)</f>
        <v>M 80/269</v>
      </c>
      <c r="B36" t="str">
        <f>VLOOKUP(F36,Purpose!$A$2:$B$334,2,FALSE)</f>
        <v>Met</v>
      </c>
      <c r="C36" s="152" t="s">
        <v>11</v>
      </c>
      <c r="D36" s="1">
        <f t="shared" si="38"/>
        <v>45858.21</v>
      </c>
      <c r="E36" t="s">
        <v>171</v>
      </c>
      <c r="F36" s="7" t="s">
        <v>177</v>
      </c>
      <c r="G36" t="s">
        <v>178</v>
      </c>
      <c r="H36" s="4" t="s">
        <v>216</v>
      </c>
      <c r="I36" s="4">
        <v>3</v>
      </c>
      <c r="J36" s="5">
        <f t="shared" si="20"/>
        <v>390</v>
      </c>
      <c r="K36" s="21">
        <v>75.599999999999994</v>
      </c>
      <c r="L36" s="28">
        <v>81.599999999999994</v>
      </c>
      <c r="M36" s="28">
        <f t="shared" si="51"/>
        <v>6</v>
      </c>
      <c r="N36" s="30">
        <v>0</v>
      </c>
      <c r="O36" s="26">
        <v>2.2999999999999998</v>
      </c>
      <c r="P36" s="31">
        <f t="shared" si="41"/>
        <v>2.2999999999999998</v>
      </c>
      <c r="Q36" s="21"/>
      <c r="R36" s="28"/>
      <c r="S36" s="22">
        <f t="shared" si="42"/>
        <v>0</v>
      </c>
      <c r="T36" s="26"/>
      <c r="U36" s="26"/>
      <c r="V36" s="31">
        <f t="shared" si="43"/>
        <v>0</v>
      </c>
      <c r="W36" s="26">
        <f t="shared" si="52"/>
        <v>8.3000000000000007</v>
      </c>
      <c r="X36" s="36">
        <f t="shared" si="26"/>
        <v>1360.5</v>
      </c>
      <c r="Y36" s="37">
        <f t="shared" si="44"/>
        <v>1495</v>
      </c>
      <c r="Z36" s="38"/>
      <c r="AA36" s="38">
        <v>1</v>
      </c>
      <c r="AB36" s="38">
        <v>1</v>
      </c>
      <c r="AC36" s="38">
        <v>13170</v>
      </c>
      <c r="AD36" s="157">
        <f t="shared" si="39"/>
        <v>575</v>
      </c>
      <c r="AE36" s="34">
        <v>3.25</v>
      </c>
      <c r="AF36" s="35">
        <v>7.75</v>
      </c>
      <c r="AG36" s="40" t="s">
        <v>222</v>
      </c>
      <c r="AH36" s="44">
        <v>0.5</v>
      </c>
      <c r="AI36" s="13"/>
      <c r="AJ36" s="46"/>
      <c r="AK36" s="45">
        <v>0.5</v>
      </c>
      <c r="AL36" s="23"/>
      <c r="AM36" s="138"/>
      <c r="AN36" s="25">
        <f t="shared" si="54"/>
        <v>12</v>
      </c>
      <c r="AO36" s="50"/>
      <c r="AP36" s="53">
        <f t="shared" si="45"/>
        <v>3745</v>
      </c>
      <c r="AQ36" s="53"/>
      <c r="AR36" s="119"/>
      <c r="AS36" s="56">
        <f t="shared" si="19"/>
        <v>6205</v>
      </c>
      <c r="AT36" s="298">
        <v>6205</v>
      </c>
      <c r="AU36" s="298">
        <f t="shared" si="36"/>
        <v>2460</v>
      </c>
      <c r="AV36" s="357">
        <f t="shared" si="40"/>
        <v>0.60354552780016113</v>
      </c>
      <c r="AW36" s="18">
        <f>SUM($AS$8:AS36)</f>
        <v>163922.80999999997</v>
      </c>
      <c r="AX36" s="18">
        <f>IF(AS36=0,"",SUMIFS($AS$8:AS36, $BH$8:BH36, BH36))</f>
        <v>163922.80999999997</v>
      </c>
      <c r="AY36" s="57">
        <f t="shared" ca="1" si="46"/>
        <v>747.59036144578306</v>
      </c>
      <c r="AZ36" s="15" t="str">
        <f t="shared" ca="1" si="47"/>
        <v>LINK</v>
      </c>
      <c r="BA36" s="10" t="s">
        <v>235</v>
      </c>
      <c r="BB36" s="14" t="s">
        <v>211</v>
      </c>
      <c r="BC36" t="str">
        <f t="shared" si="48"/>
        <v>25</v>
      </c>
      <c r="BD36" t="str">
        <f t="shared" si="14"/>
        <v>07</v>
      </c>
      <c r="BE36" s="98">
        <f t="shared" si="15"/>
        <v>21</v>
      </c>
      <c r="BF36" t="str">
        <f t="shared" si="49"/>
        <v>D</v>
      </c>
      <c r="BG36" t="str">
        <f t="shared" si="53"/>
        <v>https://www.coreplan.io/app/ddh1-drilling/speewah-mining-speewah-fluorite-project-wa/plods/1663-250721D</v>
      </c>
      <c r="BH36" t="str">
        <f t="shared" si="50"/>
        <v>2025-07</v>
      </c>
    </row>
    <row r="37" spans="1:60">
      <c r="A37" s="510" t="str">
        <f>VLOOKUP(F37,'Tenement Lookup'!A:BH,60,FALSE)</f>
        <v>M 80/269</v>
      </c>
      <c r="B37" t="str">
        <f>VLOOKUP(F37,Purpose!$A$2:$B$334,2,FALSE)</f>
        <v>Geotech</v>
      </c>
      <c r="C37" s="152" t="s">
        <v>9</v>
      </c>
      <c r="D37" s="1">
        <f t="shared" si="38"/>
        <v>45858.71</v>
      </c>
      <c r="E37" t="s">
        <v>172</v>
      </c>
      <c r="F37" t="s">
        <v>178</v>
      </c>
      <c r="H37" s="4" t="s">
        <v>218</v>
      </c>
      <c r="I37" s="4">
        <v>3</v>
      </c>
      <c r="J37" s="5">
        <f t="shared" si="20"/>
        <v>390</v>
      </c>
      <c r="K37" s="21"/>
      <c r="L37" s="28"/>
      <c r="M37" s="28">
        <v>0</v>
      </c>
      <c r="N37" s="30">
        <v>2.2999999999999998</v>
      </c>
      <c r="O37" s="26">
        <v>19.8</v>
      </c>
      <c r="P37" s="31">
        <f t="shared" si="41"/>
        <v>17.5</v>
      </c>
      <c r="Q37" s="21"/>
      <c r="R37" s="28"/>
      <c r="S37" s="22">
        <f t="shared" si="42"/>
        <v>0</v>
      </c>
      <c r="T37" s="26"/>
      <c r="U37" s="26"/>
      <c r="V37" s="31">
        <f t="shared" si="43"/>
        <v>0</v>
      </c>
      <c r="W37" s="26">
        <f t="shared" si="52"/>
        <v>17.5</v>
      </c>
      <c r="X37" s="36">
        <f t="shared" si="26"/>
        <v>2362.5</v>
      </c>
      <c r="Y37" s="37">
        <f t="shared" si="44"/>
        <v>3335</v>
      </c>
      <c r="Z37" s="38"/>
      <c r="AA37" s="38"/>
      <c r="AB37" s="38"/>
      <c r="AC37" s="38"/>
      <c r="AD37" s="157">
        <f t="shared" si="39"/>
        <v>0</v>
      </c>
      <c r="AE37" s="34">
        <v>7.25</v>
      </c>
      <c r="AF37" s="35">
        <v>3.75</v>
      </c>
      <c r="AG37" s="40"/>
      <c r="AH37" s="44">
        <v>0.5</v>
      </c>
      <c r="AI37" s="13"/>
      <c r="AJ37" s="46"/>
      <c r="AK37" s="45">
        <v>0.5</v>
      </c>
      <c r="AL37" s="23"/>
      <c r="AM37" s="138"/>
      <c r="AN37" s="25">
        <f t="shared" si="54"/>
        <v>12</v>
      </c>
      <c r="AO37" s="50"/>
      <c r="AP37" s="53">
        <f t="shared" si="45"/>
        <v>1905</v>
      </c>
      <c r="AQ37" s="53"/>
      <c r="AR37" s="119">
        <v>514.04999999999995</v>
      </c>
      <c r="AS37" s="56">
        <f t="shared" si="19"/>
        <v>6144.05</v>
      </c>
      <c r="AT37" s="298">
        <v>6144.05</v>
      </c>
      <c r="AU37" s="298">
        <f t="shared" si="36"/>
        <v>4239.05</v>
      </c>
      <c r="AV37" s="357">
        <f t="shared" si="40"/>
        <v>0.31005607050723871</v>
      </c>
      <c r="AW37" s="18">
        <f>SUM($AS$8:AS37)</f>
        <v>170066.85999999996</v>
      </c>
      <c r="AX37" s="18">
        <f>IF(AS37=0,"",SUMIFS($AS$8:AS37, $BH$8:BH37, BH37))</f>
        <v>170066.85999999996</v>
      </c>
      <c r="AY37" s="57">
        <f t="shared" ca="1" si="46"/>
        <v>351.08857142857141</v>
      </c>
      <c r="AZ37" s="15" t="str">
        <f t="shared" ca="1" si="47"/>
        <v>LINK</v>
      </c>
      <c r="BA37" s="10" t="s">
        <v>236</v>
      </c>
      <c r="BB37" s="14" t="s">
        <v>211</v>
      </c>
      <c r="BC37" t="str">
        <f t="shared" si="48"/>
        <v>25</v>
      </c>
      <c r="BD37" t="str">
        <f t="shared" si="14"/>
        <v>07</v>
      </c>
      <c r="BE37" s="98">
        <f t="shared" si="15"/>
        <v>21</v>
      </c>
      <c r="BF37" t="str">
        <f t="shared" si="49"/>
        <v>N</v>
      </c>
      <c r="BG37" t="str">
        <f t="shared" si="53"/>
        <v>https://www.coreplan.io/app/ddh1-drilling/speewah-mining-speewah-fluorite-project-wa/plods/1663-250721N</v>
      </c>
      <c r="BH37" t="str">
        <f t="shared" si="50"/>
        <v>2025-07</v>
      </c>
    </row>
    <row r="38" spans="1:60">
      <c r="A38" s="510" t="str">
        <f>VLOOKUP(F38,'Tenement Lookup'!A:BH,60,FALSE)</f>
        <v>M 80/269</v>
      </c>
      <c r="B38" t="str">
        <f>VLOOKUP(F38,Purpose!$A$2:$B$334,2,FALSE)</f>
        <v>Geotech</v>
      </c>
      <c r="C38" s="152" t="s">
        <v>9</v>
      </c>
      <c r="D38" s="1">
        <f t="shared" si="38"/>
        <v>45859.21</v>
      </c>
      <c r="E38" t="s">
        <v>171</v>
      </c>
      <c r="F38" t="s">
        <v>178</v>
      </c>
      <c r="H38" s="4" t="s">
        <v>216</v>
      </c>
      <c r="I38" s="4">
        <v>3</v>
      </c>
      <c r="J38" s="5">
        <f t="shared" si="20"/>
        <v>390</v>
      </c>
      <c r="K38" s="21"/>
      <c r="L38" s="28"/>
      <c r="M38" s="28">
        <v>0</v>
      </c>
      <c r="N38" s="30">
        <v>19.8</v>
      </c>
      <c r="O38" s="26">
        <v>41.3</v>
      </c>
      <c r="P38" s="31">
        <f t="shared" si="41"/>
        <v>21.499999999999996</v>
      </c>
      <c r="Q38" s="21"/>
      <c r="R38" s="28"/>
      <c r="S38" s="22">
        <f t="shared" si="42"/>
        <v>0</v>
      </c>
      <c r="T38" s="26"/>
      <c r="U38" s="26"/>
      <c r="V38" s="31">
        <f t="shared" si="43"/>
        <v>0</v>
      </c>
      <c r="W38" s="26">
        <v>21.5</v>
      </c>
      <c r="X38" s="36">
        <f t="shared" si="26"/>
        <v>2902.4999999999995</v>
      </c>
      <c r="Y38" s="37">
        <f t="shared" si="44"/>
        <v>4945</v>
      </c>
      <c r="Z38" s="38"/>
      <c r="AA38" s="38">
        <v>1</v>
      </c>
      <c r="AB38" s="38">
        <v>1</v>
      </c>
      <c r="AC38" s="38">
        <v>13170</v>
      </c>
      <c r="AD38" s="157">
        <f t="shared" si="39"/>
        <v>575</v>
      </c>
      <c r="AE38" s="34">
        <v>10.75</v>
      </c>
      <c r="AF38" s="35">
        <v>0.75</v>
      </c>
      <c r="AG38" s="40"/>
      <c r="AH38" s="44">
        <v>0.5</v>
      </c>
      <c r="AI38" s="13"/>
      <c r="AJ38" s="46"/>
      <c r="AK38" s="45"/>
      <c r="AL38" s="23"/>
      <c r="AM38" s="138"/>
      <c r="AN38" s="25">
        <f t="shared" si="54"/>
        <v>12</v>
      </c>
      <c r="AO38" s="50"/>
      <c r="AP38" s="53">
        <f t="shared" si="45"/>
        <v>525</v>
      </c>
      <c r="AQ38" s="53"/>
      <c r="AR38" s="119">
        <v>151.79</v>
      </c>
      <c r="AS38" s="56">
        <f t="shared" si="19"/>
        <v>6586.79</v>
      </c>
      <c r="AT38" s="298">
        <v>6586.79</v>
      </c>
      <c r="AU38" s="298">
        <f t="shared" si="36"/>
        <v>6061.79</v>
      </c>
      <c r="AV38" s="357">
        <f t="shared" si="40"/>
        <v>7.9704985281146057E-2</v>
      </c>
      <c r="AW38" s="18">
        <f>SUM($AS$8:AS38)</f>
        <v>176653.64999999997</v>
      </c>
      <c r="AX38" s="18">
        <f>IF(AS38=0,"",SUMIFS($AS$8:AS38, $BH$8:BH38, BH38))</f>
        <v>176653.64999999997</v>
      </c>
      <c r="AY38" s="57">
        <f t="shared" ca="1" si="46"/>
        <v>306.36232558139534</v>
      </c>
      <c r="AZ38" s="15" t="str">
        <f t="shared" ca="1" si="47"/>
        <v>LINK</v>
      </c>
      <c r="BA38" s="10" t="s">
        <v>237</v>
      </c>
      <c r="BB38" s="14" t="s">
        <v>211</v>
      </c>
      <c r="BC38" t="str">
        <f t="shared" si="48"/>
        <v>25</v>
      </c>
      <c r="BD38" t="str">
        <f t="shared" si="14"/>
        <v>07</v>
      </c>
      <c r="BE38" s="98">
        <f t="shared" si="15"/>
        <v>22</v>
      </c>
      <c r="BF38" t="str">
        <f t="shared" si="49"/>
        <v>D</v>
      </c>
      <c r="BG38" t="str">
        <f t="shared" si="53"/>
        <v>https://www.coreplan.io/app/ddh1-drilling/speewah-mining-speewah-fluorite-project-wa/plods/1663-250722D</v>
      </c>
      <c r="BH38" t="str">
        <f t="shared" si="50"/>
        <v>2025-07</v>
      </c>
    </row>
    <row r="39" spans="1:60">
      <c r="A39" s="510" t="str">
        <f>VLOOKUP(F39,'Tenement Lookup'!A:BH,60,FALSE)</f>
        <v>M 80/269</v>
      </c>
      <c r="B39" t="str">
        <f>VLOOKUP(F39,Purpose!$A$2:$B$334,2,FALSE)</f>
        <v>Geotech</v>
      </c>
      <c r="C39" s="152" t="s">
        <v>9</v>
      </c>
      <c r="D39" s="1">
        <f t="shared" si="38"/>
        <v>45859.71</v>
      </c>
      <c r="E39" t="s">
        <v>172</v>
      </c>
      <c r="F39" t="s">
        <v>178</v>
      </c>
      <c r="H39" s="4" t="s">
        <v>218</v>
      </c>
      <c r="I39" s="4">
        <v>3</v>
      </c>
      <c r="J39" s="5">
        <f t="shared" si="20"/>
        <v>390</v>
      </c>
      <c r="K39" s="21"/>
      <c r="L39" s="28"/>
      <c r="M39" s="28">
        <f t="shared" ref="M39:M44" si="55">IF(ISBLANK(K39),0,L39-K39)</f>
        <v>0</v>
      </c>
      <c r="N39" s="30">
        <v>41.3</v>
      </c>
      <c r="O39" s="26">
        <v>63.2</v>
      </c>
      <c r="P39" s="31">
        <f t="shared" si="41"/>
        <v>21.900000000000006</v>
      </c>
      <c r="Q39" s="21"/>
      <c r="R39" s="28"/>
      <c r="S39" s="22">
        <f t="shared" si="42"/>
        <v>0</v>
      </c>
      <c r="T39" s="26"/>
      <c r="U39" s="26"/>
      <c r="V39" s="31">
        <f t="shared" si="43"/>
        <v>0</v>
      </c>
      <c r="W39" s="26">
        <f t="shared" si="52"/>
        <v>21.900000000000006</v>
      </c>
      <c r="X39" s="36">
        <f t="shared" si="26"/>
        <v>2956.5000000000009</v>
      </c>
      <c r="Y39" s="37">
        <f t="shared" si="44"/>
        <v>4945</v>
      </c>
      <c r="Z39" s="38"/>
      <c r="AA39" s="38"/>
      <c r="AB39" s="38"/>
      <c r="AC39" s="38"/>
      <c r="AD39" s="157">
        <f t="shared" si="39"/>
        <v>0</v>
      </c>
      <c r="AE39" s="34">
        <v>10.75</v>
      </c>
      <c r="AF39" s="35">
        <v>0.75</v>
      </c>
      <c r="AG39" s="40"/>
      <c r="AH39" s="44">
        <v>0.5</v>
      </c>
      <c r="AI39" s="13"/>
      <c r="AJ39" s="46"/>
      <c r="AK39" s="45"/>
      <c r="AL39" s="23"/>
      <c r="AM39" s="138"/>
      <c r="AN39" s="25">
        <f t="shared" si="54"/>
        <v>12</v>
      </c>
      <c r="AO39" s="50"/>
      <c r="AP39" s="53">
        <f t="shared" si="45"/>
        <v>525</v>
      </c>
      <c r="AQ39" s="53"/>
      <c r="AR39" s="119">
        <v>117.93</v>
      </c>
      <c r="AS39" s="56">
        <f t="shared" si="19"/>
        <v>5977.93</v>
      </c>
      <c r="AT39" s="298">
        <v>5977.93</v>
      </c>
      <c r="AU39" s="298">
        <f t="shared" si="36"/>
        <v>5452.93</v>
      </c>
      <c r="AV39" s="357">
        <f t="shared" si="40"/>
        <v>8.7823042424384351E-2</v>
      </c>
      <c r="AW39" s="18">
        <f>SUM($AS$8:AS39)</f>
        <v>182631.57999999996</v>
      </c>
      <c r="AX39" s="18">
        <f>IF(AS39=0,"",SUMIFS($AS$8:AS39, $BH$8:BH39, BH39))</f>
        <v>182631.57999999996</v>
      </c>
      <c r="AY39" s="57">
        <f t="shared" ca="1" si="46"/>
        <v>272.96484018264835</v>
      </c>
      <c r="AZ39" s="15" t="str">
        <f t="shared" ca="1" si="47"/>
        <v>LINK</v>
      </c>
      <c r="BA39" s="10" t="s">
        <v>238</v>
      </c>
      <c r="BB39" s="14" t="s">
        <v>211</v>
      </c>
      <c r="BC39" t="str">
        <f t="shared" si="48"/>
        <v>25</v>
      </c>
      <c r="BD39" t="str">
        <f t="shared" si="14"/>
        <v>07</v>
      </c>
      <c r="BE39" s="98">
        <f t="shared" si="15"/>
        <v>22</v>
      </c>
      <c r="BF39" t="str">
        <f t="shared" si="49"/>
        <v>N</v>
      </c>
      <c r="BG39" t="str">
        <f t="shared" si="53"/>
        <v>https://www.coreplan.io/app/ddh1-drilling/speewah-mining-speewah-fluorite-project-wa/plods/1663-250722N</v>
      </c>
      <c r="BH39" t="str">
        <f t="shared" si="50"/>
        <v>2025-07</v>
      </c>
    </row>
    <row r="40" spans="1:60">
      <c r="A40" s="510" t="str">
        <f>VLOOKUP(F40,'Tenement Lookup'!A:BH,60,FALSE)</f>
        <v>M 80/269</v>
      </c>
      <c r="B40" t="str">
        <f>VLOOKUP(F40,Purpose!$A$2:$B$334,2,FALSE)</f>
        <v>Geotech</v>
      </c>
      <c r="C40" s="152" t="s">
        <v>9</v>
      </c>
      <c r="D40" s="1">
        <f t="shared" si="38"/>
        <v>45860.21</v>
      </c>
      <c r="E40" t="s">
        <v>171</v>
      </c>
      <c r="F40" t="s">
        <v>178</v>
      </c>
      <c r="G40" t="s">
        <v>179</v>
      </c>
      <c r="H40" s="4" t="s">
        <v>216</v>
      </c>
      <c r="I40" s="4">
        <v>3</v>
      </c>
      <c r="J40" s="5">
        <f t="shared" si="20"/>
        <v>390</v>
      </c>
      <c r="K40" s="21">
        <v>0</v>
      </c>
      <c r="L40" s="28">
        <v>3.7</v>
      </c>
      <c r="M40" s="28">
        <f t="shared" si="55"/>
        <v>3.7</v>
      </c>
      <c r="N40" s="30">
        <v>63.2</v>
      </c>
      <c r="O40" s="26">
        <v>70.5</v>
      </c>
      <c r="P40" s="31">
        <f t="shared" si="41"/>
        <v>7.2999999999999972</v>
      </c>
      <c r="Q40" s="21"/>
      <c r="R40" s="28"/>
      <c r="S40" s="22">
        <f t="shared" si="42"/>
        <v>0</v>
      </c>
      <c r="T40" s="26"/>
      <c r="U40" s="26"/>
      <c r="V40" s="31">
        <f t="shared" si="43"/>
        <v>0</v>
      </c>
      <c r="W40" s="26">
        <f t="shared" si="52"/>
        <v>10.999999999999996</v>
      </c>
      <c r="X40" s="36">
        <f t="shared" si="26"/>
        <v>1632.9999999999995</v>
      </c>
      <c r="Y40" s="37">
        <f t="shared" si="44"/>
        <v>2875</v>
      </c>
      <c r="Z40" s="38"/>
      <c r="AA40" s="38">
        <v>1</v>
      </c>
      <c r="AB40" s="38">
        <v>1</v>
      </c>
      <c r="AC40" s="38">
        <v>13170</v>
      </c>
      <c r="AD40" s="157">
        <f t="shared" si="39"/>
        <v>575</v>
      </c>
      <c r="AE40" s="34">
        <v>6.25</v>
      </c>
      <c r="AF40" s="35">
        <v>5.25</v>
      </c>
      <c r="AG40" s="40"/>
      <c r="AH40" s="44">
        <v>0.5</v>
      </c>
      <c r="AI40" s="13"/>
      <c r="AJ40" s="46"/>
      <c r="AK40" s="45"/>
      <c r="AL40" s="23"/>
      <c r="AM40" s="138"/>
      <c r="AN40" s="25">
        <f t="shared" si="54"/>
        <v>12</v>
      </c>
      <c r="AO40" s="50"/>
      <c r="AP40" s="53">
        <f t="shared" si="45"/>
        <v>2595</v>
      </c>
      <c r="AQ40" s="53"/>
      <c r="AR40" s="119"/>
      <c r="AS40" s="56">
        <f t="shared" si="19"/>
        <v>6435</v>
      </c>
      <c r="AT40" s="298">
        <v>6435</v>
      </c>
      <c r="AU40" s="298">
        <f t="shared" si="36"/>
        <v>3840</v>
      </c>
      <c r="AV40" s="357">
        <f t="shared" si="40"/>
        <v>0.40326340326340326</v>
      </c>
      <c r="AW40" s="18">
        <f>SUM($AS$8:AS40)</f>
        <v>189066.57999999996</v>
      </c>
      <c r="AX40" s="18">
        <f>IF(AS40=0,"",SUMIFS($AS$8:AS40, $BH$8:BH40, BH40))</f>
        <v>189066.57999999996</v>
      </c>
      <c r="AY40" s="57">
        <f t="shared" ca="1" si="46"/>
        <v>585.00000000000023</v>
      </c>
      <c r="AZ40" s="15" t="str">
        <f t="shared" ca="1" si="47"/>
        <v>LINK</v>
      </c>
      <c r="BA40" s="10" t="s">
        <v>239</v>
      </c>
      <c r="BB40" s="14" t="s">
        <v>211</v>
      </c>
      <c r="BC40" t="str">
        <f t="shared" si="48"/>
        <v>25</v>
      </c>
      <c r="BD40" t="str">
        <f t="shared" si="14"/>
        <v>07</v>
      </c>
      <c r="BE40" s="98">
        <f t="shared" si="15"/>
        <v>23</v>
      </c>
      <c r="BF40" t="str">
        <f t="shared" si="49"/>
        <v>D</v>
      </c>
      <c r="BG40" t="str">
        <f t="shared" si="53"/>
        <v>https://www.coreplan.io/app/ddh1-drilling/speewah-mining-speewah-fluorite-project-wa/plods/1663-250723D</v>
      </c>
      <c r="BH40" t="str">
        <f t="shared" si="50"/>
        <v>2025-07</v>
      </c>
    </row>
    <row r="41" spans="1:60">
      <c r="A41" s="510" t="str">
        <f>VLOOKUP(F41,'Tenement Lookup'!A:BH,60,FALSE)</f>
        <v>M 80/269</v>
      </c>
      <c r="B41" t="str">
        <f>VLOOKUP(F41,Purpose!$A$2:$B$334,2,FALSE)</f>
        <v>Met</v>
      </c>
      <c r="C41" s="152" t="s">
        <v>11</v>
      </c>
      <c r="D41" s="1">
        <f t="shared" si="38"/>
        <v>45860.71</v>
      </c>
      <c r="E41" t="s">
        <v>172</v>
      </c>
      <c r="F41" t="s">
        <v>179</v>
      </c>
      <c r="H41" s="4" t="s">
        <v>218</v>
      </c>
      <c r="I41" s="4">
        <v>3</v>
      </c>
      <c r="J41" s="5">
        <f t="shared" si="20"/>
        <v>390</v>
      </c>
      <c r="K41" s="21">
        <v>3.7</v>
      </c>
      <c r="L41" s="28">
        <v>20.100000000000001</v>
      </c>
      <c r="M41" s="28">
        <f t="shared" si="55"/>
        <v>16.400000000000002</v>
      </c>
      <c r="N41" s="30"/>
      <c r="O41" s="26"/>
      <c r="P41" s="31">
        <f t="shared" si="41"/>
        <v>0</v>
      </c>
      <c r="Q41" s="21"/>
      <c r="R41" s="28"/>
      <c r="S41" s="22">
        <f t="shared" si="42"/>
        <v>0</v>
      </c>
      <c r="T41" s="26"/>
      <c r="U41" s="26"/>
      <c r="V41" s="31">
        <f t="shared" si="43"/>
        <v>0</v>
      </c>
      <c r="W41" s="26">
        <f t="shared" si="52"/>
        <v>16.400000000000002</v>
      </c>
      <c r="X41" s="36">
        <f t="shared" si="26"/>
        <v>2870.0000000000005</v>
      </c>
      <c r="Y41" s="37">
        <f t="shared" si="44"/>
        <v>2870.0000000000005</v>
      </c>
      <c r="Z41" s="38"/>
      <c r="AA41" s="38"/>
      <c r="AB41" s="38"/>
      <c r="AC41" s="38"/>
      <c r="AD41" s="157">
        <f t="shared" si="39"/>
        <v>0</v>
      </c>
      <c r="AE41" s="34">
        <v>5.75</v>
      </c>
      <c r="AF41" s="35">
        <v>2.75</v>
      </c>
      <c r="AG41" s="40"/>
      <c r="AH41" s="44">
        <v>0.5</v>
      </c>
      <c r="AI41" s="13"/>
      <c r="AJ41" s="46"/>
      <c r="AK41" s="45">
        <v>3</v>
      </c>
      <c r="AL41" s="23"/>
      <c r="AM41" s="138" t="s">
        <v>240</v>
      </c>
      <c r="AN41" s="25">
        <f t="shared" si="54"/>
        <v>12</v>
      </c>
      <c r="AO41" s="50"/>
      <c r="AP41" s="53">
        <f t="shared" si="45"/>
        <v>1445</v>
      </c>
      <c r="AQ41" s="53"/>
      <c r="AR41" s="119">
        <v>514.04999999999995</v>
      </c>
      <c r="AS41" s="56">
        <f t="shared" si="19"/>
        <v>5219.05</v>
      </c>
      <c r="AT41" s="298">
        <v>5219.05</v>
      </c>
      <c r="AU41" s="298">
        <f t="shared" si="36"/>
        <v>3774.05</v>
      </c>
      <c r="AV41" s="357">
        <f t="shared" si="40"/>
        <v>0.27687031164675563</v>
      </c>
      <c r="AW41" s="18">
        <f>SUM($AS$8:AS41)</f>
        <v>194285.62999999995</v>
      </c>
      <c r="AX41" s="18">
        <f>IF(AS41=0,"",SUMIFS($AS$8:AS41, $BH$8:BH41, BH41))</f>
        <v>194285.62999999995</v>
      </c>
      <c r="AY41" s="57">
        <f t="shared" ca="1" si="46"/>
        <v>318.23475609756093</v>
      </c>
      <c r="AZ41" s="15" t="str">
        <f t="shared" ca="1" si="47"/>
        <v>LINK</v>
      </c>
      <c r="BA41" s="10" t="s">
        <v>241</v>
      </c>
      <c r="BB41" s="14" t="s">
        <v>211</v>
      </c>
      <c r="BC41" t="str">
        <f t="shared" si="48"/>
        <v>25</v>
      </c>
      <c r="BD41" t="str">
        <f t="shared" si="14"/>
        <v>07</v>
      </c>
      <c r="BE41" s="98">
        <f t="shared" si="15"/>
        <v>23</v>
      </c>
      <c r="BF41" t="str">
        <f t="shared" si="49"/>
        <v>N</v>
      </c>
      <c r="BG41" t="str">
        <f t="shared" si="53"/>
        <v>https://www.coreplan.io/app/ddh1-drilling/speewah-mining-speewah-fluorite-project-wa/plods/1663-250723N</v>
      </c>
      <c r="BH41" t="str">
        <f t="shared" si="50"/>
        <v>2025-07</v>
      </c>
    </row>
    <row r="42" spans="1:60">
      <c r="A42" s="510" t="str">
        <f>VLOOKUP(F42,'Tenement Lookup'!A:BH,60,FALSE)</f>
        <v>M 80/269</v>
      </c>
      <c r="B42" t="str">
        <f>VLOOKUP(F42,Purpose!$A$2:$B$334,2,FALSE)</f>
        <v>Met</v>
      </c>
      <c r="C42" s="152" t="s">
        <v>11</v>
      </c>
      <c r="D42" s="1">
        <f t="shared" si="38"/>
        <v>45861.21</v>
      </c>
      <c r="E42" t="s">
        <v>171</v>
      </c>
      <c r="F42" t="s">
        <v>179</v>
      </c>
      <c r="H42" s="4" t="s">
        <v>215</v>
      </c>
      <c r="I42" s="4">
        <v>3</v>
      </c>
      <c r="J42" s="5">
        <f t="shared" si="20"/>
        <v>390</v>
      </c>
      <c r="K42" s="21">
        <v>20.100000000000001</v>
      </c>
      <c r="L42" s="28">
        <v>27.7</v>
      </c>
      <c r="M42" s="28">
        <f t="shared" si="55"/>
        <v>7.5999999999999979</v>
      </c>
      <c r="N42" s="30"/>
      <c r="O42" s="26"/>
      <c r="P42" s="31">
        <f t="shared" si="41"/>
        <v>0</v>
      </c>
      <c r="Q42" s="21"/>
      <c r="R42" s="28"/>
      <c r="S42" s="22">
        <f t="shared" si="42"/>
        <v>0</v>
      </c>
      <c r="T42" s="26"/>
      <c r="U42" s="26"/>
      <c r="V42" s="31">
        <f t="shared" si="43"/>
        <v>0</v>
      </c>
      <c r="W42" s="26">
        <f t="shared" si="52"/>
        <v>7.5999999999999979</v>
      </c>
      <c r="X42" s="36">
        <f t="shared" si="26"/>
        <v>1329.9999999999995</v>
      </c>
      <c r="Y42" s="37">
        <f t="shared" si="44"/>
        <v>1610</v>
      </c>
      <c r="Z42" s="38"/>
      <c r="AA42" s="38">
        <v>1</v>
      </c>
      <c r="AB42" s="38">
        <v>1</v>
      </c>
      <c r="AC42" s="38">
        <v>13170</v>
      </c>
      <c r="AD42" s="157">
        <f t="shared" si="39"/>
        <v>575</v>
      </c>
      <c r="AE42" s="34">
        <v>3.5</v>
      </c>
      <c r="AF42" s="35">
        <v>0.75</v>
      </c>
      <c r="AG42" s="40" t="s">
        <v>242</v>
      </c>
      <c r="AH42" s="44">
        <v>0.5</v>
      </c>
      <c r="AI42" s="13"/>
      <c r="AJ42" s="46"/>
      <c r="AK42" s="45">
        <v>7.25</v>
      </c>
      <c r="AL42" s="23"/>
      <c r="AM42" s="138" t="s">
        <v>240</v>
      </c>
      <c r="AN42" s="25">
        <f t="shared" si="54"/>
        <v>12</v>
      </c>
      <c r="AO42" s="50"/>
      <c r="AP42" s="53">
        <f t="shared" si="45"/>
        <v>525</v>
      </c>
      <c r="AQ42" s="53"/>
      <c r="AR42" s="119"/>
      <c r="AS42" s="56">
        <f t="shared" si="19"/>
        <v>3100</v>
      </c>
      <c r="AT42" s="298">
        <v>3100</v>
      </c>
      <c r="AU42" s="298">
        <f t="shared" si="36"/>
        <v>2575</v>
      </c>
      <c r="AV42" s="357">
        <f t="shared" si="40"/>
        <v>0.16935483870967741</v>
      </c>
      <c r="AW42" s="18">
        <f>SUM($AS$8:AS42)</f>
        <v>197385.62999999995</v>
      </c>
      <c r="AX42" s="18">
        <f>IF(AS42=0,"",SUMIFS($AS$8:AS42, $BH$8:BH42, BH42))</f>
        <v>197385.62999999995</v>
      </c>
      <c r="AY42" s="57">
        <f t="shared" ca="1" si="46"/>
        <v>407.89473684210537</v>
      </c>
      <c r="AZ42" s="15" t="str">
        <f t="shared" ca="1" si="47"/>
        <v>LINK</v>
      </c>
      <c r="BA42" s="10" t="s">
        <v>243</v>
      </c>
      <c r="BB42" s="14" t="s">
        <v>211</v>
      </c>
      <c r="BC42" t="str">
        <f t="shared" si="48"/>
        <v>25</v>
      </c>
      <c r="BD42" t="str">
        <f t="shared" si="14"/>
        <v>07</v>
      </c>
      <c r="BE42" s="98">
        <f t="shared" si="15"/>
        <v>24</v>
      </c>
      <c r="BF42" t="str">
        <f t="shared" si="49"/>
        <v>D</v>
      </c>
      <c r="BG42" t="str">
        <f t="shared" si="53"/>
        <v>https://www.coreplan.io/app/ddh1-drilling/speewah-mining-speewah-fluorite-project-wa/plods/1663-250724D</v>
      </c>
      <c r="BH42" t="str">
        <f t="shared" si="50"/>
        <v>2025-07</v>
      </c>
    </row>
    <row r="43" spans="1:60">
      <c r="A43" s="510" t="str">
        <f>VLOOKUP(F43,'Tenement Lookup'!A:BH,60,FALSE)</f>
        <v>M 80/269</v>
      </c>
      <c r="B43" t="str">
        <f>VLOOKUP(F43,Purpose!$A$2:$B$334,2,FALSE)</f>
        <v>Met</v>
      </c>
      <c r="C43" s="152" t="s">
        <v>11</v>
      </c>
      <c r="D43" s="1">
        <f t="shared" si="38"/>
        <v>45861.71</v>
      </c>
      <c r="E43" t="s">
        <v>172</v>
      </c>
      <c r="F43" t="s">
        <v>179</v>
      </c>
      <c r="H43" s="4" t="s">
        <v>216</v>
      </c>
      <c r="I43" s="4">
        <v>3</v>
      </c>
      <c r="J43" s="5">
        <f t="shared" si="20"/>
        <v>390</v>
      </c>
      <c r="K43" s="21">
        <v>27.7</v>
      </c>
      <c r="L43" s="28">
        <v>55.1</v>
      </c>
      <c r="M43" s="28">
        <f t="shared" si="55"/>
        <v>27.400000000000002</v>
      </c>
      <c r="N43" s="30"/>
      <c r="O43" s="26"/>
      <c r="P43" s="31">
        <f t="shared" si="41"/>
        <v>0</v>
      </c>
      <c r="Q43" s="21"/>
      <c r="R43" s="28"/>
      <c r="S43" s="22">
        <f t="shared" si="42"/>
        <v>0</v>
      </c>
      <c r="T43" s="26"/>
      <c r="U43" s="26"/>
      <c r="V43" s="31">
        <f t="shared" si="43"/>
        <v>0</v>
      </c>
      <c r="W43" s="26">
        <f t="shared" si="52"/>
        <v>27.400000000000002</v>
      </c>
      <c r="X43" s="36">
        <f t="shared" si="26"/>
        <v>4795</v>
      </c>
      <c r="Y43" s="37">
        <f t="shared" si="44"/>
        <v>4830</v>
      </c>
      <c r="Z43" s="38"/>
      <c r="AA43" s="38"/>
      <c r="AB43" s="38"/>
      <c r="AC43" s="38"/>
      <c r="AD43" s="157">
        <f t="shared" si="39"/>
        <v>0</v>
      </c>
      <c r="AE43" s="34">
        <v>10.5</v>
      </c>
      <c r="AF43" s="35">
        <v>1</v>
      </c>
      <c r="AG43" s="40"/>
      <c r="AH43" s="44">
        <v>0.5</v>
      </c>
      <c r="AI43" s="13"/>
      <c r="AJ43" s="46"/>
      <c r="AK43" s="45"/>
      <c r="AL43" s="23"/>
      <c r="AM43" s="138"/>
      <c r="AN43" s="25">
        <f t="shared" si="54"/>
        <v>12</v>
      </c>
      <c r="AO43" s="50"/>
      <c r="AP43" s="53">
        <f t="shared" si="45"/>
        <v>640</v>
      </c>
      <c r="AQ43" s="53"/>
      <c r="AR43" s="119"/>
      <c r="AS43" s="56">
        <f t="shared" si="19"/>
        <v>5860</v>
      </c>
      <c r="AT43" s="298">
        <v>5860</v>
      </c>
      <c r="AU43" s="298">
        <f t="shared" si="36"/>
        <v>5220</v>
      </c>
      <c r="AV43" s="357">
        <f t="shared" si="40"/>
        <v>0.10921501706484642</v>
      </c>
      <c r="AW43" s="18">
        <f>SUM($AS$8:AS43)</f>
        <v>203245.62999999995</v>
      </c>
      <c r="AX43" s="18">
        <f>IF(AS43=0,"",SUMIFS($AS$8:AS43, $BH$8:BH43, BH43))</f>
        <v>203245.62999999995</v>
      </c>
      <c r="AY43" s="57">
        <f t="shared" ca="1" si="46"/>
        <v>213.8686131386861</v>
      </c>
      <c r="AZ43" s="15" t="str">
        <f t="shared" ca="1" si="47"/>
        <v>LINK</v>
      </c>
      <c r="BA43" s="10" t="s">
        <v>244</v>
      </c>
      <c r="BB43" s="14" t="s">
        <v>211</v>
      </c>
      <c r="BC43" t="str">
        <f t="shared" si="48"/>
        <v>25</v>
      </c>
      <c r="BD43" t="str">
        <f t="shared" si="14"/>
        <v>07</v>
      </c>
      <c r="BE43" s="98">
        <f t="shared" si="15"/>
        <v>24</v>
      </c>
      <c r="BF43" t="str">
        <f t="shared" si="49"/>
        <v>N</v>
      </c>
      <c r="BG43" t="str">
        <f t="shared" si="53"/>
        <v>https://www.coreplan.io/app/ddh1-drilling/speewah-mining-speewah-fluorite-project-wa/plods/1663-250724N</v>
      </c>
      <c r="BH43" t="str">
        <f t="shared" si="50"/>
        <v>2025-07</v>
      </c>
    </row>
    <row r="44" spans="1:60">
      <c r="A44" s="510" t="str">
        <f>VLOOKUP(F44,'Tenement Lookup'!A:BH,60,FALSE)</f>
        <v>M 80/269</v>
      </c>
      <c r="B44" t="str">
        <f>VLOOKUP(F44,Purpose!$A$2:$B$334,2,FALSE)</f>
        <v>Met</v>
      </c>
      <c r="C44" s="152" t="s">
        <v>11</v>
      </c>
      <c r="D44" s="1">
        <f t="shared" si="38"/>
        <v>45862.21</v>
      </c>
      <c r="E44" t="s">
        <v>171</v>
      </c>
      <c r="F44" t="s">
        <v>179</v>
      </c>
      <c r="H44" s="4" t="s">
        <v>215</v>
      </c>
      <c r="I44" s="4">
        <v>3</v>
      </c>
      <c r="J44" s="5">
        <f t="shared" si="20"/>
        <v>390</v>
      </c>
      <c r="K44" s="21">
        <v>55.1</v>
      </c>
      <c r="L44" s="28">
        <v>84.7</v>
      </c>
      <c r="M44" s="28">
        <f t="shared" si="55"/>
        <v>29.6</v>
      </c>
      <c r="N44" s="30"/>
      <c r="O44" s="26"/>
      <c r="P44" s="31">
        <f t="shared" si="41"/>
        <v>0</v>
      </c>
      <c r="Q44" s="21"/>
      <c r="R44" s="28"/>
      <c r="S44" s="22">
        <f t="shared" si="42"/>
        <v>0</v>
      </c>
      <c r="T44" s="26"/>
      <c r="U44" s="26"/>
      <c r="V44" s="31">
        <f t="shared" si="43"/>
        <v>0</v>
      </c>
      <c r="W44" s="26">
        <f t="shared" si="52"/>
        <v>29.6</v>
      </c>
      <c r="X44" s="36">
        <f t="shared" si="26"/>
        <v>5180</v>
      </c>
      <c r="Y44" s="37">
        <f t="shared" si="44"/>
        <v>5180</v>
      </c>
      <c r="Z44" s="38"/>
      <c r="AA44" s="38">
        <v>1</v>
      </c>
      <c r="AB44" s="38">
        <v>1</v>
      </c>
      <c r="AC44" s="38">
        <v>13170</v>
      </c>
      <c r="AD44" s="157">
        <f t="shared" si="39"/>
        <v>575</v>
      </c>
      <c r="AE44" s="34">
        <v>10.5</v>
      </c>
      <c r="AF44" s="35">
        <v>1</v>
      </c>
      <c r="AG44" s="40"/>
      <c r="AH44" s="44">
        <v>0.5</v>
      </c>
      <c r="AI44" s="13"/>
      <c r="AJ44" s="46"/>
      <c r="AK44" s="45"/>
      <c r="AL44" s="23"/>
      <c r="AM44" s="138"/>
      <c r="AN44" s="25">
        <f t="shared" si="54"/>
        <v>12</v>
      </c>
      <c r="AO44" s="50"/>
      <c r="AP44" s="53">
        <f t="shared" si="45"/>
        <v>640</v>
      </c>
      <c r="AQ44" s="53"/>
      <c r="AR44" s="119">
        <v>256.06</v>
      </c>
      <c r="AS44" s="56">
        <f t="shared" si="19"/>
        <v>7041.06</v>
      </c>
      <c r="AT44" s="298">
        <v>7041.06</v>
      </c>
      <c r="AU44" s="298">
        <f t="shared" si="36"/>
        <v>6401.0599999999995</v>
      </c>
      <c r="AV44" s="357">
        <f t="shared" si="40"/>
        <v>9.0895404953231604E-2</v>
      </c>
      <c r="AW44" s="18">
        <f>SUM($AS$8:AS44)</f>
        <v>210286.68999999994</v>
      </c>
      <c r="AX44" s="18">
        <f>IF(AS44=0,"",SUMIFS($AS$8:AS44, $BH$8:BH44, BH44))</f>
        <v>210286.68999999994</v>
      </c>
      <c r="AY44" s="57">
        <f t="shared" ca="1" si="46"/>
        <v>237.87364864864864</v>
      </c>
      <c r="AZ44" s="15" t="str">
        <f t="shared" ca="1" si="47"/>
        <v>LINK</v>
      </c>
      <c r="BA44" s="10" t="s">
        <v>245</v>
      </c>
      <c r="BB44" s="14" t="s">
        <v>211</v>
      </c>
      <c r="BC44" t="str">
        <f t="shared" si="48"/>
        <v>25</v>
      </c>
      <c r="BD44" t="str">
        <f t="shared" si="14"/>
        <v>07</v>
      </c>
      <c r="BE44" s="98">
        <f t="shared" si="15"/>
        <v>25</v>
      </c>
      <c r="BF44" t="str">
        <f t="shared" si="49"/>
        <v>D</v>
      </c>
      <c r="BG44" t="str">
        <f t="shared" si="53"/>
        <v>https://www.coreplan.io/app/ddh1-drilling/speewah-mining-speewah-fluorite-project-wa/plods/1663-250725D</v>
      </c>
      <c r="BH44" t="str">
        <f t="shared" si="50"/>
        <v>2025-07</v>
      </c>
    </row>
    <row r="45" spans="1:60">
      <c r="A45" s="510" t="str">
        <f>VLOOKUP(F45,'Tenement Lookup'!A:BH,60,FALSE)</f>
        <v>M 80/269</v>
      </c>
      <c r="B45" t="str">
        <f>VLOOKUP(F45,Purpose!$A$2:$B$334,2,FALSE)</f>
        <v>Met</v>
      </c>
      <c r="C45" s="152" t="s">
        <v>11</v>
      </c>
      <c r="D45" s="1">
        <f t="shared" si="38"/>
        <v>45862.71</v>
      </c>
      <c r="E45" t="s">
        <v>172</v>
      </c>
      <c r="F45" t="s">
        <v>179</v>
      </c>
      <c r="H45" s="4" t="s">
        <v>216</v>
      </c>
      <c r="I45" s="4">
        <v>3</v>
      </c>
      <c r="J45" s="5">
        <f t="shared" si="20"/>
        <v>390</v>
      </c>
      <c r="K45" s="21">
        <v>84.7</v>
      </c>
      <c r="L45" s="28">
        <v>101.1</v>
      </c>
      <c r="M45" s="28">
        <f>IF(ISBLANK(K45),0,L45-K45)</f>
        <v>16.399999999999991</v>
      </c>
      <c r="N45" s="30"/>
      <c r="O45" s="26"/>
      <c r="P45" s="31">
        <f t="shared" si="41"/>
        <v>0</v>
      </c>
      <c r="Q45" s="21"/>
      <c r="R45" s="28"/>
      <c r="S45" s="22">
        <f t="shared" si="42"/>
        <v>0</v>
      </c>
      <c r="T45" s="26"/>
      <c r="U45" s="26"/>
      <c r="V45" s="31">
        <f t="shared" si="43"/>
        <v>0</v>
      </c>
      <c r="W45" s="26">
        <f t="shared" si="52"/>
        <v>16.399999999999991</v>
      </c>
      <c r="X45" s="36">
        <f t="shared" si="26"/>
        <v>2869.9999999999986</v>
      </c>
      <c r="Y45" s="37">
        <f>IF(F45&lt;&gt;"",IF(X45&lt;(AE45*$AE$2),(AE45*$AE$2),X45),"")</f>
        <v>3335</v>
      </c>
      <c r="Z45" s="38"/>
      <c r="AA45" s="38"/>
      <c r="AB45" s="38"/>
      <c r="AC45" s="38"/>
      <c r="AD45" s="157">
        <f t="shared" si="39"/>
        <v>0</v>
      </c>
      <c r="AE45" s="34">
        <v>7.25</v>
      </c>
      <c r="AF45" s="35">
        <v>4.25</v>
      </c>
      <c r="AG45" s="40"/>
      <c r="AH45" s="44">
        <v>0.5</v>
      </c>
      <c r="AI45" s="13"/>
      <c r="AJ45" s="46"/>
      <c r="AK45" s="45"/>
      <c r="AL45" s="23"/>
      <c r="AM45" s="138"/>
      <c r="AN45" s="25">
        <f t="shared" si="54"/>
        <v>12</v>
      </c>
      <c r="AO45" s="50"/>
      <c r="AP45" s="53">
        <f t="shared" si="45"/>
        <v>2135</v>
      </c>
      <c r="AQ45" s="53"/>
      <c r="AR45" s="119"/>
      <c r="AS45" s="56">
        <f t="shared" si="19"/>
        <v>5860</v>
      </c>
      <c r="AT45" s="298">
        <v>5860</v>
      </c>
      <c r="AU45" s="298">
        <f t="shared" si="36"/>
        <v>3725</v>
      </c>
      <c r="AV45" s="357">
        <f t="shared" si="40"/>
        <v>0.36433447098976107</v>
      </c>
      <c r="AW45" s="18">
        <f>SUM($AS$8:AS45)</f>
        <v>216146.68999999994</v>
      </c>
      <c r="AX45" s="18">
        <f>IF(AS45=0,"",SUMIFS($AS$8:AS45, $BH$8:BH45, BH45))</f>
        <v>216146.68999999994</v>
      </c>
      <c r="AY45" s="57">
        <f t="shared" ca="1" si="46"/>
        <v>357.31707317073187</v>
      </c>
      <c r="AZ45" s="15" t="str">
        <f t="shared" ca="1" si="47"/>
        <v>LINK</v>
      </c>
      <c r="BA45" s="10" t="s">
        <v>246</v>
      </c>
      <c r="BB45" s="14" t="s">
        <v>211</v>
      </c>
      <c r="BC45" t="str">
        <f t="shared" si="48"/>
        <v>25</v>
      </c>
      <c r="BD45" t="str">
        <f t="shared" si="14"/>
        <v>07</v>
      </c>
      <c r="BE45" s="98">
        <f t="shared" si="15"/>
        <v>25</v>
      </c>
      <c r="BF45" t="str">
        <f t="shared" si="49"/>
        <v>N</v>
      </c>
      <c r="BG45" t="str">
        <f t="shared" si="53"/>
        <v>https://www.coreplan.io/app/ddh1-drilling/speewah-mining-speewah-fluorite-project-wa/plods/1663-250725N</v>
      </c>
      <c r="BH45" t="str">
        <f t="shared" si="50"/>
        <v>2025-07</v>
      </c>
    </row>
    <row r="46" spans="1:60">
      <c r="A46" s="510" t="str">
        <f>VLOOKUP(F46,'Tenement Lookup'!A:BH,60,FALSE)</f>
        <v>E 80/2863-I</v>
      </c>
      <c r="B46" t="str">
        <f>VLOOKUP(F46,Purpose!$A$2:$B$334,2,FALSE)</f>
        <v>Geotech</v>
      </c>
      <c r="C46" s="152" t="s">
        <v>9</v>
      </c>
      <c r="D46" s="1">
        <f t="shared" si="38"/>
        <v>45863.21</v>
      </c>
      <c r="E46" t="s">
        <v>171</v>
      </c>
      <c r="F46" t="s">
        <v>180</v>
      </c>
      <c r="H46" s="4" t="s">
        <v>215</v>
      </c>
      <c r="I46" s="4">
        <v>3</v>
      </c>
      <c r="J46" s="5">
        <f t="shared" si="20"/>
        <v>390</v>
      </c>
      <c r="K46" s="21"/>
      <c r="L46" s="28"/>
      <c r="M46" s="28">
        <f t="shared" ref="M46:M109" si="56">IF(ISBLANK(K46),0,L46-K46)</f>
        <v>0</v>
      </c>
      <c r="N46" s="30"/>
      <c r="O46" s="26"/>
      <c r="P46" s="31">
        <f t="shared" si="41"/>
        <v>0</v>
      </c>
      <c r="Q46" s="21"/>
      <c r="R46" s="28"/>
      <c r="S46" s="22">
        <f t="shared" si="42"/>
        <v>0</v>
      </c>
      <c r="T46" s="26"/>
      <c r="U46" s="26"/>
      <c r="V46" s="31">
        <f t="shared" si="43"/>
        <v>0</v>
      </c>
      <c r="W46" s="26">
        <f t="shared" si="52"/>
        <v>0</v>
      </c>
      <c r="X46" s="36">
        <f t="shared" si="26"/>
        <v>0</v>
      </c>
      <c r="Y46" s="37">
        <f t="shared" ref="Y46:Y58" si="57">IF(F46&lt;&gt;"",IF(X46&lt;(AE46*$AE$2),(AE46*$AE$2),X46),"")</f>
        <v>0</v>
      </c>
      <c r="Z46" s="38"/>
      <c r="AA46" s="38">
        <v>1</v>
      </c>
      <c r="AB46" s="38">
        <v>1</v>
      </c>
      <c r="AC46" s="38">
        <v>13170</v>
      </c>
      <c r="AD46" s="157">
        <f t="shared" si="39"/>
        <v>575</v>
      </c>
      <c r="AE46" s="34">
        <v>0</v>
      </c>
      <c r="AF46" s="35">
        <v>7.5</v>
      </c>
      <c r="AG46" s="40" t="s">
        <v>247</v>
      </c>
      <c r="AH46" s="44">
        <v>4.5</v>
      </c>
      <c r="AI46" s="13"/>
      <c r="AJ46" s="46" t="s">
        <v>247</v>
      </c>
      <c r="AK46" s="45"/>
      <c r="AL46" s="23"/>
      <c r="AM46" s="138"/>
      <c r="AN46" s="25">
        <f t="shared" si="54"/>
        <v>12</v>
      </c>
      <c r="AO46" s="50"/>
      <c r="AP46" s="53">
        <f t="shared" si="45"/>
        <v>5070</v>
      </c>
      <c r="AQ46" s="53"/>
      <c r="AR46" s="119">
        <v>256.06</v>
      </c>
      <c r="AS46" s="56">
        <f t="shared" si="19"/>
        <v>6291.06</v>
      </c>
      <c r="AT46" s="298">
        <v>6291.06</v>
      </c>
      <c r="AU46" s="298">
        <f t="shared" si="36"/>
        <v>1221.06</v>
      </c>
      <c r="AV46" s="357">
        <f t="shared" si="40"/>
        <v>0.80590552307560248</v>
      </c>
      <c r="AW46" s="18">
        <f>SUM($AS$8:AS46)</f>
        <v>222437.74999999994</v>
      </c>
      <c r="AX46" s="18">
        <f>IF(AS46=0,"",SUMIFS($AS$8:AS46, $BH$8:BH46, BH46))</f>
        <v>222437.74999999994</v>
      </c>
      <c r="AY46" s="57"/>
      <c r="AZ46" s="15" t="str">
        <f t="shared" ca="1" si="47"/>
        <v>LINK</v>
      </c>
      <c r="BA46" s="10" t="s">
        <v>248</v>
      </c>
      <c r="BB46" s="14" t="s">
        <v>211</v>
      </c>
      <c r="BC46" t="str">
        <f t="shared" si="48"/>
        <v>25</v>
      </c>
      <c r="BD46" t="str">
        <f t="shared" si="14"/>
        <v>07</v>
      </c>
      <c r="BE46" s="98">
        <f t="shared" si="15"/>
        <v>26</v>
      </c>
      <c r="BF46" t="str">
        <f t="shared" si="49"/>
        <v>D</v>
      </c>
      <c r="BG46" t="str">
        <f t="shared" si="53"/>
        <v>https://www.coreplan.io/app/ddh1-drilling/speewah-mining-speewah-fluorite-project-wa/plods/1663-250726D</v>
      </c>
      <c r="BH46" t="str">
        <f t="shared" si="50"/>
        <v>2025-07</v>
      </c>
    </row>
    <row r="47" spans="1:60">
      <c r="A47" s="510" t="str">
        <f>VLOOKUP(F47,'Tenement Lookup'!A:BH,60,FALSE)</f>
        <v>E 80/2863-I</v>
      </c>
      <c r="B47" t="str">
        <f>VLOOKUP(F47,Purpose!$A$2:$B$334,2,FALSE)</f>
        <v>Geotech</v>
      </c>
      <c r="C47" s="152" t="s">
        <v>9</v>
      </c>
      <c r="D47" s="1">
        <f t="shared" si="38"/>
        <v>45863.71</v>
      </c>
      <c r="E47" t="s">
        <v>172</v>
      </c>
      <c r="F47" t="s">
        <v>180</v>
      </c>
      <c r="H47" s="4" t="s">
        <v>216</v>
      </c>
      <c r="I47" s="4">
        <v>3</v>
      </c>
      <c r="J47" s="5">
        <f t="shared" si="20"/>
        <v>390</v>
      </c>
      <c r="K47" s="21"/>
      <c r="L47" s="28"/>
      <c r="M47" s="28">
        <f t="shared" si="56"/>
        <v>0</v>
      </c>
      <c r="N47" s="30">
        <v>6</v>
      </c>
      <c r="O47" s="26">
        <v>13.8</v>
      </c>
      <c r="P47" s="31">
        <f t="shared" si="41"/>
        <v>7.8000000000000007</v>
      </c>
      <c r="Q47" s="21"/>
      <c r="R47" s="28"/>
      <c r="S47" s="22">
        <f t="shared" si="42"/>
        <v>0</v>
      </c>
      <c r="T47" s="26"/>
      <c r="U47" s="26"/>
      <c r="V47" s="31">
        <f t="shared" si="43"/>
        <v>0</v>
      </c>
      <c r="W47" s="26">
        <f t="shared" si="52"/>
        <v>7.8000000000000007</v>
      </c>
      <c r="X47" s="36">
        <f t="shared" si="26"/>
        <v>1053</v>
      </c>
      <c r="Y47" s="37">
        <f t="shared" si="57"/>
        <v>1840</v>
      </c>
      <c r="Z47" s="38"/>
      <c r="AA47" s="38"/>
      <c r="AB47" s="38"/>
      <c r="AC47" s="38"/>
      <c r="AD47" s="157">
        <f t="shared" si="39"/>
        <v>0</v>
      </c>
      <c r="AE47" s="34">
        <v>4</v>
      </c>
      <c r="AF47" s="35">
        <v>3</v>
      </c>
      <c r="AG47" s="40" t="s">
        <v>247</v>
      </c>
      <c r="AH47" s="44">
        <v>5</v>
      </c>
      <c r="AI47" s="13"/>
      <c r="AJ47" s="46" t="s">
        <v>247</v>
      </c>
      <c r="AK47" s="45"/>
      <c r="AL47" s="23"/>
      <c r="AM47" s="138"/>
      <c r="AN47" s="25">
        <f t="shared" si="54"/>
        <v>12</v>
      </c>
      <c r="AO47" s="50"/>
      <c r="AP47" s="53">
        <f t="shared" si="45"/>
        <v>3180</v>
      </c>
      <c r="AQ47" s="53"/>
      <c r="AR47" s="119"/>
      <c r="AS47" s="56">
        <f t="shared" si="19"/>
        <v>5410</v>
      </c>
      <c r="AT47" s="298">
        <v>5410</v>
      </c>
      <c r="AU47" s="298">
        <f t="shared" si="36"/>
        <v>2230</v>
      </c>
      <c r="AV47" s="357">
        <f t="shared" si="40"/>
        <v>0.5878003696857671</v>
      </c>
      <c r="AW47" s="18">
        <f>SUM($AS$8:AS47)</f>
        <v>227847.74999999994</v>
      </c>
      <c r="AX47" s="18">
        <f>IF(AS47=0,"",SUMIFS($AS$8:AS47, $BH$8:BH47, BH47))</f>
        <v>227847.74999999994</v>
      </c>
      <c r="AY47" s="57">
        <f t="shared" ca="1" si="46"/>
        <v>693.58974358974353</v>
      </c>
      <c r="AZ47" s="15" t="str">
        <f t="shared" ca="1" si="47"/>
        <v>LINK</v>
      </c>
      <c r="BA47" s="10" t="s">
        <v>249</v>
      </c>
      <c r="BB47" s="14" t="s">
        <v>211</v>
      </c>
      <c r="BC47" t="str">
        <f t="shared" si="48"/>
        <v>25</v>
      </c>
      <c r="BD47" t="str">
        <f t="shared" si="14"/>
        <v>07</v>
      </c>
      <c r="BE47" s="98">
        <f t="shared" si="15"/>
        <v>26</v>
      </c>
      <c r="BF47" t="str">
        <f t="shared" si="49"/>
        <v>N</v>
      </c>
      <c r="BG47" t="str">
        <f t="shared" si="53"/>
        <v>https://www.coreplan.io/app/ddh1-drilling/speewah-mining-speewah-fluorite-project-wa/plods/1663-250726N</v>
      </c>
      <c r="BH47" t="str">
        <f t="shared" si="50"/>
        <v>2025-07</v>
      </c>
    </row>
    <row r="48" spans="1:60">
      <c r="A48" s="510" t="str">
        <f>VLOOKUP(F48,'Tenement Lookup'!A:BH,60,FALSE)</f>
        <v>E 80/2863-I</v>
      </c>
      <c r="B48" t="str">
        <f>VLOOKUP(F48,Purpose!$A$2:$B$334,2,FALSE)</f>
        <v>Geotech</v>
      </c>
      <c r="C48" s="152" t="s">
        <v>9</v>
      </c>
      <c r="D48" s="1">
        <f t="shared" si="38"/>
        <v>45864.21</v>
      </c>
      <c r="E48" t="s">
        <v>171</v>
      </c>
      <c r="F48" t="s">
        <v>180</v>
      </c>
      <c r="G48" t="s">
        <v>181</v>
      </c>
      <c r="H48" s="4" t="s">
        <v>215</v>
      </c>
      <c r="I48" s="4">
        <v>3</v>
      </c>
      <c r="J48" s="5">
        <f t="shared" si="20"/>
        <v>390</v>
      </c>
      <c r="K48" s="21"/>
      <c r="L48" s="28"/>
      <c r="M48" s="28">
        <f t="shared" si="56"/>
        <v>0</v>
      </c>
      <c r="N48" s="30">
        <v>13.8</v>
      </c>
      <c r="O48" s="26">
        <v>15</v>
      </c>
      <c r="P48" s="31">
        <f t="shared" si="41"/>
        <v>1.1999999999999993</v>
      </c>
      <c r="Q48" s="21"/>
      <c r="R48" s="28"/>
      <c r="S48" s="22">
        <f t="shared" si="42"/>
        <v>0</v>
      </c>
      <c r="T48" s="26">
        <v>0</v>
      </c>
      <c r="U48" s="26">
        <v>2</v>
      </c>
      <c r="V48" s="31">
        <f t="shared" si="43"/>
        <v>2</v>
      </c>
      <c r="W48" s="26">
        <f t="shared" si="52"/>
        <v>3.1999999999999993</v>
      </c>
      <c r="X48" s="36">
        <f t="shared" si="26"/>
        <v>431.99999999999989</v>
      </c>
      <c r="Y48" s="37">
        <f t="shared" si="57"/>
        <v>1265</v>
      </c>
      <c r="Z48" s="38"/>
      <c r="AA48" s="38">
        <v>1</v>
      </c>
      <c r="AB48" s="38">
        <v>1</v>
      </c>
      <c r="AC48" s="38">
        <v>13170</v>
      </c>
      <c r="AD48" s="157">
        <f t="shared" si="39"/>
        <v>575</v>
      </c>
      <c r="AE48" s="34">
        <v>2.75</v>
      </c>
      <c r="AF48" s="35">
        <v>6.75</v>
      </c>
      <c r="AG48" s="40" t="s">
        <v>247</v>
      </c>
      <c r="AH48" s="44">
        <v>2.5</v>
      </c>
      <c r="AI48" s="13"/>
      <c r="AJ48" s="46" t="s">
        <v>247</v>
      </c>
      <c r="AK48" s="45"/>
      <c r="AL48" s="23"/>
      <c r="AM48" s="138"/>
      <c r="AN48" s="25">
        <f t="shared" si="54"/>
        <v>12</v>
      </c>
      <c r="AO48" s="50"/>
      <c r="AP48" s="53">
        <f t="shared" si="45"/>
        <v>4005</v>
      </c>
      <c r="AQ48" s="53"/>
      <c r="AR48" s="119"/>
      <c r="AS48" s="56">
        <f t="shared" si="19"/>
        <v>6235</v>
      </c>
      <c r="AT48" s="298">
        <v>6235</v>
      </c>
      <c r="AU48" s="298">
        <f t="shared" si="36"/>
        <v>2230</v>
      </c>
      <c r="AV48" s="357">
        <f t="shared" si="40"/>
        <v>0.64234161988773053</v>
      </c>
      <c r="AW48" s="18">
        <f>SUM($AS$8:AS48)</f>
        <v>234082.74999999994</v>
      </c>
      <c r="AX48" s="18">
        <f>IF(AS48=0,"",SUMIFS($AS$8:AS48, $BH$8:BH48, BH48))</f>
        <v>234082.74999999994</v>
      </c>
      <c r="AY48" s="57"/>
      <c r="AZ48" s="15" t="str">
        <f t="shared" ca="1" si="47"/>
        <v>LINK</v>
      </c>
      <c r="BA48" s="10" t="s">
        <v>250</v>
      </c>
      <c r="BB48" s="14" t="s">
        <v>211</v>
      </c>
      <c r="BC48" t="str">
        <f t="shared" si="48"/>
        <v>25</v>
      </c>
      <c r="BD48" t="str">
        <f t="shared" si="14"/>
        <v>07</v>
      </c>
      <c r="BE48" s="98">
        <f t="shared" si="15"/>
        <v>27</v>
      </c>
      <c r="BF48" t="str">
        <f t="shared" si="49"/>
        <v>D</v>
      </c>
      <c r="BG48" t="str">
        <f t="shared" si="53"/>
        <v>https://www.coreplan.io/app/ddh1-drilling/speewah-mining-speewah-fluorite-project-wa/plods/1663-250727D</v>
      </c>
      <c r="BH48" t="str">
        <f t="shared" si="50"/>
        <v>2025-07</v>
      </c>
    </row>
    <row r="49" spans="1:60">
      <c r="A49" s="510" t="str">
        <f>VLOOKUP(F49,'Tenement Lookup'!A:BH,60,FALSE)</f>
        <v>E 80/2863-I</v>
      </c>
      <c r="B49" t="str">
        <f>VLOOKUP(F49,Purpose!$A$2:$B$334,2,FALSE)</f>
        <v>Geotech</v>
      </c>
      <c r="C49" s="152" t="s">
        <v>9</v>
      </c>
      <c r="D49" s="1">
        <f t="shared" si="38"/>
        <v>45864.71</v>
      </c>
      <c r="E49" t="s">
        <v>172</v>
      </c>
      <c r="F49" t="s">
        <v>181</v>
      </c>
      <c r="H49" s="4" t="s">
        <v>216</v>
      </c>
      <c r="I49" s="4">
        <v>3</v>
      </c>
      <c r="J49" s="5">
        <f t="shared" si="20"/>
        <v>390</v>
      </c>
      <c r="K49" s="21"/>
      <c r="L49" s="28"/>
      <c r="M49" s="28">
        <f t="shared" si="56"/>
        <v>0</v>
      </c>
      <c r="N49" s="30">
        <v>2</v>
      </c>
      <c r="O49" s="26">
        <v>15</v>
      </c>
      <c r="P49" s="31">
        <f t="shared" si="41"/>
        <v>13</v>
      </c>
      <c r="Q49" s="21"/>
      <c r="R49" s="28"/>
      <c r="S49" s="22">
        <f t="shared" si="42"/>
        <v>0</v>
      </c>
      <c r="T49" s="26"/>
      <c r="U49" s="26"/>
      <c r="V49" s="31">
        <f t="shared" si="43"/>
        <v>0</v>
      </c>
      <c r="W49" s="26">
        <f t="shared" si="52"/>
        <v>13</v>
      </c>
      <c r="X49" s="36">
        <f t="shared" si="26"/>
        <v>1755</v>
      </c>
      <c r="Y49" s="37">
        <f>IF(F49&lt;&gt;"",IF(X49&lt;(AE49*$AE$2),(AE49*$AE$2),X49),"")</f>
        <v>2300</v>
      </c>
      <c r="Z49" s="38"/>
      <c r="AA49" s="38"/>
      <c r="AB49" s="38"/>
      <c r="AC49" s="38"/>
      <c r="AD49" s="157">
        <f t="shared" si="39"/>
        <v>0</v>
      </c>
      <c r="AE49" s="34">
        <v>5</v>
      </c>
      <c r="AF49" s="35">
        <v>2.5</v>
      </c>
      <c r="AG49" s="40" t="s">
        <v>247</v>
      </c>
      <c r="AH49" s="44">
        <v>4.5</v>
      </c>
      <c r="AI49" s="13"/>
      <c r="AJ49" s="46" t="s">
        <v>251</v>
      </c>
      <c r="AK49" s="45"/>
      <c r="AL49" s="23"/>
      <c r="AM49" s="138"/>
      <c r="AN49" s="25">
        <f t="shared" si="54"/>
        <v>12</v>
      </c>
      <c r="AO49" s="50"/>
      <c r="AP49" s="53">
        <f t="shared" si="45"/>
        <v>2770</v>
      </c>
      <c r="AQ49" s="53"/>
      <c r="AR49" s="119"/>
      <c r="AS49" s="56">
        <f t="shared" si="19"/>
        <v>5460</v>
      </c>
      <c r="AT49" s="298">
        <v>5460</v>
      </c>
      <c r="AU49" s="298">
        <f t="shared" si="36"/>
        <v>2690</v>
      </c>
      <c r="AV49" s="357">
        <f t="shared" si="40"/>
        <v>0.5073260073260073</v>
      </c>
      <c r="AW49" s="18">
        <f>SUM($AS$8:AS49)</f>
        <v>239542.74999999994</v>
      </c>
      <c r="AX49" s="18">
        <f>IF(AS49=0,"",SUMIFS($AS$8:AS49, $BH$8:BH49, BH49))</f>
        <v>239542.74999999994</v>
      </c>
      <c r="AY49" s="57">
        <f t="shared" ca="1" si="46"/>
        <v>420</v>
      </c>
      <c r="AZ49" s="15" t="str">
        <f t="shared" ca="1" si="47"/>
        <v>LINK</v>
      </c>
      <c r="BA49" s="10" t="s">
        <v>252</v>
      </c>
      <c r="BB49" s="14" t="s">
        <v>211</v>
      </c>
      <c r="BC49" t="str">
        <f t="shared" si="48"/>
        <v>25</v>
      </c>
      <c r="BD49" t="str">
        <f t="shared" si="14"/>
        <v>07</v>
      </c>
      <c r="BE49" s="98">
        <f t="shared" si="15"/>
        <v>27</v>
      </c>
      <c r="BF49" t="str">
        <f t="shared" si="49"/>
        <v>N</v>
      </c>
      <c r="BG49" t="str">
        <f t="shared" si="53"/>
        <v>https://www.coreplan.io/app/ddh1-drilling/speewah-mining-speewah-fluorite-project-wa/plods/1663-250727N</v>
      </c>
      <c r="BH49" t="str">
        <f t="shared" si="50"/>
        <v>2025-07</v>
      </c>
    </row>
    <row r="50" spans="1:60">
      <c r="A50" s="510" t="str">
        <f>VLOOKUP(F50,'Tenement Lookup'!A:BH,60,FALSE)</f>
        <v>M 80/269</v>
      </c>
      <c r="B50" t="str">
        <f>VLOOKUP(F50,Purpose!$A$2:$B$334,2,FALSE)</f>
        <v>Geotech</v>
      </c>
      <c r="C50" s="152" t="s">
        <v>9</v>
      </c>
      <c r="D50" s="1">
        <f t="shared" si="38"/>
        <v>45865.21</v>
      </c>
      <c r="E50" t="s">
        <v>171</v>
      </c>
      <c r="F50" s="7" t="s">
        <v>182</v>
      </c>
      <c r="H50" s="4" t="s">
        <v>215</v>
      </c>
      <c r="I50" s="4">
        <v>3</v>
      </c>
      <c r="J50" s="5">
        <f t="shared" si="20"/>
        <v>390</v>
      </c>
      <c r="K50" s="21"/>
      <c r="L50" s="28"/>
      <c r="M50" s="28">
        <f t="shared" si="56"/>
        <v>0</v>
      </c>
      <c r="N50" s="30"/>
      <c r="O50" s="26"/>
      <c r="P50" s="31">
        <f t="shared" si="41"/>
        <v>0</v>
      </c>
      <c r="Q50" s="21"/>
      <c r="R50" s="28"/>
      <c r="S50" s="22">
        <f t="shared" si="42"/>
        <v>0</v>
      </c>
      <c r="T50" s="26"/>
      <c r="U50" s="26"/>
      <c r="V50" s="31">
        <f t="shared" si="43"/>
        <v>0</v>
      </c>
      <c r="W50" s="26">
        <f t="shared" si="52"/>
        <v>0</v>
      </c>
      <c r="X50" s="36">
        <f t="shared" si="26"/>
        <v>0</v>
      </c>
      <c r="Y50" s="37">
        <f t="shared" si="57"/>
        <v>0</v>
      </c>
      <c r="Z50" s="38"/>
      <c r="AA50" s="38">
        <v>1</v>
      </c>
      <c r="AB50" s="38">
        <v>1</v>
      </c>
      <c r="AC50" s="38">
        <v>13170</v>
      </c>
      <c r="AD50" s="157">
        <f t="shared" si="39"/>
        <v>575</v>
      </c>
      <c r="AE50" s="34">
        <v>0</v>
      </c>
      <c r="AF50" s="35">
        <v>6</v>
      </c>
      <c r="AG50" s="40" t="s">
        <v>253</v>
      </c>
      <c r="AH50" s="44">
        <v>0.5</v>
      </c>
      <c r="AI50" s="13">
        <v>5</v>
      </c>
      <c r="AJ50" s="46" t="s">
        <v>251</v>
      </c>
      <c r="AK50" s="45">
        <v>0.5</v>
      </c>
      <c r="AL50" s="23"/>
      <c r="AM50" s="138"/>
      <c r="AN50" s="25">
        <f>IF(ISBLANK(AE50),"",SUM(AE50:AF50,AH50:AL50))</f>
        <v>12</v>
      </c>
      <c r="AO50" s="50"/>
      <c r="AP50" s="53">
        <f t="shared" si="45"/>
        <v>4740</v>
      </c>
      <c r="AQ50" s="53"/>
      <c r="AR50" s="119"/>
      <c r="AS50" s="56">
        <f t="shared" si="19"/>
        <v>5705</v>
      </c>
      <c r="AT50" s="298">
        <v>5705</v>
      </c>
      <c r="AU50" s="298">
        <f t="shared" si="36"/>
        <v>965</v>
      </c>
      <c r="AV50" s="357">
        <f t="shared" si="40"/>
        <v>0.83085013146362841</v>
      </c>
      <c r="AW50" s="18">
        <f>SUM($AS$8:AS50)</f>
        <v>245247.74999999994</v>
      </c>
      <c r="AX50" s="18">
        <f>IF(AS50=0,"",SUMIFS($AS$8:AS50, $BH$8:BH50, BH50))</f>
        <v>245247.74999999994</v>
      </c>
      <c r="AY50" s="57"/>
      <c r="AZ50" s="15" t="str">
        <f t="shared" ca="1" si="47"/>
        <v>LINK</v>
      </c>
      <c r="BA50" s="10" t="s">
        <v>254</v>
      </c>
      <c r="BB50" s="14" t="s">
        <v>211</v>
      </c>
      <c r="BC50" t="str">
        <f t="shared" si="48"/>
        <v>25</v>
      </c>
      <c r="BD50" t="str">
        <f t="shared" si="14"/>
        <v>07</v>
      </c>
      <c r="BE50" s="98">
        <f t="shared" si="15"/>
        <v>28</v>
      </c>
      <c r="BF50" t="str">
        <f t="shared" si="49"/>
        <v>D</v>
      </c>
      <c r="BG50" t="str">
        <f t="shared" si="53"/>
        <v>https://www.coreplan.io/app/ddh1-drilling/speewah-mining-speewah-fluorite-project-wa/plods/1663-250728D</v>
      </c>
      <c r="BH50" t="str">
        <f t="shared" si="50"/>
        <v>2025-07</v>
      </c>
    </row>
    <row r="51" spans="1:60">
      <c r="A51" s="510" t="str">
        <f>VLOOKUP(F51,'Tenement Lookup'!A:BH,60,FALSE)</f>
        <v>M 80/269</v>
      </c>
      <c r="B51" t="str">
        <f>VLOOKUP(F51,Purpose!$A$2:$B$334,2,FALSE)</f>
        <v>Geotech</v>
      </c>
      <c r="C51" s="152" t="s">
        <v>9</v>
      </c>
      <c r="D51" s="1">
        <f t="shared" si="38"/>
        <v>45865.71</v>
      </c>
      <c r="E51" t="s">
        <v>172</v>
      </c>
      <c r="F51" s="7" t="s">
        <v>182</v>
      </c>
      <c r="H51" s="4" t="s">
        <v>216</v>
      </c>
      <c r="I51" s="4">
        <v>3</v>
      </c>
      <c r="J51" s="5">
        <f t="shared" si="20"/>
        <v>390</v>
      </c>
      <c r="K51" s="21"/>
      <c r="L51" s="28"/>
      <c r="M51" s="28">
        <f t="shared" si="56"/>
        <v>0</v>
      </c>
      <c r="N51" s="30">
        <v>0</v>
      </c>
      <c r="O51" s="26">
        <v>21.3</v>
      </c>
      <c r="P51" s="31">
        <f t="shared" si="41"/>
        <v>21.3</v>
      </c>
      <c r="Q51" s="21"/>
      <c r="R51" s="28"/>
      <c r="S51" s="22">
        <f t="shared" si="42"/>
        <v>0</v>
      </c>
      <c r="T51" s="26"/>
      <c r="U51" s="26"/>
      <c r="V51" s="31">
        <f t="shared" si="43"/>
        <v>0</v>
      </c>
      <c r="W51" s="26">
        <f t="shared" si="52"/>
        <v>21.3</v>
      </c>
      <c r="X51" s="36">
        <f t="shared" si="26"/>
        <v>2875.5</v>
      </c>
      <c r="Y51" s="37">
        <f t="shared" si="57"/>
        <v>3335</v>
      </c>
      <c r="Z51" s="38"/>
      <c r="AA51" s="38"/>
      <c r="AB51" s="38"/>
      <c r="AC51" s="38"/>
      <c r="AD51" s="157">
        <f t="shared" si="39"/>
        <v>0</v>
      </c>
      <c r="AE51" s="34">
        <v>7.25</v>
      </c>
      <c r="AF51" s="35">
        <v>3.75</v>
      </c>
      <c r="AG51" s="40"/>
      <c r="AH51" s="44">
        <v>0.5</v>
      </c>
      <c r="AI51" s="13"/>
      <c r="AJ51" s="46"/>
      <c r="AK51" s="45">
        <v>0.5</v>
      </c>
      <c r="AL51" s="23"/>
      <c r="AM51" s="138"/>
      <c r="AN51" s="25">
        <f t="shared" si="54"/>
        <v>12</v>
      </c>
      <c r="AO51" s="50"/>
      <c r="AP51" s="53">
        <f t="shared" si="45"/>
        <v>1905</v>
      </c>
      <c r="AQ51" s="53">
        <f t="shared" ref="AQ51:AQ58" si="58">AR51+J51</f>
        <v>1076.6100000000001</v>
      </c>
      <c r="AR51" s="119">
        <v>686.61</v>
      </c>
      <c r="AS51" s="56">
        <f t="shared" si="19"/>
        <v>6316.61</v>
      </c>
      <c r="AT51" s="298">
        <v>6316.61</v>
      </c>
      <c r="AU51" s="298">
        <f t="shared" si="36"/>
        <v>4411.6100000000006</v>
      </c>
      <c r="AV51" s="357">
        <f t="shared" si="40"/>
        <v>0.30158581897568459</v>
      </c>
      <c r="AW51" s="18">
        <f>SUM($AS$8:AS51)</f>
        <v>251564.35999999993</v>
      </c>
      <c r="AX51" s="18">
        <f>IF(AS51=0,"",SUMIFS($AS$8:AS51, $BH$8:BH51, BH51))</f>
        <v>251564.35999999993</v>
      </c>
      <c r="AY51" s="57">
        <f t="shared" ca="1" si="46"/>
        <v>296.55446009389669</v>
      </c>
      <c r="AZ51" s="15" t="str">
        <f t="shared" ca="1" si="47"/>
        <v>LINK</v>
      </c>
      <c r="BA51" s="10" t="s">
        <v>255</v>
      </c>
      <c r="BB51" s="14" t="s">
        <v>211</v>
      </c>
      <c r="BC51" t="str">
        <f t="shared" si="48"/>
        <v>25</v>
      </c>
      <c r="BD51" t="str">
        <f t="shared" si="14"/>
        <v>07</v>
      </c>
      <c r="BE51" s="98">
        <f t="shared" si="15"/>
        <v>28</v>
      </c>
      <c r="BF51" t="str">
        <f t="shared" si="49"/>
        <v>N</v>
      </c>
      <c r="BG51" t="str">
        <f t="shared" si="53"/>
        <v>https://www.coreplan.io/app/ddh1-drilling/speewah-mining-speewah-fluorite-project-wa/plods/1663-250728N</v>
      </c>
      <c r="BH51" t="str">
        <f t="shared" si="50"/>
        <v>2025-07</v>
      </c>
    </row>
    <row r="52" spans="1:60">
      <c r="A52" s="510" t="str">
        <f>VLOOKUP(F52,'Tenement Lookup'!A:BH,60,FALSE)</f>
        <v>M 80/269</v>
      </c>
      <c r="B52" t="str">
        <f>VLOOKUP(F52,Purpose!$A$2:$B$334,2,FALSE)</f>
        <v>Geotech</v>
      </c>
      <c r="C52" s="152" t="s">
        <v>9</v>
      </c>
      <c r="D52" s="1">
        <f t="shared" si="38"/>
        <v>45866.21</v>
      </c>
      <c r="E52" t="s">
        <v>171</v>
      </c>
      <c r="F52" s="7" t="s">
        <v>182</v>
      </c>
      <c r="H52" s="4" t="s">
        <v>215</v>
      </c>
      <c r="I52" s="4">
        <v>3</v>
      </c>
      <c r="J52" s="5">
        <f t="shared" si="20"/>
        <v>390</v>
      </c>
      <c r="K52" s="21"/>
      <c r="L52" s="28"/>
      <c r="M52" s="28">
        <f t="shared" si="56"/>
        <v>0</v>
      </c>
      <c r="N52" s="30">
        <v>21.3</v>
      </c>
      <c r="O52" s="26">
        <v>51.7</v>
      </c>
      <c r="P52" s="31">
        <f t="shared" si="41"/>
        <v>30.400000000000002</v>
      </c>
      <c r="Q52" s="21"/>
      <c r="R52" s="28"/>
      <c r="S52" s="22">
        <f t="shared" si="42"/>
        <v>0</v>
      </c>
      <c r="T52" s="26"/>
      <c r="U52" s="26"/>
      <c r="V52" s="31">
        <f t="shared" si="43"/>
        <v>0</v>
      </c>
      <c r="W52" s="26">
        <f t="shared" si="52"/>
        <v>30.400000000000002</v>
      </c>
      <c r="X52" s="36">
        <f t="shared" si="26"/>
        <v>4104</v>
      </c>
      <c r="Y52" s="37">
        <f>IF(F52&lt;&gt;"",IF(X52&lt;(AE52*$AE$2),(AE52*$AE$2),X52),"")</f>
        <v>5060</v>
      </c>
      <c r="Z52" s="38"/>
      <c r="AA52" s="38">
        <v>1</v>
      </c>
      <c r="AB52" s="38">
        <v>1</v>
      </c>
      <c r="AC52" s="38">
        <v>13170</v>
      </c>
      <c r="AD52" s="157">
        <f t="shared" si="39"/>
        <v>575</v>
      </c>
      <c r="AE52" s="34">
        <v>11</v>
      </c>
      <c r="AF52" s="35">
        <v>0.5</v>
      </c>
      <c r="AG52" s="40"/>
      <c r="AH52" s="44">
        <v>0.5</v>
      </c>
      <c r="AI52" s="13"/>
      <c r="AJ52" s="46"/>
      <c r="AK52" s="45"/>
      <c r="AL52" s="23"/>
      <c r="AM52" s="138"/>
      <c r="AN52" s="25">
        <f t="shared" si="54"/>
        <v>12</v>
      </c>
      <c r="AO52" s="50"/>
      <c r="AP52" s="53">
        <f>(AF52*$AF$2)+(AH52*$AH$2)+(AI52*$AI$2)</f>
        <v>410</v>
      </c>
      <c r="AQ52" s="53">
        <f t="shared" si="58"/>
        <v>390</v>
      </c>
      <c r="AR52" s="119"/>
      <c r="AS52" s="56">
        <f t="shared" si="19"/>
        <v>6435</v>
      </c>
      <c r="AT52" s="298">
        <v>6435</v>
      </c>
      <c r="AU52" s="298">
        <f>SUM(AR52,AD52,Y52,J52)</f>
        <v>6025</v>
      </c>
      <c r="AV52" s="357">
        <f t="shared" si="40"/>
        <v>6.3714063714063712E-2</v>
      </c>
      <c r="AW52" s="18">
        <f>SUM($AS$8:AS52)</f>
        <v>257999.35999999993</v>
      </c>
      <c r="AX52" s="18">
        <f>IF(AS52=0,"",SUMIFS($AS$8:AS52, $BH$8:BH52, BH52))</f>
        <v>257999.35999999993</v>
      </c>
      <c r="AY52" s="57">
        <f t="shared" ca="1" si="46"/>
        <v>211.67763157894734</v>
      </c>
      <c r="AZ52" s="15" t="str">
        <f t="shared" ca="1" si="47"/>
        <v>LINK</v>
      </c>
      <c r="BA52" s="10" t="s">
        <v>256</v>
      </c>
      <c r="BB52" s="14" t="s">
        <v>211</v>
      </c>
      <c r="BC52" t="str">
        <f t="shared" si="48"/>
        <v>25</v>
      </c>
      <c r="BD52" t="str">
        <f t="shared" si="14"/>
        <v>07</v>
      </c>
      <c r="BE52" s="98">
        <f t="shared" si="15"/>
        <v>29</v>
      </c>
      <c r="BF52" t="str">
        <f t="shared" si="49"/>
        <v>D</v>
      </c>
      <c r="BG52" t="str">
        <f t="shared" si="53"/>
        <v>https://www.coreplan.io/app/ddh1-drilling/speewah-mining-speewah-fluorite-project-wa/plods/1663-250729D</v>
      </c>
      <c r="BH52" t="str">
        <f t="shared" si="50"/>
        <v>2025-07</v>
      </c>
    </row>
    <row r="53" spans="1:60">
      <c r="A53" s="510" t="str">
        <f>VLOOKUP(F53,'Tenement Lookup'!A:BH,60,FALSE)</f>
        <v>M 80/269</v>
      </c>
      <c r="B53" t="str">
        <f>VLOOKUP(F53,Purpose!$A$2:$B$334,2,FALSE)</f>
        <v>Geotech</v>
      </c>
      <c r="C53" s="152" t="s">
        <v>9</v>
      </c>
      <c r="D53" s="1">
        <f t="shared" si="38"/>
        <v>45866.71</v>
      </c>
      <c r="E53" t="s">
        <v>172</v>
      </c>
      <c r="F53" s="7" t="s">
        <v>182</v>
      </c>
      <c r="H53" s="4" t="s">
        <v>216</v>
      </c>
      <c r="I53" s="4">
        <v>3</v>
      </c>
      <c r="J53" s="5">
        <f t="shared" ref="J53" si="59">IF(ISBLANK(I53),"",I53*$J$2)</f>
        <v>390</v>
      </c>
      <c r="K53" s="21"/>
      <c r="L53" s="28"/>
      <c r="M53" s="28">
        <f t="shared" si="56"/>
        <v>0</v>
      </c>
      <c r="N53" s="30">
        <v>51.7</v>
      </c>
      <c r="O53" s="26">
        <v>78.7</v>
      </c>
      <c r="P53" s="31">
        <f t="shared" si="41"/>
        <v>27</v>
      </c>
      <c r="Q53" s="21"/>
      <c r="R53" s="28"/>
      <c r="S53" s="22">
        <f t="shared" si="42"/>
        <v>0</v>
      </c>
      <c r="T53" s="26"/>
      <c r="U53" s="26"/>
      <c r="V53" s="31">
        <f t="shared" si="43"/>
        <v>0</v>
      </c>
      <c r="W53" s="26">
        <f t="shared" si="52"/>
        <v>27</v>
      </c>
      <c r="X53" s="36">
        <f t="shared" si="26"/>
        <v>3645</v>
      </c>
      <c r="Y53" s="37">
        <f t="shared" si="57"/>
        <v>4945</v>
      </c>
      <c r="Z53" s="38"/>
      <c r="AA53" s="38"/>
      <c r="AB53" s="38"/>
      <c r="AC53" s="38"/>
      <c r="AD53" s="157">
        <f t="shared" si="39"/>
        <v>0</v>
      </c>
      <c r="AE53" s="34">
        <v>10.75</v>
      </c>
      <c r="AF53" s="35">
        <v>0.25</v>
      </c>
      <c r="AG53" s="40"/>
      <c r="AH53" s="44">
        <v>0.5</v>
      </c>
      <c r="AI53" s="13"/>
      <c r="AJ53" s="46"/>
      <c r="AK53" s="45"/>
      <c r="AL53" s="23">
        <v>0.5</v>
      </c>
      <c r="AM53" s="138" t="s">
        <v>257</v>
      </c>
      <c r="AN53" s="25">
        <f t="shared" si="54"/>
        <v>12</v>
      </c>
      <c r="AO53" s="50"/>
      <c r="AP53" s="53">
        <f t="shared" si="45"/>
        <v>295</v>
      </c>
      <c r="AQ53" s="53">
        <f t="shared" si="58"/>
        <v>390</v>
      </c>
      <c r="AR53" s="119"/>
      <c r="AS53" s="56">
        <f t="shared" si="19"/>
        <v>5630</v>
      </c>
      <c r="AT53" s="298">
        <v>5630</v>
      </c>
      <c r="AU53" s="298">
        <f t="shared" si="36"/>
        <v>5335</v>
      </c>
      <c r="AV53" s="357">
        <f t="shared" si="40"/>
        <v>5.2397868561278864E-2</v>
      </c>
      <c r="AW53" s="18">
        <f>SUM($AS$8:AS53)</f>
        <v>263629.35999999993</v>
      </c>
      <c r="AX53" s="18">
        <f>IF(AS53=0,"",SUMIFS($AS$8:AS53, $BH$8:BH53, BH53))</f>
        <v>263629.35999999993</v>
      </c>
      <c r="AY53" s="57">
        <f t="shared" ca="1" si="46"/>
        <v>208.5185185185185</v>
      </c>
      <c r="AZ53" s="15" t="str">
        <f t="shared" ca="1" si="47"/>
        <v>LINK</v>
      </c>
      <c r="BB53" s="14" t="s">
        <v>211</v>
      </c>
      <c r="BC53" t="str">
        <f t="shared" si="48"/>
        <v>25</v>
      </c>
      <c r="BD53" t="str">
        <f t="shared" si="14"/>
        <v>07</v>
      </c>
      <c r="BE53" s="98">
        <f t="shared" si="15"/>
        <v>29</v>
      </c>
      <c r="BF53" t="str">
        <f t="shared" si="49"/>
        <v>N</v>
      </c>
      <c r="BG53" t="str">
        <f t="shared" si="53"/>
        <v>https://www.coreplan.io/app/ddh1-drilling/speewah-mining-speewah-fluorite-project-wa/plods/1663-250729N</v>
      </c>
      <c r="BH53" t="str">
        <f t="shared" si="50"/>
        <v>2025-07</v>
      </c>
    </row>
    <row r="54" spans="1:60">
      <c r="A54" s="510" t="str">
        <f>VLOOKUP(F54,'Tenement Lookup'!A:BH,60,FALSE)</f>
        <v>M 80/269</v>
      </c>
      <c r="B54" t="str">
        <f>VLOOKUP(F54,Purpose!$A$2:$B$334,2,FALSE)</f>
        <v>Geotech</v>
      </c>
      <c r="C54" s="152" t="s">
        <v>9</v>
      </c>
      <c r="D54" s="1">
        <f t="shared" si="38"/>
        <v>45867.21</v>
      </c>
      <c r="E54" t="s">
        <v>171</v>
      </c>
      <c r="F54" s="7" t="s">
        <v>182</v>
      </c>
      <c r="H54" s="4" t="s">
        <v>215</v>
      </c>
      <c r="I54" s="4">
        <v>3</v>
      </c>
      <c r="J54" s="5">
        <f t="shared" si="20"/>
        <v>390</v>
      </c>
      <c r="K54" s="21"/>
      <c r="L54" s="28"/>
      <c r="M54" s="28">
        <f t="shared" si="56"/>
        <v>0</v>
      </c>
      <c r="N54" s="30">
        <v>78.7</v>
      </c>
      <c r="O54" s="26">
        <v>92.7</v>
      </c>
      <c r="P54" s="31">
        <f t="shared" si="41"/>
        <v>14</v>
      </c>
      <c r="Q54" s="21"/>
      <c r="R54" s="28"/>
      <c r="S54" s="22">
        <f t="shared" si="42"/>
        <v>0</v>
      </c>
      <c r="T54" s="26"/>
      <c r="U54" s="26"/>
      <c r="V54" s="31">
        <f t="shared" si="43"/>
        <v>0</v>
      </c>
      <c r="W54" s="26">
        <f t="shared" si="52"/>
        <v>14</v>
      </c>
      <c r="X54" s="36">
        <f t="shared" si="26"/>
        <v>1890</v>
      </c>
      <c r="Y54" s="37">
        <f t="shared" si="57"/>
        <v>2645</v>
      </c>
      <c r="Z54" s="38"/>
      <c r="AA54" s="38">
        <v>1</v>
      </c>
      <c r="AB54" s="38">
        <v>1</v>
      </c>
      <c r="AC54" s="38">
        <v>13170</v>
      </c>
      <c r="AD54" s="157">
        <f t="shared" si="39"/>
        <v>575</v>
      </c>
      <c r="AE54" s="34">
        <v>5.75</v>
      </c>
      <c r="AF54" s="35">
        <v>0.25</v>
      </c>
      <c r="AG54" s="40" t="s">
        <v>258</v>
      </c>
      <c r="AH54" s="44">
        <v>0.5</v>
      </c>
      <c r="AI54" s="13"/>
      <c r="AJ54" s="46"/>
      <c r="AK54" s="45"/>
      <c r="AL54" s="23">
        <v>5.5</v>
      </c>
      <c r="AM54" s="138" t="s">
        <v>257</v>
      </c>
      <c r="AN54" s="25">
        <f>IF(ISBLANK(AE54),"",SUM(AE54:AF54,AH54:AL54))</f>
        <v>12</v>
      </c>
      <c r="AO54" s="50"/>
      <c r="AP54" s="53">
        <f t="shared" si="45"/>
        <v>295</v>
      </c>
      <c r="AQ54" s="53">
        <f t="shared" si="58"/>
        <v>390</v>
      </c>
      <c r="AR54" s="119"/>
      <c r="AS54" s="56">
        <f t="shared" si="19"/>
        <v>3905</v>
      </c>
      <c r="AT54" s="298">
        <v>3905</v>
      </c>
      <c r="AU54" s="298">
        <f t="shared" si="36"/>
        <v>3610</v>
      </c>
      <c r="AV54" s="357">
        <f t="shared" si="40"/>
        <v>7.5544174135723438E-2</v>
      </c>
      <c r="AW54" s="18">
        <f>SUM($AS$8:AS54)</f>
        <v>267534.35999999993</v>
      </c>
      <c r="AX54" s="18">
        <f>IF(AS54=0,"",SUMIFS($AS$8:AS54, $BH$8:BH54, BH54))</f>
        <v>267534.35999999993</v>
      </c>
      <c r="AY54" s="57">
        <f t="shared" ca="1" si="46"/>
        <v>278.92857142857144</v>
      </c>
      <c r="AZ54" s="15" t="str">
        <f t="shared" ca="1" si="47"/>
        <v>LINK</v>
      </c>
      <c r="BB54" s="14" t="s">
        <v>211</v>
      </c>
      <c r="BC54" t="str">
        <f t="shared" si="48"/>
        <v>25</v>
      </c>
      <c r="BD54" t="str">
        <f t="shared" si="14"/>
        <v>07</v>
      </c>
      <c r="BE54" s="98">
        <f t="shared" si="15"/>
        <v>30</v>
      </c>
      <c r="BF54" t="str">
        <f t="shared" si="49"/>
        <v>D</v>
      </c>
      <c r="BG54" t="str">
        <f t="shared" si="53"/>
        <v>https://www.coreplan.io/app/ddh1-drilling/speewah-mining-speewah-fluorite-project-wa/plods/1663-250730D</v>
      </c>
      <c r="BH54" t="str">
        <f t="shared" si="50"/>
        <v>2025-07</v>
      </c>
    </row>
    <row r="55" spans="1:60">
      <c r="A55" s="510" t="str">
        <f>VLOOKUP(F55,'Tenement Lookup'!A:BH,60,FALSE)</f>
        <v>M 80/269</v>
      </c>
      <c r="B55" t="str">
        <f>VLOOKUP(F55,Purpose!$A$2:$B$334,2,FALSE)</f>
        <v>Geotech</v>
      </c>
      <c r="C55" s="152" t="s">
        <v>9</v>
      </c>
      <c r="D55" s="1">
        <f t="shared" si="38"/>
        <v>45867.71</v>
      </c>
      <c r="E55" t="s">
        <v>172</v>
      </c>
      <c r="F55" s="7" t="s">
        <v>182</v>
      </c>
      <c r="H55" s="4" t="s">
        <v>216</v>
      </c>
      <c r="I55" s="4">
        <v>3</v>
      </c>
      <c r="J55" s="5">
        <f t="shared" ref="J55" si="60">IF(ISBLANK(I55),"",I55*$J$2)</f>
        <v>390</v>
      </c>
      <c r="K55" s="21"/>
      <c r="L55" s="28"/>
      <c r="M55" s="28">
        <f t="shared" si="56"/>
        <v>0</v>
      </c>
      <c r="N55" s="30">
        <v>92.7</v>
      </c>
      <c r="O55" s="26">
        <v>107.7</v>
      </c>
      <c r="P55" s="31">
        <f t="shared" si="41"/>
        <v>15</v>
      </c>
      <c r="Q55" s="21"/>
      <c r="R55" s="28"/>
      <c r="S55" s="22">
        <f t="shared" si="42"/>
        <v>0</v>
      </c>
      <c r="T55" s="26"/>
      <c r="U55" s="26"/>
      <c r="V55" s="31">
        <f t="shared" si="43"/>
        <v>0</v>
      </c>
      <c r="W55" s="26">
        <f t="shared" si="52"/>
        <v>15</v>
      </c>
      <c r="X55" s="36">
        <f t="shared" si="26"/>
        <v>2025</v>
      </c>
      <c r="Y55" s="37">
        <f t="shared" si="57"/>
        <v>3680</v>
      </c>
      <c r="Z55" s="38"/>
      <c r="AA55" s="38"/>
      <c r="AB55" s="38"/>
      <c r="AC55" s="38"/>
      <c r="AD55" s="157">
        <f t="shared" si="39"/>
        <v>0</v>
      </c>
      <c r="AE55" s="34">
        <v>8</v>
      </c>
      <c r="AF55" s="35">
        <v>0.5</v>
      </c>
      <c r="AG55" s="40" t="s">
        <v>258</v>
      </c>
      <c r="AH55" s="44">
        <v>0.5</v>
      </c>
      <c r="AI55" s="13"/>
      <c r="AJ55" s="46"/>
      <c r="AK55" s="45"/>
      <c r="AL55" s="23">
        <v>3</v>
      </c>
      <c r="AM55" s="138" t="s">
        <v>257</v>
      </c>
      <c r="AN55" s="25">
        <f t="shared" si="54"/>
        <v>12</v>
      </c>
      <c r="AO55" s="50"/>
      <c r="AP55" s="53">
        <f>(AF55*$AF$2)+(AH55*$AH$2)+(AI55*$AI$2)</f>
        <v>410</v>
      </c>
      <c r="AQ55" s="53">
        <f t="shared" si="58"/>
        <v>527.5</v>
      </c>
      <c r="AR55" s="119">
        <v>137.5</v>
      </c>
      <c r="AS55" s="56">
        <f t="shared" si="19"/>
        <v>4617.5</v>
      </c>
      <c r="AT55" s="298">
        <v>4617.5</v>
      </c>
      <c r="AU55" s="298">
        <f t="shared" si="36"/>
        <v>4207.5</v>
      </c>
      <c r="AV55" s="357">
        <f t="shared" si="40"/>
        <v>8.8792636708175415E-2</v>
      </c>
      <c r="AW55" s="18">
        <f>SUM($AS$8:AS55)</f>
        <v>272151.85999999993</v>
      </c>
      <c r="AX55" s="18">
        <f>IF(AS55=0,"",SUMIFS($AS$8:AS55, $BH$8:BH55, BH55))</f>
        <v>272151.85999999993</v>
      </c>
      <c r="AY55" s="57">
        <f t="shared" ca="1" si="46"/>
        <v>307.83333333333331</v>
      </c>
      <c r="AZ55" s="15" t="str">
        <f t="shared" ca="1" si="47"/>
        <v>LINK</v>
      </c>
      <c r="BA55" s="141" t="s">
        <v>259</v>
      </c>
      <c r="BB55" s="14" t="s">
        <v>211</v>
      </c>
      <c r="BC55" t="str">
        <f t="shared" si="48"/>
        <v>25</v>
      </c>
      <c r="BD55" t="str">
        <f t="shared" si="14"/>
        <v>07</v>
      </c>
      <c r="BE55" s="98">
        <f t="shared" si="15"/>
        <v>30</v>
      </c>
      <c r="BF55" t="str">
        <f t="shared" si="49"/>
        <v>N</v>
      </c>
      <c r="BG55" t="str">
        <f t="shared" si="53"/>
        <v>https://www.coreplan.io/app/ddh1-drilling/speewah-mining-speewah-fluorite-project-wa/plods/1663-250730N</v>
      </c>
      <c r="BH55" t="str">
        <f t="shared" si="50"/>
        <v>2025-07</v>
      </c>
    </row>
    <row r="56" spans="1:60">
      <c r="A56" s="510" t="str">
        <f>VLOOKUP(F56,'Tenement Lookup'!A:BH,60,FALSE)</f>
        <v>M 80/269</v>
      </c>
      <c r="B56" t="str">
        <f>VLOOKUP(F56,Purpose!$A$2:$B$334,2,FALSE)</f>
        <v>Geotech</v>
      </c>
      <c r="C56" s="152" t="s">
        <v>9</v>
      </c>
      <c r="D56" s="1">
        <f t="shared" si="38"/>
        <v>45868.21</v>
      </c>
      <c r="E56" t="s">
        <v>171</v>
      </c>
      <c r="F56" s="7" t="s">
        <v>182</v>
      </c>
      <c r="H56" s="4" t="s">
        <v>215</v>
      </c>
      <c r="I56" s="4">
        <v>3</v>
      </c>
      <c r="J56" s="5">
        <f t="shared" ref="J56:J57" si="61">IF(ISBLANK(I56),"",I56*$J$2)</f>
        <v>390</v>
      </c>
      <c r="K56" s="21"/>
      <c r="L56" s="28"/>
      <c r="M56" s="28">
        <f t="shared" si="56"/>
        <v>0</v>
      </c>
      <c r="N56" s="30">
        <v>107.7</v>
      </c>
      <c r="O56" s="26">
        <v>130</v>
      </c>
      <c r="P56" s="31">
        <f t="shared" si="41"/>
        <v>22.299999999999997</v>
      </c>
      <c r="Q56" s="21"/>
      <c r="R56" s="28"/>
      <c r="S56" s="22">
        <f t="shared" si="42"/>
        <v>0</v>
      </c>
      <c r="T56" s="26"/>
      <c r="U56" s="26"/>
      <c r="V56" s="31">
        <f t="shared" si="43"/>
        <v>0</v>
      </c>
      <c r="W56" s="26">
        <f t="shared" si="52"/>
        <v>22.299999999999997</v>
      </c>
      <c r="X56" s="36">
        <f t="shared" si="26"/>
        <v>3010.4999999999995</v>
      </c>
      <c r="Y56" s="37">
        <f>IF(F56&lt;&gt;"",IF(X56&lt;(AE56*$AE$2),(AE56*$AE$2),X56),"")</f>
        <v>4370</v>
      </c>
      <c r="Z56" s="38"/>
      <c r="AA56" s="38">
        <v>1</v>
      </c>
      <c r="AB56" s="38">
        <v>1</v>
      </c>
      <c r="AC56" s="38">
        <v>13170</v>
      </c>
      <c r="AD56" s="157">
        <f t="shared" si="39"/>
        <v>575</v>
      </c>
      <c r="AE56" s="34">
        <v>9.5</v>
      </c>
      <c r="AF56" s="35">
        <v>1.5</v>
      </c>
      <c r="AG56" s="40"/>
      <c r="AH56" s="44">
        <v>1</v>
      </c>
      <c r="AI56" s="13"/>
      <c r="AJ56" s="46"/>
      <c r="AK56" s="45"/>
      <c r="AL56" s="23"/>
      <c r="AM56" s="138"/>
      <c r="AN56" s="25">
        <f t="shared" si="54"/>
        <v>12</v>
      </c>
      <c r="AO56" s="50"/>
      <c r="AP56" s="53">
        <f t="shared" si="45"/>
        <v>1050</v>
      </c>
      <c r="AQ56" s="53">
        <f t="shared" si="58"/>
        <v>390</v>
      </c>
      <c r="AR56" s="119"/>
      <c r="AS56" s="56">
        <f t="shared" si="19"/>
        <v>6385</v>
      </c>
      <c r="AT56" s="298">
        <v>6385</v>
      </c>
      <c r="AU56" s="298">
        <f t="shared" si="36"/>
        <v>5335</v>
      </c>
      <c r="AV56" s="357">
        <f t="shared" si="40"/>
        <v>0.1644479248238058</v>
      </c>
      <c r="AW56" s="18">
        <f>SUM($AS$8:AS56)</f>
        <v>278536.85999999993</v>
      </c>
      <c r="AX56" s="18">
        <f>IF(AS56=0,"",SUMIFS($AS$8:AS56, $BH$8:BH56, BH56))</f>
        <v>278536.85999999993</v>
      </c>
      <c r="AY56" s="57">
        <f t="shared" ca="1" si="46"/>
        <v>286.32286995515699</v>
      </c>
      <c r="AZ56" s="15" t="str">
        <f t="shared" ca="1" si="47"/>
        <v>LINK</v>
      </c>
      <c r="BB56" s="14" t="s">
        <v>211</v>
      </c>
      <c r="BC56" t="str">
        <f t="shared" si="48"/>
        <v>25</v>
      </c>
      <c r="BD56" t="str">
        <f t="shared" si="14"/>
        <v>07</v>
      </c>
      <c r="BE56" s="98">
        <f t="shared" si="15"/>
        <v>31</v>
      </c>
      <c r="BF56" t="str">
        <f t="shared" si="49"/>
        <v>D</v>
      </c>
      <c r="BG56" t="str">
        <f t="shared" si="53"/>
        <v>https://www.coreplan.io/app/ddh1-drilling/speewah-mining-speewah-fluorite-project-wa/plods/1663-250731D</v>
      </c>
      <c r="BH56" t="str">
        <f t="shared" si="50"/>
        <v>2025-07</v>
      </c>
    </row>
    <row r="57" spans="1:60">
      <c r="A57" s="510" t="str">
        <f>VLOOKUP(F57,'Tenement Lookup'!A:BH,60,FALSE)</f>
        <v>M 80/269</v>
      </c>
      <c r="B57" t="str">
        <f>VLOOKUP(F57,Purpose!$A$2:$B$334,2,FALSE)</f>
        <v>Geotech</v>
      </c>
      <c r="C57" s="152" t="s">
        <v>9</v>
      </c>
      <c r="D57" s="1">
        <f t="shared" si="38"/>
        <v>45868.71</v>
      </c>
      <c r="E57" t="s">
        <v>172</v>
      </c>
      <c r="F57" s="7" t="s">
        <v>182</v>
      </c>
      <c r="G57" t="s">
        <v>183</v>
      </c>
      <c r="H57" s="4" t="s">
        <v>216</v>
      </c>
      <c r="I57" s="4">
        <v>3</v>
      </c>
      <c r="J57" s="5">
        <f t="shared" si="61"/>
        <v>390</v>
      </c>
      <c r="K57" s="21"/>
      <c r="L57" s="28"/>
      <c r="M57" s="28">
        <f t="shared" si="56"/>
        <v>0</v>
      </c>
      <c r="N57" s="30">
        <v>0</v>
      </c>
      <c r="O57" s="26">
        <v>1.7</v>
      </c>
      <c r="P57" s="31">
        <f t="shared" si="41"/>
        <v>1.7</v>
      </c>
      <c r="Q57" s="21"/>
      <c r="R57" s="28"/>
      <c r="S57" s="22">
        <f t="shared" si="42"/>
        <v>0</v>
      </c>
      <c r="T57" s="26"/>
      <c r="U57" s="26"/>
      <c r="V57" s="31">
        <f t="shared" si="43"/>
        <v>0</v>
      </c>
      <c r="W57" s="26">
        <f t="shared" si="52"/>
        <v>1.7</v>
      </c>
      <c r="X57" s="36">
        <f t="shared" si="26"/>
        <v>229.5</v>
      </c>
      <c r="Y57" s="37">
        <f t="shared" si="57"/>
        <v>345</v>
      </c>
      <c r="Z57" s="38"/>
      <c r="AA57" s="38"/>
      <c r="AB57" s="38"/>
      <c r="AC57" s="38"/>
      <c r="AD57" s="157">
        <f t="shared" si="39"/>
        <v>0</v>
      </c>
      <c r="AE57" s="34">
        <v>0.75</v>
      </c>
      <c r="AF57" s="35">
        <v>6.5</v>
      </c>
      <c r="AG57" s="40"/>
      <c r="AH57" s="44">
        <v>4.75</v>
      </c>
      <c r="AI57" s="13"/>
      <c r="AJ57" s="46"/>
      <c r="AK57" s="45"/>
      <c r="AL57" s="23"/>
      <c r="AM57" s="138"/>
      <c r="AN57" s="25">
        <f t="shared" si="54"/>
        <v>12</v>
      </c>
      <c r="AO57" s="50"/>
      <c r="AP57" s="53">
        <f t="shared" si="45"/>
        <v>4700</v>
      </c>
      <c r="AQ57" s="53">
        <f t="shared" si="58"/>
        <v>390</v>
      </c>
      <c r="AR57" s="119"/>
      <c r="AS57" s="56">
        <f t="shared" si="19"/>
        <v>5435</v>
      </c>
      <c r="AT57" s="298">
        <v>5435</v>
      </c>
      <c r="AU57" s="298">
        <f t="shared" si="36"/>
        <v>735</v>
      </c>
      <c r="AV57" s="357">
        <f t="shared" si="40"/>
        <v>0.86476540938362467</v>
      </c>
      <c r="AW57" s="18">
        <f>SUM($AS$8:AS57)</f>
        <v>283971.85999999993</v>
      </c>
      <c r="AX57" s="18">
        <f>IF(AS57=0,"",SUMIFS($AS$8:AS57, $BH$8:BH57, BH57))</f>
        <v>283971.85999999993</v>
      </c>
      <c r="AY57" s="57"/>
      <c r="AZ57" s="15" t="str">
        <f t="shared" ca="1" si="47"/>
        <v>LINK</v>
      </c>
      <c r="BB57" s="14" t="s">
        <v>211</v>
      </c>
      <c r="BC57" t="str">
        <f t="shared" si="48"/>
        <v>25</v>
      </c>
      <c r="BD57" t="str">
        <f t="shared" si="14"/>
        <v>07</v>
      </c>
      <c r="BE57" s="98">
        <f t="shared" si="15"/>
        <v>31</v>
      </c>
      <c r="BF57" t="str">
        <f t="shared" si="49"/>
        <v>N</v>
      </c>
      <c r="BG57" t="str">
        <f t="shared" si="53"/>
        <v>https://www.coreplan.io/app/ddh1-drilling/speewah-mining-speewah-fluorite-project-wa/plods/1663-250731N</v>
      </c>
      <c r="BH57" t="str">
        <f t="shared" si="50"/>
        <v>2025-07</v>
      </c>
    </row>
    <row r="58" spans="1:60">
      <c r="A58" s="510" t="str">
        <f>VLOOKUP(F58,'Tenement Lookup'!A:BH,60,FALSE)</f>
        <v>E 80/2863-I</v>
      </c>
      <c r="B58" t="str">
        <f>VLOOKUP(F58,Purpose!$A$2:$B$334,2,FALSE)</f>
        <v>Geotech</v>
      </c>
      <c r="C58" s="152" t="s">
        <v>9</v>
      </c>
      <c r="D58" s="1">
        <f t="shared" si="38"/>
        <v>45869.21</v>
      </c>
      <c r="E58" t="s">
        <v>171</v>
      </c>
      <c r="F58" s="7" t="s">
        <v>180</v>
      </c>
      <c r="H58" s="4" t="s">
        <v>215</v>
      </c>
      <c r="I58" s="4">
        <v>3</v>
      </c>
      <c r="J58" s="5">
        <f t="shared" si="20"/>
        <v>390</v>
      </c>
      <c r="K58" s="21">
        <v>0</v>
      </c>
      <c r="L58" s="28">
        <v>6.4</v>
      </c>
      <c r="M58" s="28">
        <f t="shared" si="56"/>
        <v>6.4</v>
      </c>
      <c r="N58" s="30"/>
      <c r="O58" s="26"/>
      <c r="P58" s="31">
        <f t="shared" si="41"/>
        <v>0</v>
      </c>
      <c r="Q58" s="21"/>
      <c r="R58" s="28"/>
      <c r="S58" s="22">
        <f t="shared" si="42"/>
        <v>0</v>
      </c>
      <c r="T58" s="26"/>
      <c r="U58" s="26"/>
      <c r="V58" s="31">
        <f t="shared" si="43"/>
        <v>0</v>
      </c>
      <c r="W58" s="26">
        <f t="shared" si="52"/>
        <v>6.4</v>
      </c>
      <c r="X58" s="36">
        <f t="shared" si="26"/>
        <v>1120</v>
      </c>
      <c r="Y58" s="37">
        <f t="shared" si="57"/>
        <v>1840</v>
      </c>
      <c r="Z58" s="38"/>
      <c r="AA58" s="38">
        <v>1</v>
      </c>
      <c r="AB58" s="38">
        <v>1</v>
      </c>
      <c r="AC58" s="38">
        <v>13170</v>
      </c>
      <c r="AD58" s="157">
        <f t="shared" si="39"/>
        <v>575</v>
      </c>
      <c r="AE58" s="34">
        <v>4</v>
      </c>
      <c r="AF58" s="35">
        <v>4.5</v>
      </c>
      <c r="AG58" s="40" t="s">
        <v>260</v>
      </c>
      <c r="AH58" s="44">
        <v>3.5</v>
      </c>
      <c r="AI58" s="13"/>
      <c r="AJ58" s="46"/>
      <c r="AK58" s="45"/>
      <c r="AL58" s="23"/>
      <c r="AM58" s="138"/>
      <c r="AN58" s="25">
        <f t="shared" si="54"/>
        <v>12</v>
      </c>
      <c r="AO58" s="50"/>
      <c r="AP58" s="53">
        <f t="shared" si="45"/>
        <v>3330</v>
      </c>
      <c r="AQ58" s="53">
        <f t="shared" si="58"/>
        <v>390</v>
      </c>
      <c r="AR58" s="119"/>
      <c r="AS58" s="56">
        <f t="shared" si="19"/>
        <v>6135</v>
      </c>
      <c r="AT58" s="298">
        <v>6135</v>
      </c>
      <c r="AU58" s="298">
        <f t="shared" si="36"/>
        <v>2805</v>
      </c>
      <c r="AV58" s="357">
        <f t="shared" si="40"/>
        <v>0.54278728606356963</v>
      </c>
      <c r="AW58" s="18">
        <f>SUM($AS$8:AS58)</f>
        <v>290106.85999999993</v>
      </c>
      <c r="AX58" s="18">
        <f>IF(AS58=0,"",SUMIFS($AS$8:AS58, $BH$8:BH58, BH58))</f>
        <v>290106.85999999993</v>
      </c>
      <c r="AY58" s="57">
        <f t="shared" ref="AY58:AY81" ca="1" si="62">IF(AND(D58&gt;TODAY(),ISBLANK(H58)),"",IF(ISBLANK(AE58),"no drilling completed",AS58/(W58)))</f>
        <v>958.59375</v>
      </c>
      <c r="AZ58" s="15" t="str">
        <f t="shared" ca="1" si="47"/>
        <v>LINK</v>
      </c>
      <c r="BB58" s="14" t="s">
        <v>211</v>
      </c>
      <c r="BC58" t="str">
        <f t="shared" si="48"/>
        <v>25</v>
      </c>
      <c r="BD58" t="str">
        <f t="shared" si="14"/>
        <v>08</v>
      </c>
      <c r="BE58" s="98" t="str">
        <f t="shared" si="15"/>
        <v>01</v>
      </c>
      <c r="BF58" t="str">
        <f t="shared" si="49"/>
        <v>D</v>
      </c>
      <c r="BG58" t="str">
        <f t="shared" si="53"/>
        <v>https://www.coreplan.io/app/ddh1-drilling/speewah-mining-speewah-fluorite-project-wa/plods/1663-250801D</v>
      </c>
      <c r="BH58" t="str">
        <f t="shared" si="50"/>
        <v>2025-07</v>
      </c>
    </row>
    <row r="59" spans="1:60">
      <c r="A59" s="510" t="str">
        <f>VLOOKUP(F59,'Tenement Lookup'!A:BH,60,FALSE)</f>
        <v>M 80/269</v>
      </c>
      <c r="B59" t="str">
        <f>VLOOKUP(F59,Purpose!$A$2:$B$334,2,FALSE)</f>
        <v>Met</v>
      </c>
      <c r="C59" s="152" t="s">
        <v>11</v>
      </c>
      <c r="D59" s="1">
        <f t="shared" si="38"/>
        <v>45869.71</v>
      </c>
      <c r="E59" t="s">
        <v>172</v>
      </c>
      <c r="F59" s="7" t="s">
        <v>184</v>
      </c>
      <c r="H59" s="4" t="s">
        <v>216</v>
      </c>
      <c r="I59" s="4">
        <v>3</v>
      </c>
      <c r="J59" s="5">
        <f t="shared" si="20"/>
        <v>390</v>
      </c>
      <c r="K59" s="21">
        <v>1.2</v>
      </c>
      <c r="L59" s="28">
        <v>15.5</v>
      </c>
      <c r="M59" s="28">
        <f t="shared" si="56"/>
        <v>14.3</v>
      </c>
      <c r="N59" s="30"/>
      <c r="O59" s="26"/>
      <c r="P59" s="31">
        <f t="shared" si="41"/>
        <v>0</v>
      </c>
      <c r="Q59" s="21"/>
      <c r="R59" s="28"/>
      <c r="S59" s="22">
        <f t="shared" si="42"/>
        <v>0</v>
      </c>
      <c r="T59" s="26"/>
      <c r="U59" s="26"/>
      <c r="V59" s="31">
        <f t="shared" si="43"/>
        <v>0</v>
      </c>
      <c r="W59" s="26">
        <f t="shared" ref="W59:W83" si="63">IFERROR(M59+P59+S59+V59,"")</f>
        <v>14.3</v>
      </c>
      <c r="X59" s="36">
        <f t="shared" si="26"/>
        <v>2502.5</v>
      </c>
      <c r="Y59" s="37">
        <f t="shared" si="44"/>
        <v>4255</v>
      </c>
      <c r="Z59" s="38"/>
      <c r="AA59" s="38"/>
      <c r="AB59" s="38"/>
      <c r="AC59" s="38"/>
      <c r="AD59" s="157">
        <f t="shared" si="39"/>
        <v>0</v>
      </c>
      <c r="AE59" s="34">
        <v>9.25</v>
      </c>
      <c r="AF59" s="35">
        <v>2.25</v>
      </c>
      <c r="AG59" s="40"/>
      <c r="AH59" s="44">
        <v>0.5</v>
      </c>
      <c r="AI59" s="13"/>
      <c r="AJ59" s="46"/>
      <c r="AK59" s="45"/>
      <c r="AL59" s="23"/>
      <c r="AM59" s="138"/>
      <c r="AN59" s="25">
        <f t="shared" si="54"/>
        <v>12</v>
      </c>
      <c r="AO59" s="50"/>
      <c r="AP59" s="53">
        <f t="shared" si="45"/>
        <v>1215</v>
      </c>
      <c r="AQ59" s="53">
        <f>14376.12</f>
        <v>14376.12</v>
      </c>
      <c r="AR59" s="119">
        <f>AQ59-J59</f>
        <v>13986.12</v>
      </c>
      <c r="AS59" s="56">
        <f t="shared" si="19"/>
        <v>19846.120000000003</v>
      </c>
      <c r="AT59" s="298">
        <v>19846.12</v>
      </c>
      <c r="AU59" s="298">
        <f t="shared" si="36"/>
        <v>18631.120000000003</v>
      </c>
      <c r="AV59" s="357">
        <f t="shared" si="40"/>
        <v>6.1221034640524183E-2</v>
      </c>
      <c r="AW59" s="18">
        <f>SUM($AS$8:AS59)</f>
        <v>309952.97999999992</v>
      </c>
      <c r="AX59" s="18">
        <f>IF(AS59=0,"",SUMIFS($AS$8:AS59, $BH$8:BH59, BH59))</f>
        <v>309952.97999999992</v>
      </c>
      <c r="AY59" s="57">
        <f t="shared" ca="1" si="62"/>
        <v>1387.8405594405594</v>
      </c>
      <c r="AZ59" s="15" t="str">
        <f t="shared" ca="1" si="47"/>
        <v>LINK</v>
      </c>
      <c r="BB59" s="14" t="s">
        <v>211</v>
      </c>
      <c r="BC59" t="str">
        <f t="shared" si="48"/>
        <v>25</v>
      </c>
      <c r="BD59" t="str">
        <f t="shared" si="14"/>
        <v>08</v>
      </c>
      <c r="BE59" s="98" t="str">
        <f t="shared" si="15"/>
        <v>01</v>
      </c>
      <c r="BF59" t="str">
        <f t="shared" si="49"/>
        <v>N</v>
      </c>
      <c r="BG59" t="str">
        <f t="shared" si="53"/>
        <v>https://www.coreplan.io/app/ddh1-drilling/speewah-mining-speewah-fluorite-project-wa/plods/1663-250801N</v>
      </c>
      <c r="BH59" t="str">
        <f t="shared" si="50"/>
        <v>2025-07</v>
      </c>
    </row>
    <row r="60" spans="1:60">
      <c r="A60" s="510" t="str">
        <f>VLOOKUP(F60,'Tenement Lookup'!A:BH,60,FALSE)</f>
        <v>M 80/269</v>
      </c>
      <c r="B60" t="str">
        <f>VLOOKUP(F60,Purpose!$A$2:$B$334,2,FALSE)</f>
        <v>Met</v>
      </c>
      <c r="C60" s="152" t="s">
        <v>11</v>
      </c>
      <c r="D60" s="1">
        <f t="shared" si="38"/>
        <v>45870.21</v>
      </c>
      <c r="E60" t="s">
        <v>171</v>
      </c>
      <c r="F60" s="7" t="s">
        <v>184</v>
      </c>
      <c r="H60" s="4" t="s">
        <v>215</v>
      </c>
      <c r="I60" s="4">
        <v>3</v>
      </c>
      <c r="J60" s="5">
        <f t="shared" ref="J60:J123" si="64">IF(ISBLANK(I60),"",I60*$J$2)</f>
        <v>390</v>
      </c>
      <c r="K60" s="21">
        <v>15.5</v>
      </c>
      <c r="L60" s="28">
        <v>45.5</v>
      </c>
      <c r="M60" s="28">
        <f t="shared" si="56"/>
        <v>30</v>
      </c>
      <c r="N60" s="30"/>
      <c r="O60" s="26"/>
      <c r="P60" s="31">
        <f t="shared" si="41"/>
        <v>0</v>
      </c>
      <c r="Q60" s="21"/>
      <c r="R60" s="28"/>
      <c r="S60" s="22">
        <f t="shared" si="42"/>
        <v>0</v>
      </c>
      <c r="T60" s="26"/>
      <c r="U60" s="26"/>
      <c r="V60" s="31">
        <f t="shared" si="43"/>
        <v>0</v>
      </c>
      <c r="W60" s="26">
        <f t="shared" si="63"/>
        <v>30</v>
      </c>
      <c r="X60" s="36">
        <f t="shared" ref="X60:X123" si="65">IFERROR((M60*$M$2)+(P60*$P$2)+(S60*$S$2)+(V60*$V$2),"")</f>
        <v>5250</v>
      </c>
      <c r="Y60" s="37">
        <f t="shared" si="44"/>
        <v>5250</v>
      </c>
      <c r="Z60" s="38">
        <v>1</v>
      </c>
      <c r="AA60" s="38">
        <v>1</v>
      </c>
      <c r="AB60" s="38">
        <v>1</v>
      </c>
      <c r="AC60" s="38">
        <v>13170</v>
      </c>
      <c r="AD60" s="157">
        <f t="shared" si="39"/>
        <v>750</v>
      </c>
      <c r="AE60" s="34">
        <v>11</v>
      </c>
      <c r="AF60" s="35">
        <v>0.5</v>
      </c>
      <c r="AG60" s="40"/>
      <c r="AH60" s="44">
        <v>0.5</v>
      </c>
      <c r="AI60" s="13"/>
      <c r="AJ60" s="46"/>
      <c r="AK60" s="45"/>
      <c r="AL60" s="23"/>
      <c r="AM60" s="138"/>
      <c r="AN60" s="25">
        <f t="shared" si="54"/>
        <v>12</v>
      </c>
      <c r="AO60" s="50"/>
      <c r="AP60" s="53">
        <f t="shared" si="45"/>
        <v>410</v>
      </c>
      <c r="AQ60" s="53">
        <f>AR60+J60</f>
        <v>390</v>
      </c>
      <c r="AR60" s="119"/>
      <c r="AS60" s="56">
        <f t="shared" si="19"/>
        <v>6800</v>
      </c>
      <c r="AT60" s="298">
        <v>6800</v>
      </c>
      <c r="AU60" s="298">
        <f t="shared" si="36"/>
        <v>6390</v>
      </c>
      <c r="AV60" s="357">
        <f t="shared" si="40"/>
        <v>6.0294117647058824E-2</v>
      </c>
      <c r="AW60" s="18">
        <f>SUM($AS$8:AS60)</f>
        <v>316752.97999999992</v>
      </c>
      <c r="AX60" s="18">
        <f>IF(AS60=0,"",SUMIFS($AS$8:AS60, $BH$8:BH60, BH60))</f>
        <v>6800</v>
      </c>
      <c r="AY60" s="57">
        <f t="shared" ca="1" si="62"/>
        <v>226.66666666666666</v>
      </c>
      <c r="AZ60" s="15" t="str">
        <f t="shared" ca="1" si="47"/>
        <v>LINK</v>
      </c>
      <c r="BA60" s="10" t="s">
        <v>261</v>
      </c>
      <c r="BB60" s="14" t="s">
        <v>211</v>
      </c>
      <c r="BC60" t="str">
        <f t="shared" si="48"/>
        <v>25</v>
      </c>
      <c r="BD60" t="str">
        <f t="shared" si="14"/>
        <v>08</v>
      </c>
      <c r="BE60" s="98" t="str">
        <f t="shared" si="15"/>
        <v>02</v>
      </c>
      <c r="BF60" t="str">
        <f t="shared" si="49"/>
        <v>D</v>
      </c>
      <c r="BG60" t="str">
        <f t="shared" si="53"/>
        <v>https://www.coreplan.io/app/ddh1-drilling/speewah-mining-speewah-fluorite-project-wa/plods/1663-250802D</v>
      </c>
      <c r="BH60" t="str">
        <f t="shared" si="50"/>
        <v>2025-08</v>
      </c>
    </row>
    <row r="61" spans="1:60">
      <c r="A61" s="510" t="str">
        <f>VLOOKUP(F61,'Tenement Lookup'!A:BH,60,FALSE)</f>
        <v>M 80/269</v>
      </c>
      <c r="B61" t="str">
        <f>VLOOKUP(F61,Purpose!$A$2:$B$334,2,FALSE)</f>
        <v>Met</v>
      </c>
      <c r="C61" s="152" t="str">
        <f t="shared" ref="C61" si="66">IFERROR(IF(FIND("MET",F61),"MET",IF(FIND("GT",F61),"GT",)),"")</f>
        <v>MET</v>
      </c>
      <c r="D61" s="1">
        <f t="shared" si="38"/>
        <v>45870.71</v>
      </c>
      <c r="E61" t="s">
        <v>172</v>
      </c>
      <c r="F61" s="7" t="s">
        <v>184</v>
      </c>
      <c r="H61" s="4" t="s">
        <v>216</v>
      </c>
      <c r="I61" s="4">
        <v>3</v>
      </c>
      <c r="J61" s="5">
        <f t="shared" si="64"/>
        <v>390</v>
      </c>
      <c r="K61" s="21">
        <v>45.5</v>
      </c>
      <c r="L61" s="28">
        <v>50</v>
      </c>
      <c r="M61" s="28">
        <f t="shared" si="56"/>
        <v>4.5</v>
      </c>
      <c r="N61" s="30"/>
      <c r="O61" s="26"/>
      <c r="P61" s="31">
        <f t="shared" si="41"/>
        <v>0</v>
      </c>
      <c r="Q61" s="21"/>
      <c r="R61" s="28"/>
      <c r="S61" s="22">
        <f t="shared" si="42"/>
        <v>0</v>
      </c>
      <c r="T61" s="26"/>
      <c r="U61" s="26"/>
      <c r="V61" s="31">
        <f t="shared" si="43"/>
        <v>0</v>
      </c>
      <c r="W61" s="26">
        <f t="shared" si="63"/>
        <v>4.5</v>
      </c>
      <c r="X61" s="36">
        <f t="shared" si="65"/>
        <v>787.5</v>
      </c>
      <c r="Y61" s="37">
        <f t="shared" si="44"/>
        <v>920</v>
      </c>
      <c r="Z61" s="38"/>
      <c r="AA61" s="38"/>
      <c r="AB61" s="38"/>
      <c r="AC61" s="38"/>
      <c r="AD61" s="157">
        <f t="shared" si="39"/>
        <v>0</v>
      </c>
      <c r="AE61" s="34">
        <v>2</v>
      </c>
      <c r="AF61" s="35">
        <v>9.5</v>
      </c>
      <c r="AG61" s="40"/>
      <c r="AH61" s="44">
        <v>0.5</v>
      </c>
      <c r="AI61" s="13"/>
      <c r="AJ61" s="46"/>
      <c r="AK61" s="45"/>
      <c r="AL61" s="23"/>
      <c r="AM61" s="138"/>
      <c r="AN61" s="25">
        <f t="shared" si="54"/>
        <v>12</v>
      </c>
      <c r="AO61" s="50"/>
      <c r="AP61" s="53">
        <f t="shared" si="45"/>
        <v>4550</v>
      </c>
      <c r="AQ61" s="53">
        <f>AR61+J61</f>
        <v>390</v>
      </c>
      <c r="AR61" s="119"/>
      <c r="AS61" s="56">
        <f t="shared" si="19"/>
        <v>5860</v>
      </c>
      <c r="AT61" s="298">
        <v>5860</v>
      </c>
      <c r="AU61" s="298">
        <f t="shared" si="36"/>
        <v>1310</v>
      </c>
      <c r="AV61" s="357">
        <f t="shared" si="40"/>
        <v>0.7764505119453925</v>
      </c>
      <c r="AW61" s="18">
        <f>SUM($AS$8:AS61)</f>
        <v>322612.97999999992</v>
      </c>
      <c r="AX61" s="18">
        <f>IF(AS61=0,"",SUMIFS($AS$8:AS61, $BH$8:BH61, BH61))</f>
        <v>12660</v>
      </c>
      <c r="AY61" s="57"/>
      <c r="AZ61" s="15" t="str">
        <f t="shared" ca="1" si="47"/>
        <v>LINK</v>
      </c>
      <c r="BA61" s="10" t="s">
        <v>262</v>
      </c>
      <c r="BB61" s="14" t="s">
        <v>211</v>
      </c>
      <c r="BC61" t="str">
        <f t="shared" si="48"/>
        <v>25</v>
      </c>
      <c r="BD61" t="str">
        <f t="shared" si="14"/>
        <v>08</v>
      </c>
      <c r="BE61" s="98" t="str">
        <f t="shared" si="15"/>
        <v>02</v>
      </c>
      <c r="BF61" t="str">
        <f t="shared" si="49"/>
        <v>N</v>
      </c>
      <c r="BG61" t="str">
        <f t="shared" si="53"/>
        <v>https://www.coreplan.io/app/ddh1-drilling/speewah-mining-speewah-fluorite-project-wa/plods/1663-250802N</v>
      </c>
      <c r="BH61" t="str">
        <f t="shared" si="50"/>
        <v>2025-08</v>
      </c>
    </row>
    <row r="62" spans="1:60">
      <c r="A62" s="510" t="str">
        <f>VLOOKUP(F62,'Tenement Lookup'!A:BH,60,FALSE)</f>
        <v>M 80/269</v>
      </c>
      <c r="B62" t="str">
        <f>VLOOKUP(F62,Purpose!$A$2:$B$334,2,FALSE)</f>
        <v>Geotech</v>
      </c>
      <c r="C62" s="152" t="s">
        <v>9</v>
      </c>
      <c r="D62" s="1">
        <f t="shared" si="38"/>
        <v>45871.21</v>
      </c>
      <c r="E62" t="s">
        <v>171</v>
      </c>
      <c r="F62" s="7" t="s">
        <v>185</v>
      </c>
      <c r="H62" s="4" t="s">
        <v>215</v>
      </c>
      <c r="I62" s="4">
        <v>3</v>
      </c>
      <c r="J62" s="5">
        <f t="shared" si="64"/>
        <v>390</v>
      </c>
      <c r="K62" s="21"/>
      <c r="L62" s="28"/>
      <c r="M62" s="28">
        <f>IF(ISBLANK(K62),0,L62-K62)</f>
        <v>0</v>
      </c>
      <c r="N62" s="30">
        <v>0</v>
      </c>
      <c r="O62" s="26">
        <v>15.7</v>
      </c>
      <c r="P62" s="31">
        <f t="shared" si="41"/>
        <v>15.7</v>
      </c>
      <c r="Q62" s="21"/>
      <c r="R62" s="28"/>
      <c r="S62" s="22">
        <f t="shared" si="42"/>
        <v>0</v>
      </c>
      <c r="T62" s="26"/>
      <c r="U62" s="26"/>
      <c r="V62" s="31">
        <f t="shared" si="43"/>
        <v>0</v>
      </c>
      <c r="W62" s="26">
        <f t="shared" si="63"/>
        <v>15.7</v>
      </c>
      <c r="X62" s="36">
        <f t="shared" si="65"/>
        <v>2119.5</v>
      </c>
      <c r="Y62" s="37">
        <f t="shared" si="44"/>
        <v>2990</v>
      </c>
      <c r="Z62" s="38">
        <v>1</v>
      </c>
      <c r="AA62" s="38">
        <v>1</v>
      </c>
      <c r="AB62" s="38">
        <v>1</v>
      </c>
      <c r="AC62" s="38">
        <v>13170</v>
      </c>
      <c r="AD62" s="157">
        <f t="shared" si="39"/>
        <v>750</v>
      </c>
      <c r="AE62" s="34">
        <v>6.5</v>
      </c>
      <c r="AF62" s="35">
        <v>2</v>
      </c>
      <c r="AG62" s="40" t="s">
        <v>263</v>
      </c>
      <c r="AH62" s="44">
        <v>1.5</v>
      </c>
      <c r="AI62" s="13">
        <v>2</v>
      </c>
      <c r="AJ62" s="46" t="s">
        <v>264</v>
      </c>
      <c r="AK62" s="45"/>
      <c r="AL62" s="23"/>
      <c r="AM62" s="138"/>
      <c r="AN62" s="25">
        <f t="shared" si="54"/>
        <v>12</v>
      </c>
      <c r="AO62" s="50"/>
      <c r="AP62" s="53">
        <f>(AF62*$AF$2)+(AH62*$AH$2)+(AI62*$AI$2)</f>
        <v>2180</v>
      </c>
      <c r="AQ62" s="53">
        <v>880.7</v>
      </c>
      <c r="AR62" s="119">
        <f t="shared" ref="AR62:AR68" si="67">AQ62-J62</f>
        <v>490.70000000000005</v>
      </c>
      <c r="AS62" s="56">
        <f t="shared" si="19"/>
        <v>6800.7</v>
      </c>
      <c r="AT62" s="298">
        <v>6800.7</v>
      </c>
      <c r="AU62" s="298">
        <f t="shared" si="36"/>
        <v>4620.7</v>
      </c>
      <c r="AV62" s="357">
        <f t="shared" si="40"/>
        <v>0.3205552369609011</v>
      </c>
      <c r="AW62" s="18">
        <f>SUM($AS$8:AS62)</f>
        <v>329413.67999999993</v>
      </c>
      <c r="AX62" s="18">
        <f>IF(AS62=0,"",SUMIFS($AS$8:AS62, $BH$8:BH62, BH62))</f>
        <v>19460.7</v>
      </c>
      <c r="AY62" s="57">
        <f t="shared" ca="1" si="62"/>
        <v>433.16560509554142</v>
      </c>
      <c r="AZ62" s="15" t="str">
        <f t="shared" ca="1" si="47"/>
        <v>LINK</v>
      </c>
      <c r="BB62" s="14" t="s">
        <v>211</v>
      </c>
      <c r="BC62" t="str">
        <f t="shared" si="48"/>
        <v>25</v>
      </c>
      <c r="BD62" t="str">
        <f t="shared" si="14"/>
        <v>08</v>
      </c>
      <c r="BE62" s="98" t="str">
        <f t="shared" si="15"/>
        <v>03</v>
      </c>
      <c r="BF62" t="str">
        <f t="shared" si="49"/>
        <v>D</v>
      </c>
      <c r="BG62" t="str">
        <f t="shared" si="53"/>
        <v>https://www.coreplan.io/app/ddh1-drilling/speewah-mining-speewah-fluorite-project-wa/plods/1663-250803D</v>
      </c>
      <c r="BH62" t="str">
        <f t="shared" si="50"/>
        <v>2025-08</v>
      </c>
    </row>
    <row r="63" spans="1:60">
      <c r="A63" s="510" t="str">
        <f>VLOOKUP(F63,'Tenement Lookup'!A:BH,60,FALSE)</f>
        <v>M 80/269</v>
      </c>
      <c r="B63" t="str">
        <f>VLOOKUP(F63,Purpose!$A$2:$B$334,2,FALSE)</f>
        <v>Geotech</v>
      </c>
      <c r="C63" s="152" t="s">
        <v>9</v>
      </c>
      <c r="D63" s="1">
        <f t="shared" si="38"/>
        <v>45871.71</v>
      </c>
      <c r="E63" t="s">
        <v>172</v>
      </c>
      <c r="F63" s="7" t="s">
        <v>185</v>
      </c>
      <c r="H63" s="4" t="s">
        <v>216</v>
      </c>
      <c r="I63" s="4">
        <v>3</v>
      </c>
      <c r="J63" s="5">
        <f t="shared" si="64"/>
        <v>390</v>
      </c>
      <c r="K63" s="21"/>
      <c r="L63" s="28"/>
      <c r="M63" s="28">
        <f t="shared" si="56"/>
        <v>0</v>
      </c>
      <c r="N63" s="30">
        <v>15.7</v>
      </c>
      <c r="O63" s="26">
        <v>45.7</v>
      </c>
      <c r="P63" s="31">
        <f t="shared" si="41"/>
        <v>30.000000000000004</v>
      </c>
      <c r="Q63" s="21"/>
      <c r="R63" s="28"/>
      <c r="S63" s="22">
        <f t="shared" si="42"/>
        <v>0</v>
      </c>
      <c r="T63" s="26"/>
      <c r="U63" s="26"/>
      <c r="V63" s="31">
        <f t="shared" si="43"/>
        <v>0</v>
      </c>
      <c r="W63" s="26">
        <f t="shared" si="63"/>
        <v>30.000000000000004</v>
      </c>
      <c r="X63" s="36">
        <f t="shared" si="65"/>
        <v>4050.0000000000005</v>
      </c>
      <c r="Y63" s="37">
        <f t="shared" si="44"/>
        <v>4945</v>
      </c>
      <c r="Z63" s="38"/>
      <c r="AA63" s="38"/>
      <c r="AB63" s="38"/>
      <c r="AC63" s="38"/>
      <c r="AD63" s="157">
        <f t="shared" si="39"/>
        <v>0</v>
      </c>
      <c r="AE63" s="34">
        <v>10.75</v>
      </c>
      <c r="AF63" s="35">
        <v>0.75</v>
      </c>
      <c r="AG63" s="40"/>
      <c r="AH63" s="44">
        <v>0.5</v>
      </c>
      <c r="AI63" s="13"/>
      <c r="AJ63" s="46"/>
      <c r="AK63" s="45"/>
      <c r="AL63" s="23"/>
      <c r="AM63" s="138"/>
      <c r="AN63" s="25">
        <f t="shared" si="54"/>
        <v>12</v>
      </c>
      <c r="AO63" s="50"/>
      <c r="AP63" s="53">
        <f t="shared" si="45"/>
        <v>525</v>
      </c>
      <c r="AQ63" s="53">
        <v>390</v>
      </c>
      <c r="AR63" s="119">
        <f t="shared" si="67"/>
        <v>0</v>
      </c>
      <c r="AS63" s="56">
        <f t="shared" si="19"/>
        <v>5860</v>
      </c>
      <c r="AT63" s="298">
        <v>5860</v>
      </c>
      <c r="AU63" s="298">
        <f t="shared" si="36"/>
        <v>5335</v>
      </c>
      <c r="AV63" s="357">
        <f t="shared" si="40"/>
        <v>8.9590443686006827E-2</v>
      </c>
      <c r="AW63" s="18">
        <f>SUM($AS$8:AS63)</f>
        <v>335273.67999999993</v>
      </c>
      <c r="AX63" s="18">
        <f>IF(AS63=0,"",SUMIFS($AS$8:AS63, $BH$8:BH63, BH63))</f>
        <v>25320.7</v>
      </c>
      <c r="AY63" s="57">
        <f t="shared" ca="1" si="62"/>
        <v>195.33333333333331</v>
      </c>
      <c r="AZ63" s="15" t="str">
        <f t="shared" ca="1" si="47"/>
        <v>LINK</v>
      </c>
      <c r="BB63" s="14" t="s">
        <v>211</v>
      </c>
      <c r="BC63" t="str">
        <f t="shared" si="48"/>
        <v>25</v>
      </c>
      <c r="BD63" t="str">
        <f t="shared" si="14"/>
        <v>08</v>
      </c>
      <c r="BE63" s="98" t="str">
        <f t="shared" si="15"/>
        <v>03</v>
      </c>
      <c r="BF63" t="str">
        <f t="shared" si="49"/>
        <v>N</v>
      </c>
      <c r="BG63" t="str">
        <f t="shared" si="53"/>
        <v>https://www.coreplan.io/app/ddh1-drilling/speewah-mining-speewah-fluorite-project-wa/plods/1663-250803N</v>
      </c>
      <c r="BH63" t="str">
        <f t="shared" si="50"/>
        <v>2025-08</v>
      </c>
    </row>
    <row r="64" spans="1:60">
      <c r="A64" s="510" t="str">
        <f>VLOOKUP(F64,'Tenement Lookup'!A:BH,60,FALSE)</f>
        <v>M 80/269</v>
      </c>
      <c r="B64" t="str">
        <f>VLOOKUP(F64,Purpose!$A$2:$B$334,2,FALSE)</f>
        <v>Geotech</v>
      </c>
      <c r="C64" s="152" t="s">
        <v>9</v>
      </c>
      <c r="D64" s="1">
        <f t="shared" si="38"/>
        <v>45872.21</v>
      </c>
      <c r="E64" t="s">
        <v>171</v>
      </c>
      <c r="F64" s="7" t="s">
        <v>185</v>
      </c>
      <c r="H64" s="4" t="s">
        <v>215</v>
      </c>
      <c r="I64" s="4">
        <v>3</v>
      </c>
      <c r="J64" s="5">
        <f t="shared" si="64"/>
        <v>390</v>
      </c>
      <c r="K64" s="21"/>
      <c r="L64" s="28"/>
      <c r="M64" s="28">
        <f t="shared" si="56"/>
        <v>0</v>
      </c>
      <c r="N64" s="30">
        <v>45.7</v>
      </c>
      <c r="O64" s="26">
        <v>75.5</v>
      </c>
      <c r="P64" s="31">
        <f t="shared" si="41"/>
        <v>29.799999999999997</v>
      </c>
      <c r="Q64" s="21"/>
      <c r="R64" s="28"/>
      <c r="S64" s="22">
        <f t="shared" si="42"/>
        <v>0</v>
      </c>
      <c r="T64" s="26"/>
      <c r="U64" s="26"/>
      <c r="V64" s="31">
        <f t="shared" si="43"/>
        <v>0</v>
      </c>
      <c r="W64" s="26">
        <f t="shared" si="63"/>
        <v>29.799999999999997</v>
      </c>
      <c r="X64" s="36">
        <f t="shared" si="65"/>
        <v>4022.9999999999995</v>
      </c>
      <c r="Y64" s="37">
        <f>IF(F64&lt;&gt;"",IF(X64&lt;(AE64*$AE$2),(AE64*$AE$2),X64),"")</f>
        <v>5060</v>
      </c>
      <c r="Z64" s="38">
        <v>1</v>
      </c>
      <c r="AA64" s="38">
        <v>1</v>
      </c>
      <c r="AB64" s="38">
        <v>1</v>
      </c>
      <c r="AC64" s="38">
        <v>13170</v>
      </c>
      <c r="AD64" s="157">
        <f t="shared" si="39"/>
        <v>750</v>
      </c>
      <c r="AE64" s="34">
        <v>11</v>
      </c>
      <c r="AF64" s="35">
        <v>0.5</v>
      </c>
      <c r="AG64" s="40"/>
      <c r="AH64" s="44">
        <v>0.5</v>
      </c>
      <c r="AI64" s="13"/>
      <c r="AJ64" s="46"/>
      <c r="AK64" s="45"/>
      <c r="AL64" s="23"/>
      <c r="AM64" s="138"/>
      <c r="AN64" s="25">
        <f t="shared" si="54"/>
        <v>12</v>
      </c>
      <c r="AO64" s="50"/>
      <c r="AP64" s="53">
        <f t="shared" si="45"/>
        <v>410</v>
      </c>
      <c r="AQ64" s="53">
        <v>390</v>
      </c>
      <c r="AR64" s="119">
        <f t="shared" si="67"/>
        <v>0</v>
      </c>
      <c r="AS64" s="56">
        <f t="shared" si="19"/>
        <v>6610</v>
      </c>
      <c r="AT64" s="298">
        <v>6610</v>
      </c>
      <c r="AU64" s="298">
        <f t="shared" si="36"/>
        <v>6200</v>
      </c>
      <c r="AV64" s="357">
        <f t="shared" si="40"/>
        <v>6.2027231467473527E-2</v>
      </c>
      <c r="AW64" s="18">
        <f>SUM($AS$8:AS64)</f>
        <v>341883.67999999993</v>
      </c>
      <c r="AX64" s="18">
        <f>IF(AS64=0,"",SUMIFS($AS$8:AS64, $BH$8:BH64, BH64))</f>
        <v>31930.7</v>
      </c>
      <c r="AY64" s="57">
        <f t="shared" ca="1" si="62"/>
        <v>221.81208053691276</v>
      </c>
      <c r="AZ64" s="15" t="str">
        <f t="shared" ca="1" si="47"/>
        <v>LINK</v>
      </c>
      <c r="BB64" s="14" t="s">
        <v>211</v>
      </c>
      <c r="BC64" t="str">
        <f t="shared" si="48"/>
        <v>25</v>
      </c>
      <c r="BD64" t="str">
        <f t="shared" si="14"/>
        <v>08</v>
      </c>
      <c r="BE64" s="98" t="str">
        <f t="shared" si="15"/>
        <v>04</v>
      </c>
      <c r="BF64" t="str">
        <f t="shared" si="49"/>
        <v>D</v>
      </c>
      <c r="BG64" t="str">
        <f t="shared" si="53"/>
        <v>https://www.coreplan.io/app/ddh1-drilling/speewah-mining-speewah-fluorite-project-wa/plods/1663-250804D</v>
      </c>
      <c r="BH64" t="str">
        <f t="shared" si="50"/>
        <v>2025-08</v>
      </c>
    </row>
    <row r="65" spans="1:60">
      <c r="A65" s="510" t="str">
        <f>VLOOKUP(F65,'Tenement Lookup'!A:BH,60,FALSE)</f>
        <v>M 80/269</v>
      </c>
      <c r="B65" t="str">
        <f>VLOOKUP(F65,Purpose!$A$2:$B$334,2,FALSE)</f>
        <v>Geotech</v>
      </c>
      <c r="C65" s="152" t="s">
        <v>9</v>
      </c>
      <c r="D65" s="1">
        <f t="shared" si="38"/>
        <v>45872.71</v>
      </c>
      <c r="E65" t="s">
        <v>172</v>
      </c>
      <c r="F65" s="7" t="s">
        <v>185</v>
      </c>
      <c r="H65" s="4" t="s">
        <v>216</v>
      </c>
      <c r="I65" s="4">
        <v>3</v>
      </c>
      <c r="J65" s="5">
        <f t="shared" si="64"/>
        <v>390</v>
      </c>
      <c r="K65" s="21"/>
      <c r="L65" s="28"/>
      <c r="M65" s="28">
        <f t="shared" si="56"/>
        <v>0</v>
      </c>
      <c r="N65" s="30">
        <v>75.5</v>
      </c>
      <c r="O65" s="26">
        <v>105.7</v>
      </c>
      <c r="P65" s="31">
        <f t="shared" si="41"/>
        <v>30.200000000000003</v>
      </c>
      <c r="Q65" s="21"/>
      <c r="R65" s="28"/>
      <c r="S65" s="22">
        <f t="shared" si="42"/>
        <v>0</v>
      </c>
      <c r="T65" s="26"/>
      <c r="U65" s="26"/>
      <c r="V65" s="31">
        <f t="shared" si="43"/>
        <v>0</v>
      </c>
      <c r="W65" s="26">
        <f t="shared" si="63"/>
        <v>30.200000000000003</v>
      </c>
      <c r="X65" s="36">
        <f>IFERROR((M65*$M$2)+(P65*$P$2)+(S65*$S$2)+(V65*$V$2),"")</f>
        <v>4077.0000000000005</v>
      </c>
      <c r="Y65" s="37">
        <f>IF(F65&lt;&gt;"",IF(X65&lt;(AE65*$AE$2),(AE65*$AE$2),X65),"")</f>
        <v>4945</v>
      </c>
      <c r="Z65" s="38"/>
      <c r="AA65" s="38"/>
      <c r="AB65" s="38"/>
      <c r="AC65" s="38"/>
      <c r="AD65" s="157">
        <f t="shared" si="39"/>
        <v>0</v>
      </c>
      <c r="AE65" s="34">
        <v>10.75</v>
      </c>
      <c r="AF65" s="35">
        <v>0.25</v>
      </c>
      <c r="AG65" s="40"/>
      <c r="AH65" s="44">
        <v>0.5</v>
      </c>
      <c r="AI65" s="13"/>
      <c r="AJ65" s="46"/>
      <c r="AK65" s="45">
        <v>0.5</v>
      </c>
      <c r="AL65" s="23"/>
      <c r="AM65" s="138"/>
      <c r="AN65" s="25">
        <f t="shared" si="54"/>
        <v>12</v>
      </c>
      <c r="AO65" s="50"/>
      <c r="AP65" s="53">
        <f t="shared" si="45"/>
        <v>295</v>
      </c>
      <c r="AQ65" s="53">
        <v>390</v>
      </c>
      <c r="AR65" s="119">
        <f t="shared" si="67"/>
        <v>0</v>
      </c>
      <c r="AS65" s="56">
        <f t="shared" si="19"/>
        <v>5630</v>
      </c>
      <c r="AT65" s="298">
        <v>5630</v>
      </c>
      <c r="AU65" s="298">
        <f t="shared" si="36"/>
        <v>5335</v>
      </c>
      <c r="AV65" s="357">
        <f t="shared" si="40"/>
        <v>5.2397868561278864E-2</v>
      </c>
      <c r="AW65" s="18">
        <f>SUM($AS$8:AS65)</f>
        <v>347513.67999999993</v>
      </c>
      <c r="AX65" s="18">
        <f>IF(AS65=0,"",SUMIFS($AS$8:AS65, $BH$8:BH65, BH65))</f>
        <v>37560.699999999997</v>
      </c>
      <c r="AY65" s="57">
        <f t="shared" ca="1" si="62"/>
        <v>186.42384105960264</v>
      </c>
      <c r="AZ65" s="15" t="str">
        <f t="shared" ca="1" si="47"/>
        <v>LINK</v>
      </c>
      <c r="BB65" s="14" t="s">
        <v>211</v>
      </c>
      <c r="BC65" t="str">
        <f t="shared" si="48"/>
        <v>25</v>
      </c>
      <c r="BD65" t="str">
        <f t="shared" si="14"/>
        <v>08</v>
      </c>
      <c r="BE65" s="98" t="str">
        <f t="shared" si="15"/>
        <v>04</v>
      </c>
      <c r="BF65" t="str">
        <f t="shared" si="49"/>
        <v>N</v>
      </c>
      <c r="BG65" t="str">
        <f t="shared" si="53"/>
        <v>https://www.coreplan.io/app/ddh1-drilling/speewah-mining-speewah-fluorite-project-wa/plods/1663-250804N</v>
      </c>
      <c r="BH65" t="str">
        <f t="shared" si="50"/>
        <v>2025-08</v>
      </c>
    </row>
    <row r="66" spans="1:60">
      <c r="A66" s="510" t="str">
        <f>VLOOKUP(F66,'Tenement Lookup'!A:BH,60,FALSE)</f>
        <v>M 80/269</v>
      </c>
      <c r="B66" t="str">
        <f>VLOOKUP(F66,Purpose!$A$2:$B$334,2,FALSE)</f>
        <v>Geotech</v>
      </c>
      <c r="C66" s="152" t="s">
        <v>9</v>
      </c>
      <c r="D66" s="1">
        <f t="shared" si="38"/>
        <v>45873.21</v>
      </c>
      <c r="E66" t="s">
        <v>171</v>
      </c>
      <c r="F66" s="7" t="s">
        <v>185</v>
      </c>
      <c r="G66" t="s">
        <v>186</v>
      </c>
      <c r="H66" s="4" t="s">
        <v>215</v>
      </c>
      <c r="I66" s="4">
        <v>3</v>
      </c>
      <c r="J66" s="5">
        <f t="shared" si="64"/>
        <v>390</v>
      </c>
      <c r="K66" s="21"/>
      <c r="L66" s="28"/>
      <c r="M66" s="28">
        <f t="shared" si="56"/>
        <v>0</v>
      </c>
      <c r="N66" s="30">
        <v>105.7</v>
      </c>
      <c r="O66" s="26">
        <v>110</v>
      </c>
      <c r="P66" s="31">
        <f t="shared" si="41"/>
        <v>4.2999999999999972</v>
      </c>
      <c r="Q66" s="21">
        <v>0</v>
      </c>
      <c r="R66" s="28">
        <v>0</v>
      </c>
      <c r="S66" s="22">
        <f t="shared" si="42"/>
        <v>0</v>
      </c>
      <c r="T66" s="26"/>
      <c r="U66" s="26"/>
      <c r="V66" s="31">
        <f t="shared" si="43"/>
        <v>0</v>
      </c>
      <c r="W66" s="26">
        <f t="shared" si="63"/>
        <v>4.2999999999999972</v>
      </c>
      <c r="X66" s="36">
        <f t="shared" si="65"/>
        <v>580.49999999999966</v>
      </c>
      <c r="Y66" s="37">
        <f t="shared" si="44"/>
        <v>1840</v>
      </c>
      <c r="Z66" s="38">
        <v>1</v>
      </c>
      <c r="AA66" s="38">
        <v>1</v>
      </c>
      <c r="AB66" s="38">
        <v>1</v>
      </c>
      <c r="AC66" s="38">
        <v>13170</v>
      </c>
      <c r="AD66" s="157">
        <f t="shared" si="39"/>
        <v>750</v>
      </c>
      <c r="AE66" s="34">
        <v>4</v>
      </c>
      <c r="AF66" s="35">
        <v>6.5</v>
      </c>
      <c r="AG66" s="40" t="s">
        <v>265</v>
      </c>
      <c r="AH66" s="44">
        <v>0.5</v>
      </c>
      <c r="AI66" s="13">
        <v>1</v>
      </c>
      <c r="AJ66" s="46"/>
      <c r="AK66" s="45"/>
      <c r="AL66" s="23"/>
      <c r="AM66" s="138"/>
      <c r="AN66" s="25">
        <f t="shared" si="54"/>
        <v>12</v>
      </c>
      <c r="AO66" s="50"/>
      <c r="AP66" s="53">
        <f t="shared" si="45"/>
        <v>3530</v>
      </c>
      <c r="AQ66" s="53">
        <v>390</v>
      </c>
      <c r="AR66" s="119">
        <f t="shared" si="67"/>
        <v>0</v>
      </c>
      <c r="AS66" s="56">
        <f t="shared" si="19"/>
        <v>6510</v>
      </c>
      <c r="AT66" s="298">
        <v>6510</v>
      </c>
      <c r="AU66" s="298">
        <f t="shared" si="36"/>
        <v>2980</v>
      </c>
      <c r="AV66" s="357">
        <f t="shared" si="40"/>
        <v>0.54224270353302606</v>
      </c>
      <c r="AW66" s="18">
        <f>SUM($AS$8:AS66)</f>
        <v>354023.67999999993</v>
      </c>
      <c r="AX66" s="18">
        <f>IF(AS66=0,"",SUMIFS($AS$8:AS66, $BH$8:BH66, BH66))</f>
        <v>44070.7</v>
      </c>
      <c r="AY66" s="57">
        <f t="shared" ca="1" si="62"/>
        <v>1513.9534883720939</v>
      </c>
      <c r="AZ66" s="15" t="str">
        <f t="shared" ca="1" si="47"/>
        <v>LINK</v>
      </c>
      <c r="BB66" s="14" t="s">
        <v>211</v>
      </c>
      <c r="BC66" t="str">
        <f t="shared" si="48"/>
        <v>25</v>
      </c>
      <c r="BD66" t="str">
        <f t="shared" si="14"/>
        <v>08</v>
      </c>
      <c r="BE66" s="98" t="str">
        <f t="shared" si="15"/>
        <v>05</v>
      </c>
      <c r="BF66" t="str">
        <f t="shared" si="49"/>
        <v>D</v>
      </c>
      <c r="BG66" t="str">
        <f t="shared" si="53"/>
        <v>https://www.coreplan.io/app/ddh1-drilling/speewah-mining-speewah-fluorite-project-wa/plods/1663-250805D</v>
      </c>
      <c r="BH66" t="str">
        <f t="shared" si="50"/>
        <v>2025-08</v>
      </c>
    </row>
    <row r="67" spans="1:60">
      <c r="A67" s="510" t="str">
        <f>VLOOKUP(F67,'Tenement Lookup'!A:BH,60,FALSE)</f>
        <v>M 80/269</v>
      </c>
      <c r="B67" t="str">
        <f>VLOOKUP(F67,Purpose!$A$2:$B$334,2,FALSE)</f>
        <v>Met</v>
      </c>
      <c r="C67" s="152" t="s">
        <v>11</v>
      </c>
      <c r="D67" s="1">
        <f t="shared" si="38"/>
        <v>45873.71</v>
      </c>
      <c r="E67" t="s">
        <v>172</v>
      </c>
      <c r="F67" t="s">
        <v>186</v>
      </c>
      <c r="H67" s="4" t="s">
        <v>216</v>
      </c>
      <c r="I67" s="4">
        <v>3</v>
      </c>
      <c r="J67" s="5">
        <f t="shared" si="64"/>
        <v>390</v>
      </c>
      <c r="K67" s="21">
        <v>0</v>
      </c>
      <c r="L67" s="28">
        <v>17.8</v>
      </c>
      <c r="M67" s="28">
        <f t="shared" si="56"/>
        <v>17.8</v>
      </c>
      <c r="N67" s="30"/>
      <c r="O67" s="26"/>
      <c r="P67" s="31">
        <f t="shared" si="41"/>
        <v>0</v>
      </c>
      <c r="Q67" s="21"/>
      <c r="R67" s="28"/>
      <c r="S67" s="22">
        <f t="shared" si="42"/>
        <v>0</v>
      </c>
      <c r="T67" s="26"/>
      <c r="U67" s="26"/>
      <c r="V67" s="31">
        <f t="shared" si="43"/>
        <v>0</v>
      </c>
      <c r="W67" s="26">
        <f t="shared" si="63"/>
        <v>17.8</v>
      </c>
      <c r="X67" s="36">
        <f t="shared" si="65"/>
        <v>3115</v>
      </c>
      <c r="Y67" s="37">
        <f t="shared" si="44"/>
        <v>3680</v>
      </c>
      <c r="Z67" s="38"/>
      <c r="AA67" s="38"/>
      <c r="AB67" s="38"/>
      <c r="AC67" s="38"/>
      <c r="AD67" s="157">
        <f t="shared" si="39"/>
        <v>0</v>
      </c>
      <c r="AE67" s="34">
        <v>8</v>
      </c>
      <c r="AF67" s="35">
        <v>3.5</v>
      </c>
      <c r="AG67" s="40"/>
      <c r="AH67" s="44">
        <v>0.5</v>
      </c>
      <c r="AI67" s="13"/>
      <c r="AJ67" s="46"/>
      <c r="AK67" s="45"/>
      <c r="AL67" s="23"/>
      <c r="AM67" s="138"/>
      <c r="AN67" s="25">
        <f t="shared" si="54"/>
        <v>12</v>
      </c>
      <c r="AO67" s="50"/>
      <c r="AP67" s="53">
        <f t="shared" si="45"/>
        <v>1790</v>
      </c>
      <c r="AQ67" s="53">
        <v>786.12</v>
      </c>
      <c r="AR67" s="119">
        <f t="shared" si="67"/>
        <v>396.12</v>
      </c>
      <c r="AS67" s="56">
        <f t="shared" si="19"/>
        <v>6256.12</v>
      </c>
      <c r="AT67" s="298">
        <v>6256.12</v>
      </c>
      <c r="AU67" s="298">
        <f t="shared" si="36"/>
        <v>4466.12</v>
      </c>
      <c r="AV67" s="357">
        <f t="shared" si="40"/>
        <v>0.28611983146103337</v>
      </c>
      <c r="AW67" s="18">
        <f>SUM($AS$8:AS67)</f>
        <v>360279.79999999993</v>
      </c>
      <c r="AX67" s="18">
        <f>IF(AS67=0,"",SUMIFS($AS$8:AS67, $BH$8:BH67, BH67))</f>
        <v>50326.82</v>
      </c>
      <c r="AY67" s="57">
        <f t="shared" ca="1" si="62"/>
        <v>351.46741573033705</v>
      </c>
      <c r="AZ67" s="15" t="str">
        <f t="shared" ca="1" si="47"/>
        <v>LINK</v>
      </c>
      <c r="BB67" s="14" t="s">
        <v>211</v>
      </c>
      <c r="BC67" t="str">
        <f t="shared" si="48"/>
        <v>25</v>
      </c>
      <c r="BD67" t="str">
        <f t="shared" si="14"/>
        <v>08</v>
      </c>
      <c r="BE67" s="98" t="str">
        <f t="shared" si="15"/>
        <v>05</v>
      </c>
      <c r="BF67" t="str">
        <f t="shared" si="49"/>
        <v>N</v>
      </c>
      <c r="BG67" t="str">
        <f t="shared" si="53"/>
        <v>https://www.coreplan.io/app/ddh1-drilling/speewah-mining-speewah-fluorite-project-wa/plods/1663-250805N</v>
      </c>
      <c r="BH67" t="str">
        <f t="shared" si="50"/>
        <v>2025-08</v>
      </c>
    </row>
    <row r="68" spans="1:60">
      <c r="A68" s="510" t="str">
        <f>VLOOKUP(F68,'Tenement Lookup'!A:BH,60,FALSE)</f>
        <v>M 80/269</v>
      </c>
      <c r="B68" t="str">
        <f>VLOOKUP(F68,Purpose!$A$2:$B$334,2,FALSE)</f>
        <v>Met</v>
      </c>
      <c r="C68" s="152" t="s">
        <v>11</v>
      </c>
      <c r="D68" s="1">
        <f t="shared" ref="D68:D131" si="68">D66+1</f>
        <v>45874.21</v>
      </c>
      <c r="E68" t="s">
        <v>171</v>
      </c>
      <c r="F68" t="s">
        <v>186</v>
      </c>
      <c r="H68" s="4" t="s">
        <v>215</v>
      </c>
      <c r="I68" s="4">
        <v>3</v>
      </c>
      <c r="J68" s="5">
        <f t="shared" si="64"/>
        <v>390</v>
      </c>
      <c r="K68" s="21">
        <v>17.8</v>
      </c>
      <c r="L68" s="28">
        <v>50.1</v>
      </c>
      <c r="M68" s="28">
        <f t="shared" si="56"/>
        <v>32.299999999999997</v>
      </c>
      <c r="N68" s="30"/>
      <c r="O68" s="26"/>
      <c r="P68" s="31">
        <f t="shared" si="41"/>
        <v>0</v>
      </c>
      <c r="Q68" s="21"/>
      <c r="R68" s="28"/>
      <c r="S68" s="22">
        <f t="shared" si="42"/>
        <v>0</v>
      </c>
      <c r="T68" s="26"/>
      <c r="U68" s="26"/>
      <c r="V68" s="31">
        <f t="shared" si="43"/>
        <v>0</v>
      </c>
      <c r="W68" s="26">
        <f t="shared" si="63"/>
        <v>32.299999999999997</v>
      </c>
      <c r="X68" s="36">
        <f t="shared" si="65"/>
        <v>5652.4999999999991</v>
      </c>
      <c r="Y68" s="37">
        <f t="shared" si="44"/>
        <v>5652.4999999999991</v>
      </c>
      <c r="Z68" s="38">
        <v>1</v>
      </c>
      <c r="AA68" s="38">
        <v>1</v>
      </c>
      <c r="AB68" s="38">
        <v>1</v>
      </c>
      <c r="AC68" s="38">
        <v>13170</v>
      </c>
      <c r="AD68" s="157">
        <f t="shared" si="39"/>
        <v>750</v>
      </c>
      <c r="AE68" s="34">
        <v>10.75</v>
      </c>
      <c r="AF68" s="35">
        <v>0.75</v>
      </c>
      <c r="AG68" s="40"/>
      <c r="AH68" s="44">
        <v>0.5</v>
      </c>
      <c r="AI68" s="13"/>
      <c r="AJ68" s="46"/>
      <c r="AK68" s="45"/>
      <c r="AL68" s="23"/>
      <c r="AM68" s="138"/>
      <c r="AN68" s="25">
        <f t="shared" si="54"/>
        <v>12</v>
      </c>
      <c r="AO68" s="50"/>
      <c r="AP68" s="53">
        <f t="shared" si="45"/>
        <v>525</v>
      </c>
      <c r="AQ68" s="53">
        <v>390</v>
      </c>
      <c r="AR68" s="119">
        <f t="shared" si="67"/>
        <v>0</v>
      </c>
      <c r="AS68" s="56">
        <f t="shared" ref="AS68:AS99" si="69">SUM(Y68,AP68,AR68,J68)+AD68</f>
        <v>7317.4999999999991</v>
      </c>
      <c r="AT68" s="298">
        <v>7317.5</v>
      </c>
      <c r="AU68" s="298">
        <f t="shared" si="36"/>
        <v>6792.4999999999991</v>
      </c>
      <c r="AV68" s="357">
        <f t="shared" si="40"/>
        <v>7.1745814827468404E-2</v>
      </c>
      <c r="AW68" s="18">
        <f>SUM($AS$8:AS68)</f>
        <v>367597.29999999993</v>
      </c>
      <c r="AX68" s="18">
        <f>IF(AS68=0,"",SUMIFS($AS$8:AS68, $BH$8:BH68, BH68))</f>
        <v>57644.32</v>
      </c>
      <c r="AY68" s="57">
        <f t="shared" ca="1" si="62"/>
        <v>226.54798761609905</v>
      </c>
      <c r="AZ68" s="15" t="str">
        <f t="shared" ca="1" si="47"/>
        <v>LINK</v>
      </c>
      <c r="BB68" s="14" t="s">
        <v>211</v>
      </c>
      <c r="BC68" t="str">
        <f t="shared" si="48"/>
        <v>25</v>
      </c>
      <c r="BD68" t="str">
        <f t="shared" si="14"/>
        <v>08</v>
      </c>
      <c r="BE68" s="98" t="str">
        <f t="shared" si="15"/>
        <v>06</v>
      </c>
      <c r="BF68" t="str">
        <f t="shared" si="49"/>
        <v>D</v>
      </c>
      <c r="BG68" t="str">
        <f t="shared" si="53"/>
        <v>https://www.coreplan.io/app/ddh1-drilling/speewah-mining-speewah-fluorite-project-wa/plods/1663-250806D</v>
      </c>
      <c r="BH68" t="str">
        <f t="shared" si="50"/>
        <v>2025-08</v>
      </c>
    </row>
    <row r="69" spans="1:60">
      <c r="A69" s="510" t="str">
        <f>VLOOKUP(F69,'Tenement Lookup'!A:BH,60,FALSE)</f>
        <v>M 80/269</v>
      </c>
      <c r="B69" t="str">
        <f>VLOOKUP(F69,Purpose!$A$2:$B$334,2,FALSE)</f>
        <v>Met</v>
      </c>
      <c r="C69" s="152" t="s">
        <v>11</v>
      </c>
      <c r="D69" s="1">
        <f t="shared" si="68"/>
        <v>45874.71</v>
      </c>
      <c r="E69" t="s">
        <v>172</v>
      </c>
      <c r="F69" t="s">
        <v>187</v>
      </c>
      <c r="H69" s="4" t="s">
        <v>216</v>
      </c>
      <c r="I69" s="4">
        <v>3</v>
      </c>
      <c r="J69" s="5">
        <f t="shared" si="64"/>
        <v>390</v>
      </c>
      <c r="K69" s="21">
        <v>0</v>
      </c>
      <c r="L69" s="28">
        <v>5.7</v>
      </c>
      <c r="M69" s="28">
        <f t="shared" si="56"/>
        <v>5.7</v>
      </c>
      <c r="N69" s="30"/>
      <c r="O69" s="26"/>
      <c r="P69" s="31">
        <f t="shared" si="41"/>
        <v>0</v>
      </c>
      <c r="Q69" s="21"/>
      <c r="R69" s="28"/>
      <c r="S69" s="22">
        <f t="shared" si="42"/>
        <v>0</v>
      </c>
      <c r="T69" s="26"/>
      <c r="U69" s="26"/>
      <c r="V69" s="31">
        <f t="shared" si="43"/>
        <v>0</v>
      </c>
      <c r="W69" s="26">
        <f t="shared" si="63"/>
        <v>5.7</v>
      </c>
      <c r="X69" s="36">
        <f t="shared" si="65"/>
        <v>997.5</v>
      </c>
      <c r="Y69" s="37">
        <f t="shared" si="44"/>
        <v>997.5</v>
      </c>
      <c r="Z69" s="38"/>
      <c r="AA69" s="38"/>
      <c r="AB69" s="38"/>
      <c r="AC69" s="38"/>
      <c r="AD69" s="157">
        <f t="shared" si="39"/>
        <v>0</v>
      </c>
      <c r="AE69" s="34">
        <v>2</v>
      </c>
      <c r="AF69" s="35">
        <v>6.5</v>
      </c>
      <c r="AG69" s="40"/>
      <c r="AH69" s="44">
        <v>1.5</v>
      </c>
      <c r="AI69" s="13"/>
      <c r="AJ69" s="46" t="s">
        <v>266</v>
      </c>
      <c r="AK69" s="45">
        <v>2</v>
      </c>
      <c r="AL69" s="23"/>
      <c r="AM69" s="138"/>
      <c r="AN69" s="25">
        <f t="shared" si="54"/>
        <v>12</v>
      </c>
      <c r="AO69" s="50"/>
      <c r="AP69" s="53">
        <f>(AF69*$AF$2)+(AH69*$AH$2)+(AI69*$AI$2)</f>
        <v>3530</v>
      </c>
      <c r="AQ69" s="53">
        <v>390</v>
      </c>
      <c r="AR69" s="119">
        <f t="shared" ref="AR69:AR83" si="70">AQ69-J69</f>
        <v>0</v>
      </c>
      <c r="AS69" s="56">
        <f t="shared" si="69"/>
        <v>4917.5</v>
      </c>
      <c r="AT69" s="298">
        <v>4917.5</v>
      </c>
      <c r="AU69" s="298">
        <f t="shared" si="36"/>
        <v>1387.5</v>
      </c>
      <c r="AV69" s="357">
        <f t="shared" si="40"/>
        <v>0.71784443314692425</v>
      </c>
      <c r="AW69" s="18">
        <f>SUM($AS$8:AS69)</f>
        <v>372514.79999999993</v>
      </c>
      <c r="AX69" s="18">
        <f>IF(AS69=0,"",SUMIFS($AS$8:AS69, $BH$8:BH69, BH69))</f>
        <v>62561.82</v>
      </c>
      <c r="AY69" s="57">
        <f t="shared" ca="1" si="62"/>
        <v>862.71929824561403</v>
      </c>
      <c r="AZ69" s="15" t="str">
        <f t="shared" ca="1" si="47"/>
        <v>LINK</v>
      </c>
      <c r="BB69" s="14" t="s">
        <v>211</v>
      </c>
      <c r="BC69" t="str">
        <f t="shared" si="48"/>
        <v>25</v>
      </c>
      <c r="BD69" t="str">
        <f t="shared" si="14"/>
        <v>08</v>
      </c>
      <c r="BE69" s="98" t="str">
        <f t="shared" si="15"/>
        <v>06</v>
      </c>
      <c r="BF69" t="str">
        <f t="shared" si="49"/>
        <v>N</v>
      </c>
      <c r="BG69" t="str">
        <f t="shared" si="53"/>
        <v>https://www.coreplan.io/app/ddh1-drilling/speewah-mining-speewah-fluorite-project-wa/plods/1663-250806N</v>
      </c>
      <c r="BH69" t="str">
        <f t="shared" si="50"/>
        <v>2025-08</v>
      </c>
    </row>
    <row r="70" spans="1:60">
      <c r="A70" s="510" t="str">
        <f>VLOOKUP(F70,'Tenement Lookup'!A:BH,60,FALSE)</f>
        <v>M 80/269</v>
      </c>
      <c r="B70" t="str">
        <f>VLOOKUP(F70,Purpose!$A$2:$B$334,2,FALSE)</f>
        <v>Met</v>
      </c>
      <c r="C70" s="152" t="s">
        <v>11</v>
      </c>
      <c r="D70" s="1">
        <f t="shared" si="68"/>
        <v>45875.21</v>
      </c>
      <c r="E70" t="s">
        <v>171</v>
      </c>
      <c r="F70" t="s">
        <v>187</v>
      </c>
      <c r="H70" s="4" t="s">
        <v>218</v>
      </c>
      <c r="I70" s="4">
        <v>3</v>
      </c>
      <c r="J70" s="5">
        <f t="shared" si="64"/>
        <v>390</v>
      </c>
      <c r="K70" s="21">
        <v>5.7</v>
      </c>
      <c r="L70" s="28">
        <v>8.4</v>
      </c>
      <c r="M70" s="28">
        <f t="shared" si="56"/>
        <v>2.7</v>
      </c>
      <c r="N70" s="30"/>
      <c r="O70" s="26"/>
      <c r="P70" s="31">
        <f t="shared" si="41"/>
        <v>0</v>
      </c>
      <c r="Q70" s="21"/>
      <c r="R70" s="28"/>
      <c r="S70" s="22">
        <f t="shared" si="42"/>
        <v>0</v>
      </c>
      <c r="T70" s="26"/>
      <c r="U70" s="26"/>
      <c r="V70" s="31">
        <f t="shared" si="43"/>
        <v>0</v>
      </c>
      <c r="W70" s="26">
        <f t="shared" si="63"/>
        <v>2.7</v>
      </c>
      <c r="X70" s="36">
        <f t="shared" si="65"/>
        <v>472.50000000000006</v>
      </c>
      <c r="Y70" s="37">
        <f t="shared" si="44"/>
        <v>575</v>
      </c>
      <c r="Z70" s="38">
        <v>1</v>
      </c>
      <c r="AA70" s="38">
        <v>1</v>
      </c>
      <c r="AB70" s="38">
        <v>1</v>
      </c>
      <c r="AC70" s="38">
        <v>13170</v>
      </c>
      <c r="AD70" s="157">
        <f t="shared" si="39"/>
        <v>750</v>
      </c>
      <c r="AE70" s="34">
        <v>1.25</v>
      </c>
      <c r="AF70" s="35">
        <v>1.25</v>
      </c>
      <c r="AG70" s="40"/>
      <c r="AH70" s="44">
        <v>0.5</v>
      </c>
      <c r="AI70" s="13">
        <v>1</v>
      </c>
      <c r="AJ70" s="46"/>
      <c r="AK70" s="45">
        <v>8</v>
      </c>
      <c r="AL70" s="23"/>
      <c r="AM70" s="138"/>
      <c r="AN70" s="25">
        <f t="shared" si="54"/>
        <v>12</v>
      </c>
      <c r="AO70" s="50"/>
      <c r="AP70" s="53">
        <f t="shared" si="45"/>
        <v>1115</v>
      </c>
      <c r="AQ70" s="53">
        <v>786.12</v>
      </c>
      <c r="AR70" s="119">
        <f t="shared" si="70"/>
        <v>396.12</v>
      </c>
      <c r="AS70" s="56">
        <f t="shared" si="69"/>
        <v>3226.12</v>
      </c>
      <c r="AT70" s="298">
        <v>3226.12</v>
      </c>
      <c r="AU70" s="298">
        <f t="shared" si="36"/>
        <v>2111.12</v>
      </c>
      <c r="AV70" s="357">
        <f t="shared" si="40"/>
        <v>0.34561640608532851</v>
      </c>
      <c r="AW70" s="18">
        <f>SUM($AS$8:AS70)</f>
        <v>375740.91999999993</v>
      </c>
      <c r="AX70" s="18">
        <f>IF(AS70=0,"",SUMIFS($AS$8:AS70, $BH$8:BH70, BH70))</f>
        <v>65787.94</v>
      </c>
      <c r="AY70" s="57">
        <f t="shared" ca="1" si="62"/>
        <v>1194.859259259259</v>
      </c>
      <c r="AZ70" s="15" t="str">
        <f t="shared" ca="1" si="47"/>
        <v>LINK</v>
      </c>
      <c r="BA70" t="s">
        <v>267</v>
      </c>
      <c r="BB70" s="14" t="s">
        <v>211</v>
      </c>
      <c r="BC70" t="str">
        <f t="shared" si="48"/>
        <v>25</v>
      </c>
      <c r="BD70" t="str">
        <f t="shared" ref="BD70:BD133" si="71">IF(LEN(MONTH(D72))=1,_xlfn.TEXTJOIN(,,"0",MONTH(D72)),MONTH(D72))</f>
        <v>08</v>
      </c>
      <c r="BE70" s="98" t="str">
        <f t="shared" ref="BE70:BE133" si="72">IF(LEN(DAY(D72))=1,_xlfn.TEXTJOIN(,,"0",DAY(D72)),DAY(D72))</f>
        <v>07</v>
      </c>
      <c r="BF70" t="str">
        <f t="shared" si="49"/>
        <v>D</v>
      </c>
      <c r="BG70" t="str">
        <f t="shared" si="53"/>
        <v>https://www.coreplan.io/app/ddh1-drilling/speewah-mining-speewah-fluorite-project-wa/plods/1663-250807D</v>
      </c>
      <c r="BH70" t="str">
        <f t="shared" si="50"/>
        <v>2025-08</v>
      </c>
    </row>
    <row r="71" spans="1:60">
      <c r="A71" s="510" t="str">
        <f>VLOOKUP(F71,'Tenement Lookup'!A:BH,60,FALSE)</f>
        <v>M 80/269</v>
      </c>
      <c r="B71" t="str">
        <f>VLOOKUP(F71,Purpose!$A$2:$B$334,2,FALSE)</f>
        <v>Met</v>
      </c>
      <c r="C71" s="152" t="s">
        <v>11</v>
      </c>
      <c r="D71" s="1">
        <f t="shared" si="68"/>
        <v>45875.71</v>
      </c>
      <c r="E71" t="s">
        <v>172</v>
      </c>
      <c r="F71" t="s">
        <v>187</v>
      </c>
      <c r="H71" s="4" t="s">
        <v>215</v>
      </c>
      <c r="I71" s="4">
        <v>3</v>
      </c>
      <c r="J71" s="5">
        <f t="shared" si="64"/>
        <v>390</v>
      </c>
      <c r="K71" s="21">
        <v>8.4</v>
      </c>
      <c r="L71" s="28">
        <v>39.700000000000003</v>
      </c>
      <c r="M71" s="28">
        <f t="shared" si="56"/>
        <v>31.300000000000004</v>
      </c>
      <c r="N71" s="30"/>
      <c r="O71" s="26"/>
      <c r="P71" s="31">
        <f t="shared" si="41"/>
        <v>0</v>
      </c>
      <c r="Q71" s="21"/>
      <c r="R71" s="28"/>
      <c r="S71" s="22">
        <f t="shared" si="42"/>
        <v>0</v>
      </c>
      <c r="T71" s="26"/>
      <c r="U71" s="26"/>
      <c r="V71" s="31">
        <f t="shared" si="43"/>
        <v>0</v>
      </c>
      <c r="W71" s="26">
        <f t="shared" si="63"/>
        <v>31.300000000000004</v>
      </c>
      <c r="X71" s="36">
        <f t="shared" si="65"/>
        <v>5477.5000000000009</v>
      </c>
      <c r="Y71" s="37">
        <f t="shared" si="44"/>
        <v>5477.5000000000009</v>
      </c>
      <c r="Z71" s="38"/>
      <c r="AA71" s="38"/>
      <c r="AB71" s="38"/>
      <c r="AC71" s="38"/>
      <c r="AD71" s="157">
        <f t="shared" si="39"/>
        <v>0</v>
      </c>
      <c r="AE71" s="34">
        <v>11</v>
      </c>
      <c r="AF71" s="35">
        <v>0.5</v>
      </c>
      <c r="AG71" s="40"/>
      <c r="AH71" s="44">
        <v>0.5</v>
      </c>
      <c r="AI71" s="13"/>
      <c r="AJ71" s="46"/>
      <c r="AK71" s="45"/>
      <c r="AL71" s="23"/>
      <c r="AM71" s="138"/>
      <c r="AN71" s="25">
        <f t="shared" si="54"/>
        <v>12</v>
      </c>
      <c r="AO71" s="50"/>
      <c r="AP71" s="53">
        <f t="shared" si="45"/>
        <v>410</v>
      </c>
      <c r="AQ71" s="53">
        <v>390</v>
      </c>
      <c r="AR71" s="119">
        <f t="shared" si="70"/>
        <v>0</v>
      </c>
      <c r="AS71" s="56">
        <f t="shared" si="69"/>
        <v>6277.5000000000009</v>
      </c>
      <c r="AT71" s="298">
        <v>6277.5</v>
      </c>
      <c r="AU71" s="298">
        <f t="shared" si="36"/>
        <v>5867.5000000000009</v>
      </c>
      <c r="AV71" s="357">
        <f t="shared" si="40"/>
        <v>6.5312624452409387E-2</v>
      </c>
      <c r="AW71" s="18">
        <f>SUM($AS$8:AS71)</f>
        <v>382018.41999999993</v>
      </c>
      <c r="AX71" s="18">
        <f>IF(AS71=0,"",SUMIFS($AS$8:AS71, $BH$8:BH71, BH71))</f>
        <v>72065.440000000002</v>
      </c>
      <c r="AY71" s="57">
        <f t="shared" ca="1" si="62"/>
        <v>200.55910543130992</v>
      </c>
      <c r="AZ71" s="15" t="str">
        <f t="shared" ca="1" si="47"/>
        <v>LINK</v>
      </c>
      <c r="BB71" s="14" t="s">
        <v>211</v>
      </c>
      <c r="BC71" t="str">
        <f t="shared" si="48"/>
        <v>25</v>
      </c>
      <c r="BD71" t="str">
        <f t="shared" si="71"/>
        <v>08</v>
      </c>
      <c r="BE71" s="98" t="str">
        <f t="shared" si="72"/>
        <v>07</v>
      </c>
      <c r="BF71" t="str">
        <f t="shared" si="49"/>
        <v>N</v>
      </c>
      <c r="BG71" t="str">
        <f t="shared" si="53"/>
        <v>https://www.coreplan.io/app/ddh1-drilling/speewah-mining-speewah-fluorite-project-wa/plods/1663-250807N</v>
      </c>
      <c r="BH71" t="str">
        <f t="shared" si="50"/>
        <v>2025-08</v>
      </c>
    </row>
    <row r="72" spans="1:60">
      <c r="A72" s="510" t="str">
        <f>VLOOKUP(F72,'Tenement Lookup'!A:BH,60,FALSE)</f>
        <v>M 80/269</v>
      </c>
      <c r="B72" t="str">
        <f>VLOOKUP(F72,Purpose!$A$2:$B$334,2,FALSE)</f>
        <v>Met</v>
      </c>
      <c r="C72" s="152" t="str">
        <f t="shared" ref="C72" si="73">IFERROR(IF(FIND("MET",F72),"MET",IF(FIND("GT",F72),"GT",)),"")</f>
        <v>MET</v>
      </c>
      <c r="D72" s="1">
        <f t="shared" si="68"/>
        <v>45876.21</v>
      </c>
      <c r="E72" t="s">
        <v>171</v>
      </c>
      <c r="F72" s="7" t="s">
        <v>187</v>
      </c>
      <c r="G72" t="s">
        <v>188</v>
      </c>
      <c r="H72" s="4" t="s">
        <v>218</v>
      </c>
      <c r="I72" s="4">
        <v>3</v>
      </c>
      <c r="J72" s="5">
        <f t="shared" si="64"/>
        <v>390</v>
      </c>
      <c r="K72" s="21">
        <v>39.700000000000003</v>
      </c>
      <c r="L72" s="28">
        <v>50.4</v>
      </c>
      <c r="M72" s="28">
        <f t="shared" si="56"/>
        <v>10.699999999999996</v>
      </c>
      <c r="N72" s="30"/>
      <c r="O72" s="26"/>
      <c r="P72" s="31">
        <f t="shared" si="41"/>
        <v>0</v>
      </c>
      <c r="Q72" s="21"/>
      <c r="R72" s="28"/>
      <c r="S72" s="22">
        <f t="shared" si="42"/>
        <v>0</v>
      </c>
      <c r="T72" s="26"/>
      <c r="U72" s="26"/>
      <c r="V72" s="31">
        <f t="shared" si="43"/>
        <v>0</v>
      </c>
      <c r="W72" s="26">
        <f t="shared" si="63"/>
        <v>10.699999999999996</v>
      </c>
      <c r="X72" s="36">
        <f t="shared" si="65"/>
        <v>1872.4999999999993</v>
      </c>
      <c r="Y72" s="37">
        <f t="shared" si="44"/>
        <v>1872.4999999999993</v>
      </c>
      <c r="Z72" s="38">
        <v>1</v>
      </c>
      <c r="AA72" s="38">
        <v>1</v>
      </c>
      <c r="AB72" s="38">
        <v>1</v>
      </c>
      <c r="AC72" s="38">
        <v>13170</v>
      </c>
      <c r="AD72" s="157">
        <f t="shared" si="39"/>
        <v>750</v>
      </c>
      <c r="AE72" s="34">
        <v>4</v>
      </c>
      <c r="AF72" s="35">
        <v>7.5</v>
      </c>
      <c r="AG72" s="40"/>
      <c r="AH72" s="44">
        <v>0.5</v>
      </c>
      <c r="AI72" s="13"/>
      <c r="AJ72" s="46"/>
      <c r="AK72" s="45"/>
      <c r="AL72" s="23"/>
      <c r="AM72" s="138"/>
      <c r="AN72" s="25">
        <f t="shared" si="54"/>
        <v>12</v>
      </c>
      <c r="AO72" s="50"/>
      <c r="AP72" s="53">
        <f t="shared" si="45"/>
        <v>3630</v>
      </c>
      <c r="AQ72" s="53">
        <v>390</v>
      </c>
      <c r="AR72" s="119">
        <f t="shared" si="70"/>
        <v>0</v>
      </c>
      <c r="AS72" s="56">
        <f t="shared" si="69"/>
        <v>6642.4999999999991</v>
      </c>
      <c r="AT72" s="298">
        <v>6642.4999999999991</v>
      </c>
      <c r="AU72" s="298">
        <f t="shared" si="36"/>
        <v>3012.4999999999991</v>
      </c>
      <c r="AV72" s="357">
        <f t="shared" si="40"/>
        <v>0.54648099360180658</v>
      </c>
      <c r="AW72" s="18">
        <f>SUM($AS$8:AS72)</f>
        <v>388660.91999999993</v>
      </c>
      <c r="AX72" s="18">
        <f>IF(AS72=0,"",SUMIFS($AS$8:AS72, $BH$8:BH72, BH72))</f>
        <v>78707.94</v>
      </c>
      <c r="AY72" s="57">
        <f t="shared" ca="1" si="62"/>
        <v>620.79439252336465</v>
      </c>
      <c r="AZ72" s="15" t="str">
        <f t="shared" ca="1" si="47"/>
        <v>LINK</v>
      </c>
      <c r="BA72" t="s">
        <v>268</v>
      </c>
      <c r="BB72" s="14" t="s">
        <v>211</v>
      </c>
      <c r="BC72" t="str">
        <f t="shared" si="48"/>
        <v>25</v>
      </c>
      <c r="BD72" t="str">
        <f t="shared" si="71"/>
        <v>08</v>
      </c>
      <c r="BE72" s="98" t="str">
        <f t="shared" si="72"/>
        <v>08</v>
      </c>
      <c r="BF72" t="str">
        <f t="shared" si="49"/>
        <v>D</v>
      </c>
      <c r="BG72" t="str">
        <f t="shared" si="53"/>
        <v>https://www.coreplan.io/app/ddh1-drilling/speewah-mining-speewah-fluorite-project-wa/plods/1663-250808D</v>
      </c>
      <c r="BH72" t="str">
        <f t="shared" si="50"/>
        <v>2025-08</v>
      </c>
    </row>
    <row r="73" spans="1:60">
      <c r="A73" s="510" t="str">
        <f>VLOOKUP(F73,'Tenement Lookup'!A:BH,60,FALSE)</f>
        <v>M 80/268</v>
      </c>
      <c r="B73" t="str">
        <f>VLOOKUP(F73,Purpose!$A$2:$B$334,2,FALSE)</f>
        <v>A Vein DD</v>
      </c>
      <c r="C73" s="152" t="s">
        <v>8</v>
      </c>
      <c r="D73" s="1">
        <f t="shared" si="68"/>
        <v>45876.71</v>
      </c>
      <c r="E73" t="s">
        <v>172</v>
      </c>
      <c r="F73" s="7" t="s">
        <v>188</v>
      </c>
      <c r="H73" s="4" t="s">
        <v>215</v>
      </c>
      <c r="I73" s="4">
        <v>3</v>
      </c>
      <c r="J73" s="5">
        <f t="shared" si="64"/>
        <v>390</v>
      </c>
      <c r="K73" s="21">
        <v>0</v>
      </c>
      <c r="L73" s="28">
        <v>0</v>
      </c>
      <c r="M73" s="28">
        <f t="shared" si="56"/>
        <v>0</v>
      </c>
      <c r="N73" s="30"/>
      <c r="O73" s="26"/>
      <c r="P73" s="31">
        <f t="shared" si="41"/>
        <v>0</v>
      </c>
      <c r="Q73" s="21"/>
      <c r="R73" s="28"/>
      <c r="S73" s="22">
        <f t="shared" si="42"/>
        <v>0</v>
      </c>
      <c r="T73" s="26"/>
      <c r="U73" s="26"/>
      <c r="V73" s="31">
        <f t="shared" si="43"/>
        <v>0</v>
      </c>
      <c r="W73" s="26">
        <f t="shared" si="63"/>
        <v>0</v>
      </c>
      <c r="X73" s="36">
        <f t="shared" si="65"/>
        <v>0</v>
      </c>
      <c r="Y73" s="37">
        <f t="shared" si="44"/>
        <v>0</v>
      </c>
      <c r="Z73" s="38"/>
      <c r="AA73" s="38"/>
      <c r="AB73" s="38"/>
      <c r="AC73" s="38"/>
      <c r="AD73" s="157">
        <f t="shared" si="39"/>
        <v>0</v>
      </c>
      <c r="AE73" s="34">
        <v>0</v>
      </c>
      <c r="AF73" s="35">
        <v>11.5</v>
      </c>
      <c r="AG73" s="40" t="s">
        <v>269</v>
      </c>
      <c r="AH73" s="44">
        <v>0.5</v>
      </c>
      <c r="AI73" s="13"/>
      <c r="AJ73" s="46"/>
      <c r="AK73" s="45"/>
      <c r="AL73" s="23"/>
      <c r="AM73" s="138"/>
      <c r="AN73" s="25">
        <f t="shared" si="54"/>
        <v>12</v>
      </c>
      <c r="AO73" s="50"/>
      <c r="AP73" s="53">
        <f t="shared" si="45"/>
        <v>5470</v>
      </c>
      <c r="AQ73" s="53">
        <v>390</v>
      </c>
      <c r="AR73" s="119">
        <f t="shared" si="70"/>
        <v>0</v>
      </c>
      <c r="AS73" s="56">
        <f t="shared" si="69"/>
        <v>5860</v>
      </c>
      <c r="AT73" s="298">
        <v>5860</v>
      </c>
      <c r="AU73" s="298">
        <f t="shared" ref="AU73:AU136" si="74">SUM(AR73,AD73,Y73,J73)</f>
        <v>390</v>
      </c>
      <c r="AV73" s="357">
        <f t="shared" si="40"/>
        <v>0.93344709897610922</v>
      </c>
      <c r="AW73" s="18">
        <f>SUM($AS$8:AS73)</f>
        <v>394520.91999999993</v>
      </c>
      <c r="AX73" s="18">
        <f>IF(AS73=0,"",SUMIFS($AS$8:AS73, $BH$8:BH73, BH73))</f>
        <v>84567.94</v>
      </c>
      <c r="AY73" s="57"/>
      <c r="AZ73" s="15" t="str">
        <f t="shared" ca="1" si="47"/>
        <v>LINK</v>
      </c>
      <c r="BA73" t="s">
        <v>270</v>
      </c>
      <c r="BB73" s="14" t="s">
        <v>211</v>
      </c>
      <c r="BC73" t="str">
        <f t="shared" si="48"/>
        <v>25</v>
      </c>
      <c r="BD73" t="str">
        <f t="shared" si="71"/>
        <v>08</v>
      </c>
      <c r="BE73" s="98" t="str">
        <f t="shared" si="72"/>
        <v>08</v>
      </c>
      <c r="BF73" t="str">
        <f t="shared" si="49"/>
        <v>N</v>
      </c>
      <c r="BG73" t="str">
        <f t="shared" si="53"/>
        <v>https://www.coreplan.io/app/ddh1-drilling/speewah-mining-speewah-fluorite-project-wa/plods/1663-250808N</v>
      </c>
      <c r="BH73" t="str">
        <f t="shared" si="50"/>
        <v>2025-08</v>
      </c>
    </row>
    <row r="74" spans="1:60">
      <c r="A74" s="510" t="str">
        <f>VLOOKUP(F74,'Tenement Lookup'!A:BH,60,FALSE)</f>
        <v>M 80/268</v>
      </c>
      <c r="B74" t="str">
        <f>VLOOKUP(F74,Purpose!$A$2:$B$334,2,FALSE)</f>
        <v>A Vein DD</v>
      </c>
      <c r="C74" s="152" t="s">
        <v>8</v>
      </c>
      <c r="D74" s="1">
        <f t="shared" si="68"/>
        <v>45877.21</v>
      </c>
      <c r="E74" t="s">
        <v>171</v>
      </c>
      <c r="F74" s="7" t="s">
        <v>188</v>
      </c>
      <c r="H74" s="4" t="s">
        <v>218</v>
      </c>
      <c r="I74" s="4">
        <v>3</v>
      </c>
      <c r="J74" s="5">
        <f t="shared" si="64"/>
        <v>390</v>
      </c>
      <c r="K74" s="21"/>
      <c r="L74" s="28"/>
      <c r="M74" s="28">
        <f t="shared" si="56"/>
        <v>0</v>
      </c>
      <c r="N74" s="30">
        <v>0</v>
      </c>
      <c r="O74" s="26">
        <v>5</v>
      </c>
      <c r="P74" s="31">
        <f t="shared" si="41"/>
        <v>5</v>
      </c>
      <c r="Q74" s="21"/>
      <c r="R74" s="28"/>
      <c r="S74" s="22">
        <f t="shared" si="42"/>
        <v>0</v>
      </c>
      <c r="T74" s="26"/>
      <c r="U74" s="26"/>
      <c r="V74" s="31">
        <f t="shared" si="43"/>
        <v>0</v>
      </c>
      <c r="W74" s="26">
        <f t="shared" si="63"/>
        <v>5</v>
      </c>
      <c r="X74" s="36">
        <f t="shared" si="65"/>
        <v>675</v>
      </c>
      <c r="Y74" s="37">
        <f t="shared" si="44"/>
        <v>920</v>
      </c>
      <c r="Z74" s="38">
        <v>1</v>
      </c>
      <c r="AA74" s="38">
        <v>1</v>
      </c>
      <c r="AB74" s="38">
        <v>1</v>
      </c>
      <c r="AC74" s="38">
        <v>13170</v>
      </c>
      <c r="AD74" s="157">
        <f t="shared" si="39"/>
        <v>750</v>
      </c>
      <c r="AE74" s="34">
        <v>2</v>
      </c>
      <c r="AF74" s="35">
        <v>0</v>
      </c>
      <c r="AG74" s="40" t="s">
        <v>269</v>
      </c>
      <c r="AH74" s="44">
        <v>0.5</v>
      </c>
      <c r="AI74" s="13">
        <v>9.5</v>
      </c>
      <c r="AJ74" s="46" t="s">
        <v>271</v>
      </c>
      <c r="AK74" s="45"/>
      <c r="AL74" s="23"/>
      <c r="AM74" s="138"/>
      <c r="AN74" s="25">
        <f t="shared" si="54"/>
        <v>12</v>
      </c>
      <c r="AO74" s="50"/>
      <c r="AP74" s="53">
        <f t="shared" si="45"/>
        <v>3600</v>
      </c>
      <c r="AQ74" s="53">
        <v>5458</v>
      </c>
      <c r="AR74" s="119">
        <f t="shared" si="70"/>
        <v>5068</v>
      </c>
      <c r="AS74" s="56">
        <f t="shared" si="69"/>
        <v>10728</v>
      </c>
      <c r="AT74" s="298">
        <v>10728</v>
      </c>
      <c r="AU74" s="298">
        <f t="shared" si="74"/>
        <v>7128</v>
      </c>
      <c r="AV74" s="357">
        <f t="shared" si="40"/>
        <v>0.33557046979865773</v>
      </c>
      <c r="AW74" s="18">
        <f>SUM($AS$8:AS74)</f>
        <v>405248.91999999993</v>
      </c>
      <c r="AX74" s="18">
        <f>IF(AS74=0,"",SUMIFS($AS$8:AS74, $BH$8:BH74, BH74))</f>
        <v>95295.94</v>
      </c>
      <c r="AY74" s="57">
        <f t="shared" ca="1" si="62"/>
        <v>2145.6</v>
      </c>
      <c r="AZ74" s="15" t="str">
        <f t="shared" ca="1" si="47"/>
        <v>LINK</v>
      </c>
      <c r="BB74" s="14" t="s">
        <v>211</v>
      </c>
      <c r="BC74" t="str">
        <f t="shared" si="48"/>
        <v>25</v>
      </c>
      <c r="BD74" t="str">
        <f t="shared" si="71"/>
        <v>08</v>
      </c>
      <c r="BE74" s="98" t="str">
        <f t="shared" si="72"/>
        <v>09</v>
      </c>
      <c r="BF74" t="str">
        <f t="shared" si="49"/>
        <v>D</v>
      </c>
      <c r="BG74" t="str">
        <f t="shared" si="53"/>
        <v>https://www.coreplan.io/app/ddh1-drilling/speewah-mining-speewah-fluorite-project-wa/plods/1663-250809D</v>
      </c>
      <c r="BH74" t="str">
        <f t="shared" si="50"/>
        <v>2025-08</v>
      </c>
    </row>
    <row r="75" spans="1:60">
      <c r="A75" s="510" t="str">
        <f>VLOOKUP(F75,'Tenement Lookup'!A:BH,60,FALSE)</f>
        <v>M 80/268</v>
      </c>
      <c r="B75" t="str">
        <f>VLOOKUP(F75,Purpose!$A$2:$B$334,2,FALSE)</f>
        <v>A Vein DD</v>
      </c>
      <c r="C75" s="152" t="s">
        <v>8</v>
      </c>
      <c r="D75" s="1">
        <f t="shared" si="68"/>
        <v>45877.71</v>
      </c>
      <c r="E75" t="s">
        <v>172</v>
      </c>
      <c r="F75" s="7" t="s">
        <v>188</v>
      </c>
      <c r="H75" s="4" t="s">
        <v>215</v>
      </c>
      <c r="I75" s="4">
        <v>3</v>
      </c>
      <c r="J75" s="5">
        <f t="shared" si="64"/>
        <v>390</v>
      </c>
      <c r="K75" s="21"/>
      <c r="L75" s="28"/>
      <c r="M75" s="28">
        <f t="shared" si="56"/>
        <v>0</v>
      </c>
      <c r="N75" s="30">
        <v>5</v>
      </c>
      <c r="O75" s="26">
        <v>22</v>
      </c>
      <c r="P75" s="31">
        <f t="shared" si="41"/>
        <v>17</v>
      </c>
      <c r="Q75" s="21"/>
      <c r="R75" s="28"/>
      <c r="S75" s="22">
        <f t="shared" si="42"/>
        <v>0</v>
      </c>
      <c r="T75" s="26"/>
      <c r="U75" s="26"/>
      <c r="V75" s="31">
        <f t="shared" si="43"/>
        <v>0</v>
      </c>
      <c r="W75" s="26">
        <f t="shared" si="63"/>
        <v>17</v>
      </c>
      <c r="X75" s="36">
        <f t="shared" si="65"/>
        <v>2295</v>
      </c>
      <c r="Y75" s="37">
        <f t="shared" si="44"/>
        <v>4025</v>
      </c>
      <c r="Z75" s="38"/>
      <c r="AA75" s="38"/>
      <c r="AB75" s="38"/>
      <c r="AC75" s="38"/>
      <c r="AD75" s="157">
        <f t="shared" ref="AD75:AD138" si="75">SUMPRODUCT(Z75:AB75,$Z$2:$AB$2)</f>
        <v>0</v>
      </c>
      <c r="AE75" s="34">
        <v>8.75</v>
      </c>
      <c r="AF75" s="35">
        <v>2.75</v>
      </c>
      <c r="AG75" s="40" t="s">
        <v>269</v>
      </c>
      <c r="AH75" s="44">
        <v>0.5</v>
      </c>
      <c r="AI75" s="13"/>
      <c r="AJ75" s="46"/>
      <c r="AK75" s="45"/>
      <c r="AL75" s="23"/>
      <c r="AM75" s="138"/>
      <c r="AN75" s="25">
        <f t="shared" si="54"/>
        <v>12</v>
      </c>
      <c r="AO75" s="50"/>
      <c r="AP75" s="53">
        <f t="shared" si="45"/>
        <v>1445</v>
      </c>
      <c r="AQ75" s="53">
        <v>738.56</v>
      </c>
      <c r="AR75" s="119">
        <f t="shared" si="70"/>
        <v>348.55999999999995</v>
      </c>
      <c r="AS75" s="56">
        <f t="shared" si="69"/>
        <v>6208.5599999999995</v>
      </c>
      <c r="AT75" s="298">
        <v>6208.56</v>
      </c>
      <c r="AU75" s="298">
        <f t="shared" si="74"/>
        <v>4763.5599999999995</v>
      </c>
      <c r="AV75" s="357">
        <f t="shared" ref="AV75:AV138" si="76">IFERROR((AS75-AU75)/AS75,"")</f>
        <v>0.23274318038321287</v>
      </c>
      <c r="AW75" s="18">
        <f>SUM($AS$8:AS75)</f>
        <v>411457.47999999992</v>
      </c>
      <c r="AX75" s="18">
        <f>IF(AS75=0,"",SUMIFS($AS$8:AS75, $BH$8:BH75, BH75))</f>
        <v>101504.5</v>
      </c>
      <c r="AY75" s="57">
        <f t="shared" ca="1" si="62"/>
        <v>365.20941176470586</v>
      </c>
      <c r="AZ75" s="15" t="str">
        <f t="shared" ca="1" si="47"/>
        <v>LINK</v>
      </c>
      <c r="BB75" s="14" t="s">
        <v>211</v>
      </c>
      <c r="BC75" t="str">
        <f t="shared" si="48"/>
        <v>25</v>
      </c>
      <c r="BD75" t="str">
        <f t="shared" si="71"/>
        <v>08</v>
      </c>
      <c r="BE75" s="98" t="str">
        <f t="shared" si="72"/>
        <v>09</v>
      </c>
      <c r="BF75" t="str">
        <f t="shared" si="49"/>
        <v>N</v>
      </c>
      <c r="BG75" t="str">
        <f t="shared" si="53"/>
        <v>https://www.coreplan.io/app/ddh1-drilling/speewah-mining-speewah-fluorite-project-wa/plods/1663-250809N</v>
      </c>
      <c r="BH75" t="str">
        <f t="shared" si="50"/>
        <v>2025-08</v>
      </c>
    </row>
    <row r="76" spans="1:60">
      <c r="A76" s="510" t="str">
        <f>VLOOKUP(F76,'Tenement Lookup'!A:BH,60,FALSE)</f>
        <v>M 80/268</v>
      </c>
      <c r="B76" t="str">
        <f>VLOOKUP(F76,Purpose!$A$2:$B$334,2,FALSE)</f>
        <v>A Vein DD</v>
      </c>
      <c r="C76" s="152" t="s">
        <v>8</v>
      </c>
      <c r="D76" s="1">
        <f t="shared" si="68"/>
        <v>45878.21</v>
      </c>
      <c r="E76" t="s">
        <v>171</v>
      </c>
      <c r="F76" s="7" t="s">
        <v>188</v>
      </c>
      <c r="H76" s="4" t="s">
        <v>218</v>
      </c>
      <c r="I76" s="4">
        <v>3</v>
      </c>
      <c r="J76" s="5">
        <f t="shared" si="64"/>
        <v>390</v>
      </c>
      <c r="K76" s="21"/>
      <c r="L76" s="28"/>
      <c r="M76" s="28">
        <f t="shared" si="56"/>
        <v>0</v>
      </c>
      <c r="N76" s="30">
        <v>22</v>
      </c>
      <c r="O76" s="26">
        <v>57.8</v>
      </c>
      <c r="P76" s="31">
        <f t="shared" si="41"/>
        <v>35.799999999999997</v>
      </c>
      <c r="Q76" s="21"/>
      <c r="R76" s="28"/>
      <c r="S76" s="22">
        <f t="shared" si="42"/>
        <v>0</v>
      </c>
      <c r="T76" s="26"/>
      <c r="U76" s="26"/>
      <c r="V76" s="31">
        <f t="shared" si="43"/>
        <v>0</v>
      </c>
      <c r="W76" s="26">
        <f t="shared" si="63"/>
        <v>35.799999999999997</v>
      </c>
      <c r="X76" s="36">
        <f t="shared" si="65"/>
        <v>4833</v>
      </c>
      <c r="Y76" s="37">
        <f t="shared" si="44"/>
        <v>5060</v>
      </c>
      <c r="Z76" s="38">
        <v>1</v>
      </c>
      <c r="AA76" s="38">
        <v>1</v>
      </c>
      <c r="AB76" s="38">
        <v>1</v>
      </c>
      <c r="AC76" s="38">
        <v>13170</v>
      </c>
      <c r="AD76" s="157">
        <f t="shared" si="75"/>
        <v>750</v>
      </c>
      <c r="AE76" s="34">
        <v>11</v>
      </c>
      <c r="AF76" s="35">
        <v>0.5</v>
      </c>
      <c r="AG76" s="40"/>
      <c r="AH76" s="44">
        <v>0.5</v>
      </c>
      <c r="AI76" s="13"/>
      <c r="AJ76" s="46"/>
      <c r="AK76" s="45"/>
      <c r="AL76" s="23"/>
      <c r="AM76" s="138"/>
      <c r="AN76" s="25">
        <f t="shared" si="54"/>
        <v>12</v>
      </c>
      <c r="AO76" s="50"/>
      <c r="AP76" s="53">
        <f t="shared" si="45"/>
        <v>410</v>
      </c>
      <c r="AQ76" s="53">
        <v>390</v>
      </c>
      <c r="AR76" s="119">
        <f t="shared" si="70"/>
        <v>0</v>
      </c>
      <c r="AS76" s="56">
        <f t="shared" si="69"/>
        <v>6610</v>
      </c>
      <c r="AT76" s="298">
        <v>6610</v>
      </c>
      <c r="AU76" s="298">
        <f t="shared" si="74"/>
        <v>6200</v>
      </c>
      <c r="AV76" s="357">
        <f t="shared" si="76"/>
        <v>6.2027231467473527E-2</v>
      </c>
      <c r="AW76" s="18">
        <f>SUM($AS$8:AS76)</f>
        <v>418067.47999999992</v>
      </c>
      <c r="AX76" s="18">
        <f>IF(AS76=0,"",SUMIFS($AS$8:AS76, $BH$8:BH76, BH76))</f>
        <v>108114.5</v>
      </c>
      <c r="AY76" s="57">
        <f t="shared" ca="1" si="62"/>
        <v>184.6368715083799</v>
      </c>
      <c r="AZ76" s="15" t="str">
        <f t="shared" ca="1" si="47"/>
        <v>LINK</v>
      </c>
      <c r="BA76" t="s">
        <v>272</v>
      </c>
      <c r="BB76" s="14" t="s">
        <v>211</v>
      </c>
      <c r="BC76" t="str">
        <f t="shared" si="48"/>
        <v>25</v>
      </c>
      <c r="BD76" t="str">
        <f t="shared" si="71"/>
        <v>08</v>
      </c>
      <c r="BE76" s="98">
        <f t="shared" si="72"/>
        <v>10</v>
      </c>
      <c r="BF76" t="str">
        <f t="shared" si="49"/>
        <v>D</v>
      </c>
      <c r="BG76" t="str">
        <f t="shared" si="53"/>
        <v>https://www.coreplan.io/app/ddh1-drilling/speewah-mining-speewah-fluorite-project-wa/plods/1663-250810D</v>
      </c>
      <c r="BH76" t="str">
        <f t="shared" si="50"/>
        <v>2025-08</v>
      </c>
    </row>
    <row r="77" spans="1:60">
      <c r="A77" s="510" t="str">
        <f>VLOOKUP(F77,'Tenement Lookup'!A:BH,60,FALSE)</f>
        <v>M 80/268</v>
      </c>
      <c r="B77" t="str">
        <f>VLOOKUP(F77,Purpose!$A$2:$B$334,2,FALSE)</f>
        <v>A Vein DD</v>
      </c>
      <c r="C77" s="152" t="s">
        <v>8</v>
      </c>
      <c r="D77" s="1">
        <f t="shared" si="68"/>
        <v>45878.71</v>
      </c>
      <c r="E77" t="s">
        <v>172</v>
      </c>
      <c r="F77" s="7" t="s">
        <v>188</v>
      </c>
      <c r="H77" s="4" t="s">
        <v>215</v>
      </c>
      <c r="I77" s="4">
        <v>3</v>
      </c>
      <c r="J77" s="5">
        <f t="shared" si="64"/>
        <v>390</v>
      </c>
      <c r="K77" s="21"/>
      <c r="L77" s="28"/>
      <c r="M77" s="28">
        <f t="shared" si="56"/>
        <v>0</v>
      </c>
      <c r="N77" s="30">
        <v>57.8</v>
      </c>
      <c r="O77" s="26">
        <v>84.6</v>
      </c>
      <c r="P77" s="31">
        <f t="shared" si="41"/>
        <v>26.799999999999997</v>
      </c>
      <c r="Q77" s="21"/>
      <c r="R77" s="28"/>
      <c r="S77" s="22">
        <f t="shared" si="42"/>
        <v>0</v>
      </c>
      <c r="T77" s="26"/>
      <c r="U77" s="26"/>
      <c r="V77" s="31">
        <f t="shared" si="43"/>
        <v>0</v>
      </c>
      <c r="W77" s="26">
        <f t="shared" si="63"/>
        <v>26.799999999999997</v>
      </c>
      <c r="X77" s="36">
        <f t="shared" si="65"/>
        <v>3617.9999999999995</v>
      </c>
      <c r="Y77" s="37">
        <f t="shared" si="44"/>
        <v>3617.9999999999995</v>
      </c>
      <c r="Z77" s="38"/>
      <c r="AA77" s="38"/>
      <c r="AB77" s="38"/>
      <c r="AC77" s="38"/>
      <c r="AD77" s="157">
        <f t="shared" si="75"/>
        <v>0</v>
      </c>
      <c r="AE77" s="34">
        <v>7</v>
      </c>
      <c r="AF77" s="35">
        <v>0.25</v>
      </c>
      <c r="AG77" s="40"/>
      <c r="AH77" s="44">
        <v>0.5</v>
      </c>
      <c r="AI77" s="13">
        <v>4.25</v>
      </c>
      <c r="AJ77" s="46" t="s">
        <v>273</v>
      </c>
      <c r="AK77" s="45"/>
      <c r="AL77" s="23"/>
      <c r="AM77" s="138"/>
      <c r="AN77" s="25">
        <f t="shared" si="54"/>
        <v>12</v>
      </c>
      <c r="AO77" s="50"/>
      <c r="AP77" s="53">
        <f t="shared" si="45"/>
        <v>1825</v>
      </c>
      <c r="AQ77" s="53">
        <v>527.5</v>
      </c>
      <c r="AR77" s="119">
        <f t="shared" si="70"/>
        <v>137.5</v>
      </c>
      <c r="AS77" s="56">
        <f t="shared" si="69"/>
        <v>5970.5</v>
      </c>
      <c r="AT77" s="298">
        <v>5970.5</v>
      </c>
      <c r="AU77" s="298">
        <f t="shared" si="74"/>
        <v>4145.5</v>
      </c>
      <c r="AV77" s="357">
        <f t="shared" si="76"/>
        <v>0.30566954191441253</v>
      </c>
      <c r="AW77" s="18">
        <f>SUM($AS$8:AS77)</f>
        <v>424037.97999999992</v>
      </c>
      <c r="AX77" s="18">
        <f>IF(AS77=0,"",SUMIFS($AS$8:AS77, $BH$8:BH77, BH77))</f>
        <v>114085</v>
      </c>
      <c r="AY77" s="57">
        <f t="shared" ca="1" si="62"/>
        <v>222.77985074626869</v>
      </c>
      <c r="AZ77" s="15" t="str">
        <f t="shared" ca="1" si="47"/>
        <v>LINK</v>
      </c>
      <c r="BA77" t="s">
        <v>274</v>
      </c>
      <c r="BB77" s="14" t="s">
        <v>211</v>
      </c>
      <c r="BC77" t="str">
        <f t="shared" si="48"/>
        <v>25</v>
      </c>
      <c r="BD77" t="str">
        <f t="shared" si="71"/>
        <v>08</v>
      </c>
      <c r="BE77" s="98">
        <f t="shared" si="72"/>
        <v>10</v>
      </c>
      <c r="BF77" t="str">
        <f t="shared" si="49"/>
        <v>N</v>
      </c>
      <c r="BG77" t="str">
        <f t="shared" si="53"/>
        <v>https://www.coreplan.io/app/ddh1-drilling/speewah-mining-speewah-fluorite-project-wa/plods/1663-250810N</v>
      </c>
      <c r="BH77" t="str">
        <f t="shared" si="50"/>
        <v>2025-08</v>
      </c>
    </row>
    <row r="78" spans="1:60">
      <c r="A78" s="510" t="str">
        <f>VLOOKUP(F78,'Tenement Lookup'!A:BH,60,FALSE)</f>
        <v>M 80/268</v>
      </c>
      <c r="B78" t="str">
        <f>VLOOKUP(F78,Purpose!$A$2:$B$334,2,FALSE)</f>
        <v>A Vein DD</v>
      </c>
      <c r="C78" s="152" t="s">
        <v>8</v>
      </c>
      <c r="D78" s="1">
        <f t="shared" si="68"/>
        <v>45879.21</v>
      </c>
      <c r="E78" t="s">
        <v>171</v>
      </c>
      <c r="F78" s="7" t="s">
        <v>188</v>
      </c>
      <c r="G78" t="s">
        <v>189</v>
      </c>
      <c r="H78" s="4" t="s">
        <v>218</v>
      </c>
      <c r="I78" s="4">
        <v>3</v>
      </c>
      <c r="J78" s="5">
        <f t="shared" si="64"/>
        <v>390</v>
      </c>
      <c r="K78" s="21"/>
      <c r="L78" s="28"/>
      <c r="M78" s="28">
        <f t="shared" si="56"/>
        <v>0</v>
      </c>
      <c r="N78" s="30">
        <v>84.6</v>
      </c>
      <c r="O78" s="26">
        <v>90.6</v>
      </c>
      <c r="P78" s="31">
        <f t="shared" si="41"/>
        <v>6</v>
      </c>
      <c r="Q78" s="21"/>
      <c r="R78" s="28"/>
      <c r="S78" s="22">
        <f t="shared" si="42"/>
        <v>0</v>
      </c>
      <c r="T78" s="26">
        <v>0</v>
      </c>
      <c r="U78" s="26">
        <v>0</v>
      </c>
      <c r="V78" s="31">
        <f t="shared" si="43"/>
        <v>0</v>
      </c>
      <c r="W78" s="26">
        <f t="shared" si="63"/>
        <v>6</v>
      </c>
      <c r="X78" s="36">
        <f t="shared" si="65"/>
        <v>810</v>
      </c>
      <c r="Y78" s="37">
        <f t="shared" si="44"/>
        <v>810</v>
      </c>
      <c r="Z78" s="38">
        <v>1</v>
      </c>
      <c r="AA78" s="38">
        <v>1</v>
      </c>
      <c r="AB78" s="38">
        <v>1</v>
      </c>
      <c r="AC78" s="38">
        <v>13170</v>
      </c>
      <c r="AD78" s="157">
        <f t="shared" si="75"/>
        <v>750</v>
      </c>
      <c r="AE78" s="34">
        <v>1.75</v>
      </c>
      <c r="AF78" s="35">
        <v>9.25</v>
      </c>
      <c r="AG78" s="40"/>
      <c r="AH78" s="44">
        <v>0.5</v>
      </c>
      <c r="AI78" s="13"/>
      <c r="AJ78" s="46"/>
      <c r="AK78" s="45">
        <v>0.5</v>
      </c>
      <c r="AL78" s="23"/>
      <c r="AM78" s="138" t="s">
        <v>275</v>
      </c>
      <c r="AN78" s="25">
        <f t="shared" si="54"/>
        <v>12</v>
      </c>
      <c r="AO78" s="50"/>
      <c r="AP78" s="53">
        <f t="shared" si="45"/>
        <v>4435</v>
      </c>
      <c r="AQ78" s="53">
        <v>390</v>
      </c>
      <c r="AR78" s="119">
        <f t="shared" si="70"/>
        <v>0</v>
      </c>
      <c r="AS78" s="56">
        <f t="shared" si="69"/>
        <v>6385</v>
      </c>
      <c r="AT78" s="298">
        <v>6385</v>
      </c>
      <c r="AU78" s="298">
        <f t="shared" si="74"/>
        <v>1950</v>
      </c>
      <c r="AV78" s="357">
        <f t="shared" si="76"/>
        <v>0.69459671104150356</v>
      </c>
      <c r="AW78" s="18">
        <f>SUM($AS$8:AS78)</f>
        <v>430422.97999999992</v>
      </c>
      <c r="AX78" s="18">
        <f>IF(AS78=0,"",SUMIFS($AS$8:AS78, $BH$8:BH78, BH78))</f>
        <v>120470</v>
      </c>
      <c r="AY78" s="57">
        <f t="shared" ca="1" si="62"/>
        <v>1064.1666666666667</v>
      </c>
      <c r="AZ78" s="15" t="str">
        <f t="shared" ca="1" si="47"/>
        <v>LINK</v>
      </c>
      <c r="BA78" t="s">
        <v>276</v>
      </c>
      <c r="BB78" s="14" t="s">
        <v>211</v>
      </c>
      <c r="BC78" t="str">
        <f t="shared" si="48"/>
        <v>25</v>
      </c>
      <c r="BD78" t="str">
        <f t="shared" si="71"/>
        <v>08</v>
      </c>
      <c r="BE78" s="98">
        <f t="shared" si="72"/>
        <v>11</v>
      </c>
      <c r="BF78" t="str">
        <f t="shared" si="49"/>
        <v>D</v>
      </c>
      <c r="BG78" t="str">
        <f t="shared" si="53"/>
        <v>https://www.coreplan.io/app/ddh1-drilling/speewah-mining-speewah-fluorite-project-wa/plods/1663-250811D</v>
      </c>
      <c r="BH78" t="str">
        <f t="shared" si="50"/>
        <v>2025-08</v>
      </c>
    </row>
    <row r="79" spans="1:60">
      <c r="A79" s="510" t="str">
        <f>VLOOKUP(F79,'Tenement Lookup'!A:BH,60,FALSE)</f>
        <v>M 80/268</v>
      </c>
      <c r="B79" t="str">
        <f>VLOOKUP(F79,Purpose!$A$2:$B$334,2,FALSE)</f>
        <v>Geotech</v>
      </c>
      <c r="C79" s="152" t="s">
        <v>9</v>
      </c>
      <c r="D79" s="1">
        <f t="shared" si="68"/>
        <v>45879.71</v>
      </c>
      <c r="E79" t="s">
        <v>172</v>
      </c>
      <c r="F79" t="s">
        <v>189</v>
      </c>
      <c r="H79" s="4" t="s">
        <v>215</v>
      </c>
      <c r="I79" s="4">
        <v>3</v>
      </c>
      <c r="J79" s="5">
        <f t="shared" si="64"/>
        <v>390</v>
      </c>
      <c r="K79" s="21"/>
      <c r="L79" s="28"/>
      <c r="M79" s="28">
        <f t="shared" si="56"/>
        <v>0</v>
      </c>
      <c r="N79" s="30">
        <v>0</v>
      </c>
      <c r="O79" s="26">
        <v>21.7</v>
      </c>
      <c r="P79" s="31">
        <f t="shared" si="41"/>
        <v>21.7</v>
      </c>
      <c r="Q79" s="21"/>
      <c r="R79" s="28"/>
      <c r="S79" s="22">
        <f t="shared" si="42"/>
        <v>0</v>
      </c>
      <c r="T79" s="26"/>
      <c r="U79" s="26"/>
      <c r="V79" s="31">
        <f t="shared" si="43"/>
        <v>0</v>
      </c>
      <c r="W79" s="26">
        <f t="shared" si="63"/>
        <v>21.7</v>
      </c>
      <c r="X79" s="36">
        <f t="shared" si="65"/>
        <v>2929.5</v>
      </c>
      <c r="Y79" s="37">
        <f t="shared" si="44"/>
        <v>4600</v>
      </c>
      <c r="Z79" s="38"/>
      <c r="AA79" s="38"/>
      <c r="AB79" s="38"/>
      <c r="AC79" s="38"/>
      <c r="AD79" s="157">
        <f t="shared" si="75"/>
        <v>0</v>
      </c>
      <c r="AE79" s="34">
        <v>10</v>
      </c>
      <c r="AF79" s="35">
        <v>1</v>
      </c>
      <c r="AG79" s="40"/>
      <c r="AH79" s="44">
        <v>0.5</v>
      </c>
      <c r="AI79" s="13"/>
      <c r="AJ79" s="46"/>
      <c r="AK79" s="45">
        <v>0.5</v>
      </c>
      <c r="AL79" s="23"/>
      <c r="AM79" s="138" t="s">
        <v>275</v>
      </c>
      <c r="AN79" s="25">
        <f t="shared" si="54"/>
        <v>12</v>
      </c>
      <c r="AO79" s="50"/>
      <c r="AP79" s="53">
        <f t="shared" si="45"/>
        <v>640</v>
      </c>
      <c r="AQ79" s="53">
        <v>786.12</v>
      </c>
      <c r="AR79" s="119">
        <f t="shared" si="70"/>
        <v>396.12</v>
      </c>
      <c r="AS79" s="56">
        <f t="shared" si="69"/>
        <v>6026.12</v>
      </c>
      <c r="AT79" s="298">
        <v>6026.12</v>
      </c>
      <c r="AU79" s="298">
        <f t="shared" si="74"/>
        <v>5386.12</v>
      </c>
      <c r="AV79" s="357">
        <f t="shared" si="76"/>
        <v>0.10620432384353448</v>
      </c>
      <c r="AW79" s="18">
        <f>SUM($AS$8:AS79)</f>
        <v>436449.09999999992</v>
      </c>
      <c r="AX79" s="18">
        <f>IF(AS79=0,"",SUMIFS($AS$8:AS79, $BH$8:BH79, BH79))</f>
        <v>126496.12</v>
      </c>
      <c r="AY79" s="57">
        <f t="shared" ca="1" si="62"/>
        <v>277.70138248847928</v>
      </c>
      <c r="AZ79" s="15" t="str">
        <f t="shared" ca="1" si="47"/>
        <v>LINK</v>
      </c>
      <c r="BA79" t="s">
        <v>277</v>
      </c>
      <c r="BB79" s="14" t="s">
        <v>211</v>
      </c>
      <c r="BC79" t="str">
        <f t="shared" si="48"/>
        <v>25</v>
      </c>
      <c r="BD79" t="str">
        <f t="shared" si="71"/>
        <v>08</v>
      </c>
      <c r="BE79" s="98">
        <f t="shared" si="72"/>
        <v>11</v>
      </c>
      <c r="BF79" t="str">
        <f t="shared" si="49"/>
        <v>N</v>
      </c>
      <c r="BG79" t="str">
        <f t="shared" si="53"/>
        <v>https://www.coreplan.io/app/ddh1-drilling/speewah-mining-speewah-fluorite-project-wa/plods/1663-250811N</v>
      </c>
      <c r="BH79" t="str">
        <f t="shared" si="50"/>
        <v>2025-08</v>
      </c>
    </row>
    <row r="80" spans="1:60">
      <c r="A80" s="510" t="str">
        <f>VLOOKUP(F80,'Tenement Lookup'!A:BH,60,FALSE)</f>
        <v>M 80/268</v>
      </c>
      <c r="B80" t="str">
        <f>VLOOKUP(F80,Purpose!$A$2:$B$334,2,FALSE)</f>
        <v>Geotech</v>
      </c>
      <c r="C80" s="152" t="s">
        <v>9</v>
      </c>
      <c r="D80" s="1">
        <f t="shared" si="68"/>
        <v>45880.21</v>
      </c>
      <c r="E80" t="s">
        <v>171</v>
      </c>
      <c r="F80" t="s">
        <v>189</v>
      </c>
      <c r="H80" s="4" t="s">
        <v>218</v>
      </c>
      <c r="I80" s="4">
        <v>3</v>
      </c>
      <c r="J80" s="5">
        <f t="shared" si="64"/>
        <v>390</v>
      </c>
      <c r="K80" s="21"/>
      <c r="L80" s="28"/>
      <c r="M80" s="28">
        <f t="shared" si="56"/>
        <v>0</v>
      </c>
      <c r="N80" s="30">
        <v>21.7</v>
      </c>
      <c r="O80" s="26">
        <v>57.7</v>
      </c>
      <c r="P80" s="31">
        <f t="shared" si="41"/>
        <v>36</v>
      </c>
      <c r="Q80" s="21"/>
      <c r="R80" s="28"/>
      <c r="S80" s="22">
        <f t="shared" si="42"/>
        <v>0</v>
      </c>
      <c r="T80" s="26"/>
      <c r="U80" s="26"/>
      <c r="V80" s="31">
        <f t="shared" si="43"/>
        <v>0</v>
      </c>
      <c r="W80" s="26">
        <f t="shared" si="63"/>
        <v>36</v>
      </c>
      <c r="X80" s="36">
        <f t="shared" si="65"/>
        <v>4860</v>
      </c>
      <c r="Y80" s="37">
        <f t="shared" si="44"/>
        <v>4945</v>
      </c>
      <c r="Z80" s="38">
        <v>1</v>
      </c>
      <c r="AA80" s="38">
        <v>1</v>
      </c>
      <c r="AB80" s="38">
        <v>1</v>
      </c>
      <c r="AC80" s="38">
        <v>13170</v>
      </c>
      <c r="AD80" s="157">
        <f t="shared" si="75"/>
        <v>750</v>
      </c>
      <c r="AE80" s="34">
        <v>10.75</v>
      </c>
      <c r="AF80" s="35">
        <v>0.75</v>
      </c>
      <c r="AG80" s="40"/>
      <c r="AH80" s="44">
        <v>0.5</v>
      </c>
      <c r="AI80" s="13"/>
      <c r="AJ80" s="46"/>
      <c r="AK80" s="45"/>
      <c r="AL80" s="23"/>
      <c r="AM80" s="138"/>
      <c r="AN80" s="25">
        <f t="shared" si="54"/>
        <v>12</v>
      </c>
      <c r="AO80" s="50"/>
      <c r="AP80" s="53">
        <f t="shared" si="45"/>
        <v>525</v>
      </c>
      <c r="AQ80" s="53">
        <f>878.93+390</f>
        <v>1268.9299999999998</v>
      </c>
      <c r="AR80" s="119">
        <f t="shared" si="70"/>
        <v>878.92999999999984</v>
      </c>
      <c r="AS80" s="56">
        <f t="shared" si="69"/>
        <v>7488.93</v>
      </c>
      <c r="AT80" s="298">
        <v>7488.93</v>
      </c>
      <c r="AU80" s="298">
        <f t="shared" si="74"/>
        <v>6963.93</v>
      </c>
      <c r="AV80" s="357">
        <f t="shared" si="76"/>
        <v>7.0103472725743188E-2</v>
      </c>
      <c r="AW80" s="18">
        <f>SUM($AS$8:AS80)</f>
        <v>443938.02999999991</v>
      </c>
      <c r="AX80" s="18">
        <f>IF(AS80=0,"",SUMIFS($AS$8:AS80, $BH$8:BH80, BH80))</f>
        <v>133985.04999999999</v>
      </c>
      <c r="AY80" s="57">
        <f t="shared" ca="1" si="62"/>
        <v>208.02583333333334</v>
      </c>
      <c r="AZ80" s="15" t="str">
        <f t="shared" ca="1" si="47"/>
        <v>LINK</v>
      </c>
      <c r="BA80" t="s">
        <v>278</v>
      </c>
      <c r="BB80" s="14" t="s">
        <v>211</v>
      </c>
      <c r="BC80" t="str">
        <f t="shared" si="48"/>
        <v>25</v>
      </c>
      <c r="BD80" t="str">
        <f t="shared" si="71"/>
        <v>08</v>
      </c>
      <c r="BE80" s="98">
        <f t="shared" si="72"/>
        <v>12</v>
      </c>
      <c r="BF80" t="str">
        <f t="shared" si="49"/>
        <v>D</v>
      </c>
      <c r="BG80" t="str">
        <f t="shared" si="53"/>
        <v>https://www.coreplan.io/app/ddh1-drilling/speewah-mining-speewah-fluorite-project-wa/plods/1663-250812D</v>
      </c>
      <c r="BH80" t="str">
        <f t="shared" si="50"/>
        <v>2025-08</v>
      </c>
    </row>
    <row r="81" spans="1:60">
      <c r="A81" s="510" t="str">
        <f>VLOOKUP(F81,'Tenement Lookup'!A:BH,60,FALSE)</f>
        <v>M 80/268</v>
      </c>
      <c r="B81" t="str">
        <f>VLOOKUP(F81,Purpose!$A$2:$B$334,2,FALSE)</f>
        <v>Geotech</v>
      </c>
      <c r="C81" s="152" t="s">
        <v>9</v>
      </c>
      <c r="D81" s="1">
        <f t="shared" si="68"/>
        <v>45880.71</v>
      </c>
      <c r="E81" t="s">
        <v>172</v>
      </c>
      <c r="F81" t="s">
        <v>189</v>
      </c>
      <c r="H81" s="4" t="s">
        <v>215</v>
      </c>
      <c r="I81" s="4">
        <v>3</v>
      </c>
      <c r="J81" s="5">
        <f t="shared" si="64"/>
        <v>390</v>
      </c>
      <c r="K81" s="21"/>
      <c r="L81" s="28"/>
      <c r="M81" s="28">
        <f t="shared" si="56"/>
        <v>0</v>
      </c>
      <c r="N81" s="30">
        <v>57.7</v>
      </c>
      <c r="O81" s="26">
        <v>93.7</v>
      </c>
      <c r="P81" s="31">
        <f t="shared" si="41"/>
        <v>36</v>
      </c>
      <c r="Q81" s="21"/>
      <c r="R81" s="28"/>
      <c r="S81" s="22">
        <f t="shared" si="42"/>
        <v>0</v>
      </c>
      <c r="T81" s="26"/>
      <c r="U81" s="26"/>
      <c r="V81" s="31">
        <f t="shared" si="43"/>
        <v>0</v>
      </c>
      <c r="W81" s="26">
        <f t="shared" si="63"/>
        <v>36</v>
      </c>
      <c r="X81" s="36">
        <f t="shared" si="65"/>
        <v>4860</v>
      </c>
      <c r="Y81" s="37">
        <f t="shared" si="44"/>
        <v>5060</v>
      </c>
      <c r="Z81" s="38"/>
      <c r="AA81" s="38"/>
      <c r="AB81" s="38"/>
      <c r="AC81" s="38"/>
      <c r="AD81" s="157">
        <f t="shared" si="75"/>
        <v>0</v>
      </c>
      <c r="AE81" s="34">
        <v>11</v>
      </c>
      <c r="AF81" s="35">
        <v>0.5</v>
      </c>
      <c r="AG81" s="40"/>
      <c r="AH81" s="44">
        <v>0.5</v>
      </c>
      <c r="AI81" s="13"/>
      <c r="AJ81" s="46"/>
      <c r="AK81" s="45"/>
      <c r="AL81" s="23"/>
      <c r="AM81" s="138"/>
      <c r="AN81" s="25">
        <f t="shared" si="54"/>
        <v>12</v>
      </c>
      <c r="AO81" s="50"/>
      <c r="AP81" s="53">
        <f t="shared" si="45"/>
        <v>410</v>
      </c>
      <c r="AQ81" s="53">
        <v>390</v>
      </c>
      <c r="AR81" s="119">
        <f t="shared" si="70"/>
        <v>0</v>
      </c>
      <c r="AS81" s="56">
        <f t="shared" si="69"/>
        <v>5860</v>
      </c>
      <c r="AT81" s="298">
        <v>5860</v>
      </c>
      <c r="AU81" s="298">
        <f t="shared" si="74"/>
        <v>5450</v>
      </c>
      <c r="AV81" s="357">
        <f t="shared" si="76"/>
        <v>6.9965870307167236E-2</v>
      </c>
      <c r="AW81" s="18">
        <f>SUM($AS$8:AS81)</f>
        <v>449798.02999999991</v>
      </c>
      <c r="AX81" s="18">
        <f>IF(AS81=0,"",SUMIFS($AS$8:AS81, $BH$8:BH81, BH81))</f>
        <v>139845.04999999999</v>
      </c>
      <c r="AY81" s="57">
        <f t="shared" ca="1" si="62"/>
        <v>162.77777777777777</v>
      </c>
      <c r="AZ81" s="15" t="str">
        <f t="shared" ca="1" si="47"/>
        <v>LINK</v>
      </c>
      <c r="BA81" t="s">
        <v>279</v>
      </c>
      <c r="BB81" s="14" t="s">
        <v>211</v>
      </c>
      <c r="BC81" t="str">
        <f t="shared" si="48"/>
        <v>25</v>
      </c>
      <c r="BD81" t="str">
        <f t="shared" si="71"/>
        <v>08</v>
      </c>
      <c r="BE81" s="98">
        <f t="shared" si="72"/>
        <v>12</v>
      </c>
      <c r="BF81" t="str">
        <f t="shared" si="49"/>
        <v>N</v>
      </c>
      <c r="BG81" t="str">
        <f t="shared" si="53"/>
        <v>https://www.coreplan.io/app/ddh1-drilling/speewah-mining-speewah-fluorite-project-wa/plods/1663-250812N</v>
      </c>
      <c r="BH81" t="str">
        <f t="shared" si="50"/>
        <v>2025-08</v>
      </c>
    </row>
    <row r="82" spans="1:60">
      <c r="A82" s="510" t="str">
        <f>VLOOKUP(F82,'Tenement Lookup'!A:BH,60,FALSE)</f>
        <v>M 80/268</v>
      </c>
      <c r="B82" t="str">
        <f>VLOOKUP(F82,Purpose!$A$2:$B$334,2,FALSE)</f>
        <v>Geotech</v>
      </c>
      <c r="C82" s="152" t="s">
        <v>9</v>
      </c>
      <c r="D82" s="1">
        <f t="shared" si="68"/>
        <v>45881.21</v>
      </c>
      <c r="E82" t="s">
        <v>171</v>
      </c>
      <c r="F82" t="s">
        <v>189</v>
      </c>
      <c r="H82" s="4" t="s">
        <v>218</v>
      </c>
      <c r="I82" s="4">
        <v>3</v>
      </c>
      <c r="J82" s="5">
        <f t="shared" si="64"/>
        <v>390</v>
      </c>
      <c r="K82" s="21"/>
      <c r="L82" s="28"/>
      <c r="M82" s="28">
        <f t="shared" si="56"/>
        <v>0</v>
      </c>
      <c r="N82" s="30">
        <v>93.7</v>
      </c>
      <c r="O82" s="26">
        <v>100.2</v>
      </c>
      <c r="P82" s="31">
        <f t="shared" si="41"/>
        <v>6.5</v>
      </c>
      <c r="Q82" s="21"/>
      <c r="R82" s="28"/>
      <c r="S82" s="22">
        <f t="shared" si="42"/>
        <v>0</v>
      </c>
      <c r="T82" s="26"/>
      <c r="U82" s="26"/>
      <c r="V82" s="31">
        <f t="shared" si="43"/>
        <v>0</v>
      </c>
      <c r="W82" s="26">
        <f t="shared" si="63"/>
        <v>6.5</v>
      </c>
      <c r="X82" s="36">
        <f t="shared" si="65"/>
        <v>877.5</v>
      </c>
      <c r="Y82" s="37">
        <f t="shared" si="44"/>
        <v>1150</v>
      </c>
      <c r="Z82" s="38">
        <v>1</v>
      </c>
      <c r="AA82" s="38">
        <v>1</v>
      </c>
      <c r="AB82" s="38">
        <v>1</v>
      </c>
      <c r="AC82" s="38">
        <v>13170</v>
      </c>
      <c r="AD82" s="157">
        <f t="shared" si="75"/>
        <v>750</v>
      </c>
      <c r="AE82" s="34">
        <v>2.5</v>
      </c>
      <c r="AF82" s="35">
        <v>8.5</v>
      </c>
      <c r="AG82" s="40"/>
      <c r="AH82" s="44">
        <v>1</v>
      </c>
      <c r="AI82" s="13"/>
      <c r="AJ82" s="46"/>
      <c r="AK82" s="45"/>
      <c r="AL82" s="23"/>
      <c r="AM82" s="138"/>
      <c r="AN82" s="25">
        <f t="shared" si="54"/>
        <v>12</v>
      </c>
      <c r="AO82" s="50"/>
      <c r="AP82" s="53">
        <f t="shared" si="45"/>
        <v>4270</v>
      </c>
      <c r="AQ82" s="53">
        <v>390</v>
      </c>
      <c r="AR82" s="119">
        <f t="shared" si="70"/>
        <v>0</v>
      </c>
      <c r="AS82" s="56">
        <f t="shared" si="69"/>
        <v>6560</v>
      </c>
      <c r="AT82" s="298">
        <v>6560</v>
      </c>
      <c r="AU82" s="298">
        <f t="shared" si="74"/>
        <v>2290</v>
      </c>
      <c r="AV82" s="357">
        <f t="shared" si="76"/>
        <v>0.65091463414634143</v>
      </c>
      <c r="AW82" s="18">
        <f>SUM($AS$8:AS82)</f>
        <v>456358.02999999991</v>
      </c>
      <c r="AX82" s="18">
        <f>IF(AS82=0,"",SUMIFS($AS$8:AS82, $BH$8:BH82, BH82))</f>
        <v>146405.04999999999</v>
      </c>
      <c r="AY82" s="57">
        <f t="shared" ref="AY82:AY113" ca="1" si="77">IF(AND(D82&gt;TODAY(),ISBLANK(H82)),"",IF(ISBLANK(AE82),"no drilling completed",AS82/(W82)))</f>
        <v>1009.2307692307693</v>
      </c>
      <c r="AZ82" s="15" t="str">
        <f t="shared" ca="1" si="47"/>
        <v>LINK</v>
      </c>
      <c r="BA82" t="s">
        <v>280</v>
      </c>
      <c r="BB82" s="14" t="s">
        <v>211</v>
      </c>
      <c r="BC82" t="str">
        <f t="shared" si="48"/>
        <v>25</v>
      </c>
      <c r="BD82" t="str">
        <f t="shared" si="71"/>
        <v>08</v>
      </c>
      <c r="BE82" s="98">
        <f t="shared" si="72"/>
        <v>13</v>
      </c>
      <c r="BF82" t="str">
        <f t="shared" si="49"/>
        <v>D</v>
      </c>
      <c r="BG82" t="str">
        <f t="shared" si="53"/>
        <v>https://www.coreplan.io/app/ddh1-drilling/speewah-mining-speewah-fluorite-project-wa/plods/1663-250813D</v>
      </c>
      <c r="BH82" t="str">
        <f t="shared" si="50"/>
        <v>2025-08</v>
      </c>
    </row>
    <row r="83" spans="1:60">
      <c r="A83" s="510" t="str">
        <f>VLOOKUP(F83,'Tenement Lookup'!A:BH,60,FALSE)</f>
        <v>M 80/268</v>
      </c>
      <c r="B83" t="str">
        <f>VLOOKUP(F83,Purpose!$A$2:$B$334,2,FALSE)</f>
        <v>A Vein DD</v>
      </c>
      <c r="C83" s="152" t="s">
        <v>8</v>
      </c>
      <c r="D83" s="1">
        <f t="shared" si="68"/>
        <v>45881.71</v>
      </c>
      <c r="E83" t="s">
        <v>172</v>
      </c>
      <c r="F83" t="s">
        <v>281</v>
      </c>
      <c r="H83" s="4" t="s">
        <v>215</v>
      </c>
      <c r="I83" s="4">
        <v>3</v>
      </c>
      <c r="J83" s="5">
        <f t="shared" si="64"/>
        <v>390</v>
      </c>
      <c r="K83" s="21"/>
      <c r="L83" s="28"/>
      <c r="M83" s="28">
        <f t="shared" si="56"/>
        <v>0</v>
      </c>
      <c r="N83" s="30">
        <v>0</v>
      </c>
      <c r="O83" s="26">
        <v>18.2</v>
      </c>
      <c r="P83" s="31">
        <f t="shared" si="41"/>
        <v>18.2</v>
      </c>
      <c r="Q83" s="21"/>
      <c r="R83" s="28"/>
      <c r="S83" s="22">
        <f t="shared" si="42"/>
        <v>0</v>
      </c>
      <c r="T83" s="26"/>
      <c r="U83" s="26"/>
      <c r="V83" s="31">
        <f t="shared" si="43"/>
        <v>0</v>
      </c>
      <c r="W83" s="26">
        <f t="shared" si="63"/>
        <v>18.2</v>
      </c>
      <c r="X83" s="36">
        <f t="shared" si="65"/>
        <v>2457</v>
      </c>
      <c r="Y83" s="37">
        <f t="shared" si="44"/>
        <v>3680</v>
      </c>
      <c r="Z83" s="38"/>
      <c r="AA83" s="38"/>
      <c r="AB83" s="38"/>
      <c r="AC83" s="38"/>
      <c r="AD83" s="157">
        <f t="shared" si="75"/>
        <v>0</v>
      </c>
      <c r="AE83" s="34">
        <v>8</v>
      </c>
      <c r="AF83" s="35">
        <v>3.5</v>
      </c>
      <c r="AG83" s="40"/>
      <c r="AH83" s="44">
        <v>0.5</v>
      </c>
      <c r="AI83" s="13"/>
      <c r="AJ83" s="46"/>
      <c r="AK83" s="45"/>
      <c r="AL83" s="23"/>
      <c r="AM83" s="138"/>
      <c r="AN83" s="25">
        <f t="shared" si="54"/>
        <v>12</v>
      </c>
      <c r="AO83" s="50"/>
      <c r="AP83" s="53">
        <f t="shared" si="45"/>
        <v>1790</v>
      </c>
      <c r="AQ83" s="53">
        <v>833.68</v>
      </c>
      <c r="AR83" s="119">
        <f t="shared" si="70"/>
        <v>443.67999999999995</v>
      </c>
      <c r="AS83" s="56">
        <f t="shared" si="69"/>
        <v>6303.68</v>
      </c>
      <c r="AT83" s="298">
        <v>6303.68</v>
      </c>
      <c r="AU83" s="298">
        <f t="shared" si="74"/>
        <v>4513.68</v>
      </c>
      <c r="AV83" s="357">
        <f t="shared" si="76"/>
        <v>0.28396111477739988</v>
      </c>
      <c r="AW83" s="18">
        <f>SUM($AS$8:AS83)</f>
        <v>462661.7099999999</v>
      </c>
      <c r="AX83" s="18">
        <f>IF(AS83=0,"",SUMIFS($AS$8:AS83, $BH$8:BH83, BH83))</f>
        <v>152708.72999999998</v>
      </c>
      <c r="AY83" s="57">
        <f t="shared" ca="1" si="77"/>
        <v>346.356043956044</v>
      </c>
      <c r="AZ83" s="15" t="str">
        <f t="shared" ca="1" si="47"/>
        <v>LINK</v>
      </c>
      <c r="BA83" t="s">
        <v>282</v>
      </c>
      <c r="BB83" s="14" t="s">
        <v>211</v>
      </c>
      <c r="BC83" t="str">
        <f t="shared" si="48"/>
        <v>25</v>
      </c>
      <c r="BD83" t="str">
        <f t="shared" si="71"/>
        <v>08</v>
      </c>
      <c r="BE83" s="98">
        <f t="shared" si="72"/>
        <v>13</v>
      </c>
      <c r="BF83" t="str">
        <f t="shared" si="49"/>
        <v>N</v>
      </c>
      <c r="BG83" t="str">
        <f t="shared" si="53"/>
        <v>https://www.coreplan.io/app/ddh1-drilling/speewah-mining-speewah-fluorite-project-wa/plods/1663-250813N</v>
      </c>
      <c r="BH83" t="str">
        <f t="shared" si="50"/>
        <v>2025-08</v>
      </c>
    </row>
    <row r="84" spans="1:60">
      <c r="A84" s="510" t="str">
        <f>VLOOKUP(F84,'Tenement Lookup'!A:BH,60,FALSE)</f>
        <v>M 80/268</v>
      </c>
      <c r="B84" t="str">
        <f>VLOOKUP(F84,Purpose!$A$2:$B$334,2,FALSE)</f>
        <v>A Vein DD</v>
      </c>
      <c r="C84" s="152" t="s">
        <v>8</v>
      </c>
      <c r="D84" s="1">
        <f t="shared" si="68"/>
        <v>45882.21</v>
      </c>
      <c r="E84" t="s">
        <v>171</v>
      </c>
      <c r="F84" t="s">
        <v>281</v>
      </c>
      <c r="H84" s="4" t="s">
        <v>218</v>
      </c>
      <c r="I84" s="4">
        <v>3</v>
      </c>
      <c r="J84" s="5">
        <f t="shared" si="64"/>
        <v>390</v>
      </c>
      <c r="K84" s="21"/>
      <c r="L84" s="28"/>
      <c r="M84" s="28">
        <f t="shared" si="56"/>
        <v>0</v>
      </c>
      <c r="N84" s="30">
        <v>18.2</v>
      </c>
      <c r="O84" s="26">
        <v>52</v>
      </c>
      <c r="P84" s="31">
        <f t="shared" si="41"/>
        <v>33.799999999999997</v>
      </c>
      <c r="Q84" s="21"/>
      <c r="R84" s="28"/>
      <c r="S84" s="22">
        <f t="shared" si="42"/>
        <v>0</v>
      </c>
      <c r="T84" s="26"/>
      <c r="U84" s="26"/>
      <c r="V84" s="31">
        <f t="shared" si="43"/>
        <v>0</v>
      </c>
      <c r="W84" s="26">
        <f t="shared" ref="W84:W115" si="78">IFERROR(M84+P84+S84+V84,"")</f>
        <v>33.799999999999997</v>
      </c>
      <c r="X84" s="36">
        <f t="shared" si="65"/>
        <v>4563</v>
      </c>
      <c r="Y84" s="37">
        <f t="shared" si="44"/>
        <v>5060</v>
      </c>
      <c r="Z84" s="38">
        <v>1</v>
      </c>
      <c r="AA84" s="38">
        <v>1</v>
      </c>
      <c r="AB84" s="38">
        <v>1</v>
      </c>
      <c r="AC84" s="38">
        <v>13170</v>
      </c>
      <c r="AD84" s="157">
        <f t="shared" si="75"/>
        <v>750</v>
      </c>
      <c r="AE84" s="34">
        <v>11</v>
      </c>
      <c r="AF84" s="35">
        <v>0.5</v>
      </c>
      <c r="AG84" s="40"/>
      <c r="AH84" s="44">
        <v>0.5</v>
      </c>
      <c r="AI84" s="13"/>
      <c r="AJ84" s="46"/>
      <c r="AK84" s="45"/>
      <c r="AL84" s="23"/>
      <c r="AM84" s="138"/>
      <c r="AN84" s="25">
        <f t="shared" si="54"/>
        <v>12</v>
      </c>
      <c r="AO84" s="50"/>
      <c r="AP84" s="53">
        <f t="shared" si="45"/>
        <v>410</v>
      </c>
      <c r="AQ84" s="53">
        <v>507.93</v>
      </c>
      <c r="AR84" s="119">
        <f t="shared" ref="AR84:AR115" si="79">AQ84-J84</f>
        <v>117.93</v>
      </c>
      <c r="AS84" s="56">
        <f t="shared" si="69"/>
        <v>6727.93</v>
      </c>
      <c r="AT84" s="298">
        <v>6727.93</v>
      </c>
      <c r="AU84" s="298">
        <f t="shared" si="74"/>
        <v>6317.93</v>
      </c>
      <c r="AV84" s="357">
        <f t="shared" si="76"/>
        <v>6.0939991944030332E-2</v>
      </c>
      <c r="AW84" s="18">
        <f>SUM($AS$8:AS84)</f>
        <v>469389.6399999999</v>
      </c>
      <c r="AX84" s="18">
        <f>IF(AS84=0,"",SUMIFS($AS$8:AS84, $BH$8:BH84, BH84))</f>
        <v>159436.65999999997</v>
      </c>
      <c r="AY84" s="57">
        <f t="shared" ca="1" si="77"/>
        <v>199.05118343195269</v>
      </c>
      <c r="AZ84" s="15" t="str">
        <f t="shared" ca="1" si="47"/>
        <v>LINK</v>
      </c>
      <c r="BA84" t="s">
        <v>283</v>
      </c>
      <c r="BB84" s="14" t="s">
        <v>211</v>
      </c>
      <c r="BC84" t="str">
        <f t="shared" si="48"/>
        <v>25</v>
      </c>
      <c r="BD84" t="str">
        <f t="shared" si="71"/>
        <v>08</v>
      </c>
      <c r="BE84" s="98">
        <f t="shared" si="72"/>
        <v>14</v>
      </c>
      <c r="BF84" t="str">
        <f t="shared" si="49"/>
        <v>D</v>
      </c>
      <c r="BG84" t="str">
        <f t="shared" si="53"/>
        <v>https://www.coreplan.io/app/ddh1-drilling/speewah-mining-speewah-fluorite-project-wa/plods/1663-250814D</v>
      </c>
      <c r="BH84" t="str">
        <f t="shared" si="50"/>
        <v>2025-08</v>
      </c>
    </row>
    <row r="85" spans="1:60">
      <c r="A85" s="510" t="str">
        <f>VLOOKUP(F85,'Tenement Lookup'!A:BH,60,FALSE)</f>
        <v>M 80/268</v>
      </c>
      <c r="B85" t="str">
        <f>VLOOKUP(F85,Purpose!$A$2:$B$334,2,FALSE)</f>
        <v>A Vein DD</v>
      </c>
      <c r="C85" s="152" t="s">
        <v>8</v>
      </c>
      <c r="D85" s="1">
        <f t="shared" si="68"/>
        <v>45882.71</v>
      </c>
      <c r="E85" t="s">
        <v>172</v>
      </c>
      <c r="F85" t="s">
        <v>281</v>
      </c>
      <c r="H85" s="4" t="s">
        <v>215</v>
      </c>
      <c r="I85" s="4">
        <v>3</v>
      </c>
      <c r="J85" s="5">
        <f t="shared" si="64"/>
        <v>390</v>
      </c>
      <c r="K85" s="21"/>
      <c r="L85" s="28"/>
      <c r="M85" s="28">
        <f t="shared" si="56"/>
        <v>0</v>
      </c>
      <c r="N85" s="30">
        <v>52</v>
      </c>
      <c r="O85" s="26">
        <v>75.400000000000006</v>
      </c>
      <c r="P85" s="31">
        <f t="shared" si="41"/>
        <v>23.400000000000006</v>
      </c>
      <c r="Q85" s="21"/>
      <c r="R85" s="28"/>
      <c r="S85" s="22">
        <f t="shared" si="42"/>
        <v>0</v>
      </c>
      <c r="T85" s="26"/>
      <c r="U85" s="26"/>
      <c r="V85" s="31">
        <f t="shared" si="43"/>
        <v>0</v>
      </c>
      <c r="W85" s="26">
        <f t="shared" si="78"/>
        <v>23.400000000000006</v>
      </c>
      <c r="X85" s="36">
        <f t="shared" si="65"/>
        <v>3159.0000000000009</v>
      </c>
      <c r="Y85" s="37">
        <f t="shared" si="44"/>
        <v>4140</v>
      </c>
      <c r="Z85" s="38"/>
      <c r="AA85" s="38"/>
      <c r="AB85" s="38"/>
      <c r="AC85" s="38"/>
      <c r="AD85" s="157">
        <f t="shared" si="75"/>
        <v>0</v>
      </c>
      <c r="AE85" s="34">
        <v>9</v>
      </c>
      <c r="AF85" s="35">
        <v>0.5</v>
      </c>
      <c r="AG85" s="40" t="s">
        <v>284</v>
      </c>
      <c r="AH85" s="44">
        <v>1.5</v>
      </c>
      <c r="AI85" s="13"/>
      <c r="AJ85" s="46"/>
      <c r="AK85" s="45"/>
      <c r="AL85" s="23">
        <v>1</v>
      </c>
      <c r="AM85" s="138"/>
      <c r="AN85" s="25">
        <f t="shared" si="54"/>
        <v>12</v>
      </c>
      <c r="AO85" s="50"/>
      <c r="AP85" s="53">
        <f t="shared" si="45"/>
        <v>770</v>
      </c>
      <c r="AQ85" s="53">
        <v>390</v>
      </c>
      <c r="AR85" s="119">
        <f t="shared" si="79"/>
        <v>0</v>
      </c>
      <c r="AS85" s="56">
        <f t="shared" si="69"/>
        <v>5300</v>
      </c>
      <c r="AT85" s="298">
        <v>5300</v>
      </c>
      <c r="AU85" s="298">
        <f t="shared" si="74"/>
        <v>4530</v>
      </c>
      <c r="AV85" s="357">
        <f t="shared" si="76"/>
        <v>0.14528301886792452</v>
      </c>
      <c r="AW85" s="18">
        <f>SUM($AS$8:AS85)</f>
        <v>474689.6399999999</v>
      </c>
      <c r="AX85" s="18">
        <f>IF(AS85=0,"",SUMIFS($AS$8:AS85, $BH$8:BH85, BH85))</f>
        <v>164736.65999999997</v>
      </c>
      <c r="AY85" s="57">
        <f t="shared" ca="1" si="77"/>
        <v>226.49572649572644</v>
      </c>
      <c r="AZ85" s="15" t="str">
        <f t="shared" ca="1" si="47"/>
        <v>LINK</v>
      </c>
      <c r="BA85" t="s">
        <v>285</v>
      </c>
      <c r="BB85" s="14" t="s">
        <v>211</v>
      </c>
      <c r="BC85" t="str">
        <f t="shared" si="48"/>
        <v>25</v>
      </c>
      <c r="BD85" t="str">
        <f t="shared" si="71"/>
        <v>08</v>
      </c>
      <c r="BE85" s="98">
        <f t="shared" si="72"/>
        <v>14</v>
      </c>
      <c r="BF85" t="str">
        <f t="shared" si="49"/>
        <v>N</v>
      </c>
      <c r="BG85" t="str">
        <f t="shared" si="53"/>
        <v>https://www.coreplan.io/app/ddh1-drilling/speewah-mining-speewah-fluorite-project-wa/plods/1663-250814N</v>
      </c>
      <c r="BH85" t="str">
        <f t="shared" si="50"/>
        <v>2025-08</v>
      </c>
    </row>
    <row r="86" spans="1:60">
      <c r="A86" s="510" t="str">
        <f>VLOOKUP(F86,'Tenement Lookup'!A:BH,60,FALSE)</f>
        <v>M 80/268</v>
      </c>
      <c r="B86" t="str">
        <f>VLOOKUP(F86,Purpose!$A$2:$B$334,2,FALSE)</f>
        <v>A Vein DD</v>
      </c>
      <c r="C86" s="152" t="s">
        <v>8</v>
      </c>
      <c r="D86" s="1">
        <f t="shared" si="68"/>
        <v>45883.21</v>
      </c>
      <c r="E86" t="s">
        <v>171</v>
      </c>
      <c r="F86" t="s">
        <v>281</v>
      </c>
      <c r="G86" t="s">
        <v>286</v>
      </c>
      <c r="H86" s="4" t="s">
        <v>218</v>
      </c>
      <c r="I86" s="4">
        <v>3</v>
      </c>
      <c r="J86" s="5">
        <f t="shared" si="64"/>
        <v>390</v>
      </c>
      <c r="K86" s="21"/>
      <c r="L86" s="28"/>
      <c r="M86" s="28">
        <f t="shared" si="56"/>
        <v>0</v>
      </c>
      <c r="N86" s="30">
        <v>75.400000000000006</v>
      </c>
      <c r="O86" s="26">
        <v>90.6</v>
      </c>
      <c r="P86" s="31">
        <f t="shared" si="41"/>
        <v>15.199999999999989</v>
      </c>
      <c r="Q86" s="21"/>
      <c r="R86" s="28"/>
      <c r="S86" s="22">
        <f t="shared" si="42"/>
        <v>0</v>
      </c>
      <c r="T86" s="26">
        <v>0</v>
      </c>
      <c r="U86" s="26">
        <v>3.8</v>
      </c>
      <c r="V86" s="31">
        <f t="shared" si="43"/>
        <v>3.8</v>
      </c>
      <c r="W86" s="26">
        <f t="shared" si="78"/>
        <v>18.999999999999989</v>
      </c>
      <c r="X86" s="36">
        <f t="shared" si="65"/>
        <v>2564.9999999999986</v>
      </c>
      <c r="Y86" s="37">
        <f t="shared" si="44"/>
        <v>2645</v>
      </c>
      <c r="Z86" s="38">
        <v>1</v>
      </c>
      <c r="AA86" s="38">
        <v>1</v>
      </c>
      <c r="AB86" s="38">
        <v>1</v>
      </c>
      <c r="AC86" s="38">
        <v>13170</v>
      </c>
      <c r="AD86" s="157">
        <f t="shared" si="75"/>
        <v>750</v>
      </c>
      <c r="AE86" s="34">
        <v>5.75</v>
      </c>
      <c r="AF86" s="35">
        <v>5.75</v>
      </c>
      <c r="AG86" s="40"/>
      <c r="AH86" s="44">
        <v>0.5</v>
      </c>
      <c r="AI86" s="13"/>
      <c r="AJ86" s="46"/>
      <c r="AK86" s="45"/>
      <c r="AL86" s="23"/>
      <c r="AM86" s="138"/>
      <c r="AN86" s="25">
        <f t="shared" si="54"/>
        <v>12</v>
      </c>
      <c r="AO86" s="50"/>
      <c r="AP86" s="53">
        <f t="shared" si="45"/>
        <v>2825</v>
      </c>
      <c r="AQ86" s="53">
        <v>1268.93</v>
      </c>
      <c r="AR86" s="119">
        <f t="shared" si="79"/>
        <v>878.93000000000006</v>
      </c>
      <c r="AS86" s="56">
        <f t="shared" si="69"/>
        <v>7488.93</v>
      </c>
      <c r="AT86" s="298">
        <v>7488.93</v>
      </c>
      <c r="AU86" s="298">
        <f t="shared" si="74"/>
        <v>4663.93</v>
      </c>
      <c r="AV86" s="357">
        <f t="shared" si="76"/>
        <v>0.37722344847661815</v>
      </c>
      <c r="AW86" s="18">
        <f>SUM($AS$8:AS86)</f>
        <v>482178.56999999989</v>
      </c>
      <c r="AX86" s="18">
        <f>IF(AS86=0,"",SUMIFS($AS$8:AS86, $BH$8:BH86, BH86))</f>
        <v>172225.58999999997</v>
      </c>
      <c r="AY86" s="57">
        <f t="shared" ca="1" si="77"/>
        <v>394.15421052631604</v>
      </c>
      <c r="AZ86" s="15" t="str">
        <f t="shared" ca="1" si="47"/>
        <v>LINK</v>
      </c>
      <c r="BA86" t="s">
        <v>287</v>
      </c>
      <c r="BB86" s="14" t="s">
        <v>211</v>
      </c>
      <c r="BC86" t="str">
        <f t="shared" si="48"/>
        <v>25</v>
      </c>
      <c r="BD86" t="str">
        <f t="shared" si="71"/>
        <v>08</v>
      </c>
      <c r="BE86" s="98">
        <f t="shared" si="72"/>
        <v>15</v>
      </c>
      <c r="BF86" t="str">
        <f t="shared" si="49"/>
        <v>D</v>
      </c>
      <c r="BG86" t="str">
        <f t="shared" si="53"/>
        <v>https://www.coreplan.io/app/ddh1-drilling/speewah-mining-speewah-fluorite-project-wa/plods/1663-250815D</v>
      </c>
      <c r="BH86" t="str">
        <f t="shared" si="50"/>
        <v>2025-08</v>
      </c>
    </row>
    <row r="87" spans="1:60">
      <c r="A87" s="510" t="str">
        <f>VLOOKUP(F87,'Tenement Lookup'!A:BH,60,FALSE)</f>
        <v>M 80/268</v>
      </c>
      <c r="B87" t="str">
        <f>VLOOKUP(F87,Purpose!$A$2:$B$334,2,FALSE)</f>
        <v>A Vein DD</v>
      </c>
      <c r="C87" s="152" t="s">
        <v>8</v>
      </c>
      <c r="D87" s="1">
        <f t="shared" si="68"/>
        <v>45883.71</v>
      </c>
      <c r="E87" t="s">
        <v>172</v>
      </c>
      <c r="F87" t="s">
        <v>286</v>
      </c>
      <c r="H87" s="4" t="s">
        <v>215</v>
      </c>
      <c r="I87" s="4">
        <v>3</v>
      </c>
      <c r="J87" s="5">
        <f t="shared" si="64"/>
        <v>390</v>
      </c>
      <c r="K87" s="21"/>
      <c r="L87" s="28"/>
      <c r="M87" s="28">
        <f t="shared" si="56"/>
        <v>0</v>
      </c>
      <c r="N87" s="30">
        <v>3.8</v>
      </c>
      <c r="O87" s="26">
        <v>30.8</v>
      </c>
      <c r="P87" s="31">
        <f t="shared" si="41"/>
        <v>27</v>
      </c>
      <c r="Q87" s="21"/>
      <c r="R87" s="28"/>
      <c r="S87" s="22">
        <f t="shared" si="42"/>
        <v>0</v>
      </c>
      <c r="T87" s="26"/>
      <c r="U87" s="26"/>
      <c r="V87" s="31">
        <f t="shared" si="43"/>
        <v>0</v>
      </c>
      <c r="W87" s="26">
        <f t="shared" si="78"/>
        <v>27</v>
      </c>
      <c r="X87" s="36">
        <f t="shared" si="65"/>
        <v>3645</v>
      </c>
      <c r="Y87" s="37">
        <f t="shared" si="44"/>
        <v>3795</v>
      </c>
      <c r="Z87" s="38"/>
      <c r="AA87" s="38"/>
      <c r="AB87" s="38"/>
      <c r="AC87" s="38"/>
      <c r="AD87" s="157">
        <f t="shared" si="75"/>
        <v>0</v>
      </c>
      <c r="AE87" s="34">
        <v>8.25</v>
      </c>
      <c r="AF87" s="35">
        <v>3.25</v>
      </c>
      <c r="AG87" s="40"/>
      <c r="AH87" s="44">
        <v>0.5</v>
      </c>
      <c r="AI87" s="13"/>
      <c r="AJ87" s="46"/>
      <c r="AK87" s="45"/>
      <c r="AL87" s="23"/>
      <c r="AM87" s="138"/>
      <c r="AN87" s="25">
        <f t="shared" si="54"/>
        <v>12</v>
      </c>
      <c r="AO87" s="50"/>
      <c r="AP87" s="53">
        <f t="shared" si="45"/>
        <v>1675</v>
      </c>
      <c r="AQ87" s="53">
        <v>833.68</v>
      </c>
      <c r="AR87" s="119">
        <f t="shared" si="79"/>
        <v>443.67999999999995</v>
      </c>
      <c r="AS87" s="56">
        <f t="shared" si="69"/>
        <v>6303.68</v>
      </c>
      <c r="AT87" s="298">
        <v>6303.68</v>
      </c>
      <c r="AU87" s="298">
        <f t="shared" si="74"/>
        <v>4628.68</v>
      </c>
      <c r="AV87" s="357">
        <f t="shared" si="76"/>
        <v>0.26571780293415909</v>
      </c>
      <c r="AW87" s="18">
        <f>SUM($AS$8:AS87)</f>
        <v>488482.24999999988</v>
      </c>
      <c r="AX87" s="18">
        <f>IF(AS87=0,"",SUMIFS($AS$8:AS87, $BH$8:BH87, BH87))</f>
        <v>178529.26999999996</v>
      </c>
      <c r="AY87" s="57">
        <f t="shared" ca="1" si="77"/>
        <v>233.46962962962965</v>
      </c>
      <c r="AZ87" s="15" t="str">
        <f t="shared" ca="1" si="47"/>
        <v>LINK</v>
      </c>
      <c r="BA87" t="s">
        <v>288</v>
      </c>
      <c r="BB87" s="14" t="s">
        <v>211</v>
      </c>
      <c r="BC87" t="str">
        <f t="shared" si="48"/>
        <v>25</v>
      </c>
      <c r="BD87" t="str">
        <f t="shared" si="71"/>
        <v>08</v>
      </c>
      <c r="BE87" s="98">
        <f t="shared" si="72"/>
        <v>15</v>
      </c>
      <c r="BF87" t="str">
        <f t="shared" si="49"/>
        <v>N</v>
      </c>
      <c r="BG87" t="str">
        <f t="shared" si="53"/>
        <v>https://www.coreplan.io/app/ddh1-drilling/speewah-mining-speewah-fluorite-project-wa/plods/1663-250815N</v>
      </c>
      <c r="BH87" t="str">
        <f t="shared" si="50"/>
        <v>2025-08</v>
      </c>
    </row>
    <row r="88" spans="1:60">
      <c r="A88" s="510" t="str">
        <f>VLOOKUP(F88,'Tenement Lookup'!A:BH,60,FALSE)</f>
        <v>M 80/268</v>
      </c>
      <c r="B88" t="str">
        <f>VLOOKUP(F88,Purpose!$A$2:$B$334,2,FALSE)</f>
        <v>A Vein DD</v>
      </c>
      <c r="C88" s="152" t="s">
        <v>8</v>
      </c>
      <c r="D88" s="1">
        <f t="shared" si="68"/>
        <v>45884.21</v>
      </c>
      <c r="E88" t="s">
        <v>171</v>
      </c>
      <c r="F88" t="s">
        <v>286</v>
      </c>
      <c r="H88" s="4" t="s">
        <v>218</v>
      </c>
      <c r="I88" s="4">
        <v>3</v>
      </c>
      <c r="J88" s="5">
        <f t="shared" si="64"/>
        <v>390</v>
      </c>
      <c r="K88" s="21"/>
      <c r="L88" s="28"/>
      <c r="M88" s="28">
        <f t="shared" si="56"/>
        <v>0</v>
      </c>
      <c r="N88" s="30">
        <v>30.8</v>
      </c>
      <c r="O88" s="26">
        <v>63.8</v>
      </c>
      <c r="P88" s="31">
        <f t="shared" si="41"/>
        <v>33</v>
      </c>
      <c r="Q88" s="21"/>
      <c r="R88" s="28"/>
      <c r="S88" s="22">
        <f t="shared" si="42"/>
        <v>0</v>
      </c>
      <c r="T88" s="26"/>
      <c r="U88" s="26"/>
      <c r="V88" s="31">
        <f t="shared" si="43"/>
        <v>0</v>
      </c>
      <c r="W88" s="26">
        <f t="shared" si="78"/>
        <v>33</v>
      </c>
      <c r="X88" s="36">
        <f t="shared" si="65"/>
        <v>4455</v>
      </c>
      <c r="Y88" s="37">
        <f t="shared" si="44"/>
        <v>4830</v>
      </c>
      <c r="Z88" s="38">
        <v>1</v>
      </c>
      <c r="AA88" s="38">
        <v>1</v>
      </c>
      <c r="AB88" s="38">
        <v>1</v>
      </c>
      <c r="AC88" s="38">
        <v>13170</v>
      </c>
      <c r="AD88" s="157">
        <f t="shared" si="75"/>
        <v>750</v>
      </c>
      <c r="AE88" s="34">
        <v>10.5</v>
      </c>
      <c r="AF88" s="35">
        <v>0.5</v>
      </c>
      <c r="AG88" s="40"/>
      <c r="AH88" s="44">
        <v>1</v>
      </c>
      <c r="AI88" s="13"/>
      <c r="AJ88" s="46"/>
      <c r="AK88" s="45"/>
      <c r="AL88" s="23"/>
      <c r="AM88" s="138"/>
      <c r="AN88" s="25">
        <f t="shared" si="54"/>
        <v>12</v>
      </c>
      <c r="AO88" s="50"/>
      <c r="AP88" s="53">
        <f t="shared" si="45"/>
        <v>590</v>
      </c>
      <c r="AQ88" s="53">
        <v>390</v>
      </c>
      <c r="AR88" s="119">
        <f t="shared" si="79"/>
        <v>0</v>
      </c>
      <c r="AS88" s="56">
        <f t="shared" si="69"/>
        <v>6560</v>
      </c>
      <c r="AT88" s="298">
        <v>6560</v>
      </c>
      <c r="AU88" s="298">
        <f t="shared" si="74"/>
        <v>5970</v>
      </c>
      <c r="AV88" s="357">
        <f t="shared" si="76"/>
        <v>8.9939024390243899E-2</v>
      </c>
      <c r="AW88" s="18">
        <f>SUM($AS$8:AS88)</f>
        <v>495042.24999999988</v>
      </c>
      <c r="AX88" s="18">
        <f>IF(AS88=0,"",SUMIFS($AS$8:AS88, $BH$8:BH88, BH88))</f>
        <v>185089.26999999996</v>
      </c>
      <c r="AY88" s="57">
        <f t="shared" ca="1" si="77"/>
        <v>198.78787878787878</v>
      </c>
      <c r="AZ88" s="15" t="str">
        <f t="shared" ca="1" si="47"/>
        <v>LINK</v>
      </c>
      <c r="BA88" t="s">
        <v>289</v>
      </c>
      <c r="BB88" s="14" t="s">
        <v>211</v>
      </c>
      <c r="BC88" t="str">
        <f t="shared" si="48"/>
        <v>25</v>
      </c>
      <c r="BD88" t="str">
        <f t="shared" si="71"/>
        <v>08</v>
      </c>
      <c r="BE88" s="98">
        <f t="shared" si="72"/>
        <v>16</v>
      </c>
      <c r="BF88" t="str">
        <f t="shared" si="49"/>
        <v>D</v>
      </c>
      <c r="BG88" t="str">
        <f t="shared" si="53"/>
        <v>https://www.coreplan.io/app/ddh1-drilling/speewah-mining-speewah-fluorite-project-wa/plods/1663-250816D</v>
      </c>
      <c r="BH88" t="str">
        <f t="shared" si="50"/>
        <v>2025-08</v>
      </c>
    </row>
    <row r="89" spans="1:60">
      <c r="A89" s="510" t="str">
        <f>VLOOKUP(F89,'Tenement Lookup'!A:BH,60,FALSE)</f>
        <v>M 80/268</v>
      </c>
      <c r="B89" t="str">
        <f>VLOOKUP(F89,Purpose!$A$2:$B$334,2,FALSE)</f>
        <v>A Vein DD</v>
      </c>
      <c r="C89" s="152" t="s">
        <v>8</v>
      </c>
      <c r="D89" s="1">
        <f t="shared" si="68"/>
        <v>45884.71</v>
      </c>
      <c r="E89" t="s">
        <v>172</v>
      </c>
      <c r="F89" t="s">
        <v>286</v>
      </c>
      <c r="H89" s="4" t="s">
        <v>215</v>
      </c>
      <c r="I89" s="4">
        <v>3</v>
      </c>
      <c r="J89" s="5">
        <f t="shared" si="64"/>
        <v>390</v>
      </c>
      <c r="K89" s="21"/>
      <c r="L89" s="28"/>
      <c r="M89" s="28">
        <f t="shared" si="56"/>
        <v>0</v>
      </c>
      <c r="N89" s="30">
        <v>63.8</v>
      </c>
      <c r="O89" s="26">
        <v>90.2</v>
      </c>
      <c r="P89" s="31">
        <f t="shared" si="41"/>
        <v>26.400000000000006</v>
      </c>
      <c r="Q89" s="21"/>
      <c r="R89" s="28"/>
      <c r="S89" s="22">
        <f t="shared" si="42"/>
        <v>0</v>
      </c>
      <c r="T89" s="26"/>
      <c r="U89" s="26"/>
      <c r="V89" s="31">
        <f t="shared" si="43"/>
        <v>0</v>
      </c>
      <c r="W89" s="26">
        <f t="shared" si="78"/>
        <v>26.400000000000006</v>
      </c>
      <c r="X89" s="36">
        <f t="shared" si="65"/>
        <v>3564.0000000000009</v>
      </c>
      <c r="Y89" s="37">
        <f t="shared" si="44"/>
        <v>4600</v>
      </c>
      <c r="Z89" s="38"/>
      <c r="AA89" s="38"/>
      <c r="AB89" s="38"/>
      <c r="AC89" s="38"/>
      <c r="AD89" s="157">
        <f t="shared" si="75"/>
        <v>0</v>
      </c>
      <c r="AE89" s="34">
        <v>10</v>
      </c>
      <c r="AF89" s="35">
        <v>1.5</v>
      </c>
      <c r="AG89" s="40"/>
      <c r="AH89" s="44">
        <v>0.5</v>
      </c>
      <c r="AI89" s="13"/>
      <c r="AJ89" s="46"/>
      <c r="AK89" s="45"/>
      <c r="AL89" s="23"/>
      <c r="AM89" s="138"/>
      <c r="AN89" s="25">
        <f t="shared" si="54"/>
        <v>12</v>
      </c>
      <c r="AO89" s="50"/>
      <c r="AP89" s="53">
        <f t="shared" si="45"/>
        <v>870</v>
      </c>
      <c r="AQ89" s="53">
        <v>3058.76</v>
      </c>
      <c r="AR89" s="119">
        <f t="shared" si="79"/>
        <v>2668.76</v>
      </c>
      <c r="AS89" s="56">
        <f t="shared" si="69"/>
        <v>8528.76</v>
      </c>
      <c r="AT89" s="298">
        <v>8528.76</v>
      </c>
      <c r="AU89" s="298">
        <f t="shared" si="74"/>
        <v>7658.76</v>
      </c>
      <c r="AV89" s="357">
        <f t="shared" si="76"/>
        <v>0.10200779480252697</v>
      </c>
      <c r="AW89" s="18">
        <f>SUM($AS$8:AS89)</f>
        <v>503571.00999999989</v>
      </c>
      <c r="AX89" s="18">
        <f>IF(AS89=0,"",SUMIFS($AS$8:AS89, $BH$8:BH89, BH89))</f>
        <v>193618.02999999997</v>
      </c>
      <c r="AY89" s="57">
        <f t="shared" ca="1" si="77"/>
        <v>323.05909090909086</v>
      </c>
      <c r="AZ89" s="15" t="str">
        <f t="shared" ca="1" si="47"/>
        <v>LINK</v>
      </c>
      <c r="BA89" t="s">
        <v>290</v>
      </c>
      <c r="BB89" s="14" t="s">
        <v>211</v>
      </c>
      <c r="BC89" t="str">
        <f t="shared" si="48"/>
        <v>25</v>
      </c>
      <c r="BD89" t="str">
        <f t="shared" si="71"/>
        <v>08</v>
      </c>
      <c r="BE89" s="98">
        <f t="shared" si="72"/>
        <v>16</v>
      </c>
      <c r="BF89" t="str">
        <f t="shared" si="49"/>
        <v>N</v>
      </c>
      <c r="BG89" t="str">
        <f t="shared" si="53"/>
        <v>https://www.coreplan.io/app/ddh1-drilling/speewah-mining-speewah-fluorite-project-wa/plods/1663-250816N</v>
      </c>
      <c r="BH89" t="str">
        <f t="shared" si="50"/>
        <v>2025-08</v>
      </c>
    </row>
    <row r="90" spans="1:60">
      <c r="A90" s="510" t="str">
        <f>VLOOKUP(F90,'Tenement Lookup'!A:BH,60,FALSE)</f>
        <v>M 80/268</v>
      </c>
      <c r="B90" t="str">
        <f>VLOOKUP(F90,Purpose!$A$2:$B$334,2,FALSE)</f>
        <v>Infill</v>
      </c>
      <c r="C90" s="152" t="s">
        <v>8</v>
      </c>
      <c r="D90" s="1">
        <f t="shared" si="68"/>
        <v>45885.21</v>
      </c>
      <c r="E90" t="s">
        <v>171</v>
      </c>
      <c r="F90" s="7" t="s">
        <v>291</v>
      </c>
      <c r="H90" s="4" t="s">
        <v>218</v>
      </c>
      <c r="I90" s="4">
        <v>3</v>
      </c>
      <c r="J90" s="5">
        <f t="shared" si="64"/>
        <v>390</v>
      </c>
      <c r="K90" s="21"/>
      <c r="L90" s="28"/>
      <c r="M90" s="28">
        <f t="shared" si="56"/>
        <v>0</v>
      </c>
      <c r="N90" s="30"/>
      <c r="O90" s="26"/>
      <c r="P90" s="31">
        <f t="shared" ref="P90:P153" si="80">IF(ISBLANK(N90),,O90-N90)</f>
        <v>0</v>
      </c>
      <c r="Q90" s="21"/>
      <c r="R90" s="28"/>
      <c r="S90" s="22">
        <f t="shared" ref="S90:S153" si="81">IF(ISBLANK(Q90),,R90-Q90)</f>
        <v>0</v>
      </c>
      <c r="T90" s="26"/>
      <c r="U90" s="26"/>
      <c r="V90" s="31">
        <f t="shared" ref="V90:V153" si="82">IF(ISBLANK(T90),,U90-T90)</f>
        <v>0</v>
      </c>
      <c r="W90" s="26">
        <f t="shared" si="78"/>
        <v>0</v>
      </c>
      <c r="X90" s="36">
        <f t="shared" si="65"/>
        <v>0</v>
      </c>
      <c r="Y90" s="37">
        <f t="shared" ref="Y90:Y153" si="83">IF(F90&lt;&gt;"",IF(X90&lt;(AE90*$AE$2),(AE90*$AE$2),X90),"")</f>
        <v>0</v>
      </c>
      <c r="Z90" s="38">
        <v>1</v>
      </c>
      <c r="AA90" s="38">
        <v>1</v>
      </c>
      <c r="AB90" s="38">
        <v>1</v>
      </c>
      <c r="AC90" s="38">
        <v>13170</v>
      </c>
      <c r="AD90" s="157">
        <f t="shared" si="75"/>
        <v>750</v>
      </c>
      <c r="AE90" s="34">
        <v>0</v>
      </c>
      <c r="AF90" s="35">
        <v>7.75</v>
      </c>
      <c r="AG90" s="40" t="s">
        <v>292</v>
      </c>
      <c r="AH90" s="44">
        <v>4.25</v>
      </c>
      <c r="AI90" s="13"/>
      <c r="AJ90" s="46" t="s">
        <v>292</v>
      </c>
      <c r="AK90" s="45"/>
      <c r="AL90" s="23"/>
      <c r="AM90" s="138"/>
      <c r="AN90" s="25">
        <f t="shared" si="54"/>
        <v>12</v>
      </c>
      <c r="AO90" s="50"/>
      <c r="AP90" s="53">
        <f t="shared" ref="AP90:AP153" si="84">(AF90*$AF$2)+(AH90*$AH$2)+(AI90*$AI$2)</f>
        <v>5095</v>
      </c>
      <c r="AQ90" s="53">
        <v>390</v>
      </c>
      <c r="AR90" s="119">
        <f t="shared" si="79"/>
        <v>0</v>
      </c>
      <c r="AS90" s="56">
        <f t="shared" si="69"/>
        <v>6235</v>
      </c>
      <c r="AT90" s="298">
        <v>6235</v>
      </c>
      <c r="AU90" s="298">
        <f t="shared" si="74"/>
        <v>1140</v>
      </c>
      <c r="AV90" s="357">
        <f t="shared" si="76"/>
        <v>0.81716118684843619</v>
      </c>
      <c r="AW90" s="18">
        <f>SUM($AS$8:AS90)</f>
        <v>509806.00999999989</v>
      </c>
      <c r="AX90" s="18">
        <f>IF(AS90=0,"",SUMIFS($AS$8:AS90, $BH$8:BH90, BH90))</f>
        <v>199853.02999999997</v>
      </c>
      <c r="AY90" s="57" t="e">
        <f t="shared" ca="1" si="77"/>
        <v>#DIV/0!</v>
      </c>
      <c r="AZ90" s="15" t="str">
        <f t="shared" ref="AZ90:AZ153" ca="1" si="85">IF(D90&lt;TODAY(),HYPERLINK(BG90,"LINK"),"")</f>
        <v>LINK</v>
      </c>
      <c r="BA90" t="s">
        <v>293</v>
      </c>
      <c r="BB90" s="14" t="s">
        <v>211</v>
      </c>
      <c r="BC90" t="str">
        <f t="shared" ref="BC90:BC153" si="86">RIGHT(YEAR(D90),2)</f>
        <v>25</v>
      </c>
      <c r="BD90" t="str">
        <f t="shared" si="71"/>
        <v>08</v>
      </c>
      <c r="BE90" s="98">
        <f t="shared" si="72"/>
        <v>17</v>
      </c>
      <c r="BF90" t="str">
        <f t="shared" ref="BF90:BF153" si="87">LEFT(E90,1)</f>
        <v>D</v>
      </c>
      <c r="BG90" t="str">
        <f t="shared" si="53"/>
        <v>https://www.coreplan.io/app/ddh1-drilling/speewah-mining-speewah-fluorite-project-wa/plods/1663-250817D</v>
      </c>
      <c r="BH90" t="str">
        <f t="shared" ref="BH90:BH153" si="88">TEXT(D90, "yyyy-mm")</f>
        <v>2025-08</v>
      </c>
    </row>
    <row r="91" spans="1:60">
      <c r="A91" s="510" t="str">
        <f>VLOOKUP(F91,'Tenement Lookup'!A:BH,60,FALSE)</f>
        <v>M 80/268</v>
      </c>
      <c r="B91" t="str">
        <f>VLOOKUP(F91,Purpose!$A$2:$B$334,2,FALSE)</f>
        <v>Infill</v>
      </c>
      <c r="C91" s="152" t="s">
        <v>8</v>
      </c>
      <c r="D91" s="1">
        <f t="shared" si="68"/>
        <v>45885.71</v>
      </c>
      <c r="E91" t="s">
        <v>172</v>
      </c>
      <c r="F91" s="7" t="s">
        <v>291</v>
      </c>
      <c r="H91" s="4" t="s">
        <v>215</v>
      </c>
      <c r="I91" s="4">
        <v>3</v>
      </c>
      <c r="J91" s="5">
        <f t="shared" si="64"/>
        <v>390</v>
      </c>
      <c r="K91" s="21"/>
      <c r="L91" s="28"/>
      <c r="M91" s="28">
        <f t="shared" si="56"/>
        <v>0</v>
      </c>
      <c r="N91" s="30">
        <v>0</v>
      </c>
      <c r="O91" s="26">
        <v>24.5</v>
      </c>
      <c r="P91" s="31">
        <f t="shared" si="80"/>
        <v>24.5</v>
      </c>
      <c r="Q91" s="21"/>
      <c r="R91" s="28"/>
      <c r="S91" s="22">
        <f t="shared" si="81"/>
        <v>0</v>
      </c>
      <c r="T91" s="26"/>
      <c r="U91" s="26"/>
      <c r="V91" s="31">
        <f t="shared" si="82"/>
        <v>0</v>
      </c>
      <c r="W91" s="26">
        <f t="shared" si="78"/>
        <v>24.5</v>
      </c>
      <c r="X91" s="36">
        <f t="shared" si="65"/>
        <v>3307.5</v>
      </c>
      <c r="Y91" s="37">
        <f t="shared" si="83"/>
        <v>3680</v>
      </c>
      <c r="Z91" s="38"/>
      <c r="AA91" s="38"/>
      <c r="AB91" s="38"/>
      <c r="AC91" s="38"/>
      <c r="AD91" s="157">
        <f t="shared" si="75"/>
        <v>0</v>
      </c>
      <c r="AE91" s="34">
        <v>8</v>
      </c>
      <c r="AF91" s="35">
        <v>3.5</v>
      </c>
      <c r="AG91" s="40"/>
      <c r="AH91" s="44">
        <v>0.5</v>
      </c>
      <c r="AI91" s="13"/>
      <c r="AJ91" s="46"/>
      <c r="AK91" s="45"/>
      <c r="AL91" s="23"/>
      <c r="AM91" s="138"/>
      <c r="AN91" s="25">
        <f t="shared" si="54"/>
        <v>12</v>
      </c>
      <c r="AO91" s="50"/>
      <c r="AP91" s="53">
        <f t="shared" si="84"/>
        <v>1790</v>
      </c>
      <c r="AQ91" s="53">
        <v>833.41</v>
      </c>
      <c r="AR91" s="119">
        <f t="shared" si="79"/>
        <v>443.40999999999997</v>
      </c>
      <c r="AS91" s="56">
        <f t="shared" si="69"/>
        <v>6303.41</v>
      </c>
      <c r="AT91" s="298">
        <v>6303.41</v>
      </c>
      <c r="AU91" s="298">
        <v>6303.41</v>
      </c>
      <c r="AV91" s="357">
        <f t="shared" si="76"/>
        <v>0</v>
      </c>
      <c r="AW91" s="18">
        <f>SUM($AS$8:AS91)</f>
        <v>516109.41999999987</v>
      </c>
      <c r="AX91" s="18">
        <f>IF(AS91=0,"",SUMIFS($AS$8:AS91, $BH$8:BH91, BH91))</f>
        <v>206156.43999999997</v>
      </c>
      <c r="AY91" s="57">
        <f t="shared" ca="1" si="77"/>
        <v>257.28204081632651</v>
      </c>
      <c r="AZ91" s="15" t="str">
        <f t="shared" ca="1" si="85"/>
        <v>LINK</v>
      </c>
      <c r="BA91" t="s">
        <v>294</v>
      </c>
      <c r="BB91" s="14" t="s">
        <v>211</v>
      </c>
      <c r="BC91" t="str">
        <f t="shared" si="86"/>
        <v>25</v>
      </c>
      <c r="BD91" t="str">
        <f t="shared" si="71"/>
        <v>08</v>
      </c>
      <c r="BE91" s="98">
        <f t="shared" si="72"/>
        <v>17</v>
      </c>
      <c r="BF91" t="str">
        <f t="shared" si="87"/>
        <v>N</v>
      </c>
      <c r="BG91" t="str">
        <f t="shared" ref="BG91:BG154" si="89">CONCATENATE(BB91,BC91,BD91,BE91,BF91)</f>
        <v>https://www.coreplan.io/app/ddh1-drilling/speewah-mining-speewah-fluorite-project-wa/plods/1663-250817N</v>
      </c>
      <c r="BH91" t="str">
        <f t="shared" si="88"/>
        <v>2025-08</v>
      </c>
    </row>
    <row r="92" spans="1:60">
      <c r="A92" s="510" t="str">
        <f>VLOOKUP(F92,'Tenement Lookup'!A:BH,60,FALSE)</f>
        <v>M 80/268</v>
      </c>
      <c r="B92" t="str">
        <f>VLOOKUP(F92,Purpose!$A$2:$B$334,2,FALSE)</f>
        <v>Infill</v>
      </c>
      <c r="C92" s="152" t="s">
        <v>8</v>
      </c>
      <c r="D92" s="1">
        <f t="shared" si="68"/>
        <v>45886.21</v>
      </c>
      <c r="E92" t="s">
        <v>171</v>
      </c>
      <c r="F92" s="7" t="s">
        <v>291</v>
      </c>
      <c r="H92" s="4" t="s">
        <v>218</v>
      </c>
      <c r="I92" s="4">
        <v>3</v>
      </c>
      <c r="J92" s="5">
        <f t="shared" si="64"/>
        <v>390</v>
      </c>
      <c r="K92" s="21"/>
      <c r="L92" s="28"/>
      <c r="M92" s="28">
        <f t="shared" si="56"/>
        <v>0</v>
      </c>
      <c r="N92" s="30">
        <v>24.5</v>
      </c>
      <c r="O92" s="26">
        <v>60.8</v>
      </c>
      <c r="P92" s="31">
        <f t="shared" si="80"/>
        <v>36.299999999999997</v>
      </c>
      <c r="Q92" s="21"/>
      <c r="R92" s="28"/>
      <c r="S92" s="22">
        <f t="shared" si="81"/>
        <v>0</v>
      </c>
      <c r="T92" s="26"/>
      <c r="U92" s="26"/>
      <c r="V92" s="31">
        <f t="shared" si="82"/>
        <v>0</v>
      </c>
      <c r="W92" s="26">
        <f t="shared" si="78"/>
        <v>36.299999999999997</v>
      </c>
      <c r="X92" s="36">
        <f t="shared" si="65"/>
        <v>4900.5</v>
      </c>
      <c r="Y92" s="37">
        <f t="shared" si="83"/>
        <v>4900.5</v>
      </c>
      <c r="Z92" s="38">
        <v>1</v>
      </c>
      <c r="AA92" s="38">
        <v>1</v>
      </c>
      <c r="AB92" s="38">
        <v>1</v>
      </c>
      <c r="AC92" s="38">
        <v>13170</v>
      </c>
      <c r="AD92" s="157">
        <f t="shared" si="75"/>
        <v>750</v>
      </c>
      <c r="AE92" s="34">
        <v>9.75</v>
      </c>
      <c r="AF92" s="35">
        <v>1.25</v>
      </c>
      <c r="AG92" s="40"/>
      <c r="AH92" s="44">
        <v>0.5</v>
      </c>
      <c r="AI92" s="13"/>
      <c r="AJ92" s="46"/>
      <c r="AK92" s="45">
        <v>0.5</v>
      </c>
      <c r="AL92" s="23"/>
      <c r="AM92" s="138" t="s">
        <v>275</v>
      </c>
      <c r="AN92" s="25">
        <f t="shared" si="54"/>
        <v>12</v>
      </c>
      <c r="AO92" s="50"/>
      <c r="AP92" s="53">
        <f t="shared" si="84"/>
        <v>755</v>
      </c>
      <c r="AQ92" s="53">
        <v>507.93</v>
      </c>
      <c r="AR92" s="119">
        <f t="shared" si="79"/>
        <v>117.93</v>
      </c>
      <c r="AS92" s="56">
        <f t="shared" si="69"/>
        <v>6913.43</v>
      </c>
      <c r="AT92" s="298">
        <v>6913.43</v>
      </c>
      <c r="AU92" s="298">
        <v>6913.43</v>
      </c>
      <c r="AV92" s="357">
        <f t="shared" si="76"/>
        <v>0</v>
      </c>
      <c r="AW92" s="18">
        <f>SUM($AS$8:AS92)</f>
        <v>523022.84999999986</v>
      </c>
      <c r="AX92" s="18">
        <f>IF(AS92=0,"",SUMIFS($AS$8:AS92, $BH$8:BH92, BH92))</f>
        <v>213069.86999999997</v>
      </c>
      <c r="AY92" s="57">
        <f t="shared" ca="1" si="77"/>
        <v>190.45261707988982</v>
      </c>
      <c r="AZ92" s="15" t="str">
        <f t="shared" ca="1" si="85"/>
        <v>LINK</v>
      </c>
      <c r="BA92" t="s">
        <v>295</v>
      </c>
      <c r="BB92" s="14" t="s">
        <v>211</v>
      </c>
      <c r="BC92" t="str">
        <f t="shared" si="86"/>
        <v>25</v>
      </c>
      <c r="BD92" t="str">
        <f t="shared" si="71"/>
        <v>08</v>
      </c>
      <c r="BE92" s="98">
        <f t="shared" si="72"/>
        <v>18</v>
      </c>
      <c r="BF92" t="str">
        <f t="shared" si="87"/>
        <v>D</v>
      </c>
      <c r="BG92" t="str">
        <f t="shared" si="89"/>
        <v>https://www.coreplan.io/app/ddh1-drilling/speewah-mining-speewah-fluorite-project-wa/plods/1663-250818D</v>
      </c>
      <c r="BH92" t="str">
        <f t="shared" si="88"/>
        <v>2025-08</v>
      </c>
    </row>
    <row r="93" spans="1:60">
      <c r="A93" s="510" t="str">
        <f>VLOOKUP(F93,'Tenement Lookup'!A:BH,60,FALSE)</f>
        <v>M 80/268</v>
      </c>
      <c r="B93" t="str">
        <f>VLOOKUP(F93,Purpose!$A$2:$B$334,2,FALSE)</f>
        <v>Infill</v>
      </c>
      <c r="C93" s="152" t="s">
        <v>8</v>
      </c>
      <c r="D93" s="1">
        <f t="shared" si="68"/>
        <v>45886.71</v>
      </c>
      <c r="E93" t="s">
        <v>172</v>
      </c>
      <c r="F93" s="7" t="s">
        <v>291</v>
      </c>
      <c r="H93" s="4" t="s">
        <v>215</v>
      </c>
      <c r="I93" s="4">
        <v>3</v>
      </c>
      <c r="J93" s="5">
        <f t="shared" si="64"/>
        <v>390</v>
      </c>
      <c r="K93" s="21"/>
      <c r="L93" s="28"/>
      <c r="M93" s="28">
        <f t="shared" si="56"/>
        <v>0</v>
      </c>
      <c r="N93" s="30">
        <v>60.8</v>
      </c>
      <c r="O93" s="26">
        <v>96.1</v>
      </c>
      <c r="P93" s="31">
        <f t="shared" si="80"/>
        <v>35.299999999999997</v>
      </c>
      <c r="Q93" s="21"/>
      <c r="R93" s="28"/>
      <c r="S93" s="22">
        <f t="shared" si="81"/>
        <v>0</v>
      </c>
      <c r="T93" s="26"/>
      <c r="U93" s="26"/>
      <c r="V93" s="31">
        <f t="shared" si="82"/>
        <v>0</v>
      </c>
      <c r="W93" s="26">
        <f t="shared" si="78"/>
        <v>35.299999999999997</v>
      </c>
      <c r="X93" s="36">
        <f t="shared" si="65"/>
        <v>4765.5</v>
      </c>
      <c r="Y93" s="37">
        <f t="shared" si="83"/>
        <v>4830</v>
      </c>
      <c r="Z93" s="38"/>
      <c r="AA93" s="38"/>
      <c r="AB93" s="38"/>
      <c r="AC93" s="38"/>
      <c r="AD93" s="157">
        <f t="shared" si="75"/>
        <v>0</v>
      </c>
      <c r="AE93" s="34">
        <v>10.5</v>
      </c>
      <c r="AF93" s="35">
        <v>0.5</v>
      </c>
      <c r="AG93" s="40"/>
      <c r="AH93" s="44">
        <v>0.5</v>
      </c>
      <c r="AI93" s="13"/>
      <c r="AJ93" s="46"/>
      <c r="AK93" s="45">
        <v>0.5</v>
      </c>
      <c r="AL93" s="23"/>
      <c r="AM93" s="138" t="s">
        <v>275</v>
      </c>
      <c r="AN93" s="25">
        <f t="shared" si="54"/>
        <v>12</v>
      </c>
      <c r="AO93" s="50"/>
      <c r="AP93" s="53">
        <f t="shared" si="84"/>
        <v>410</v>
      </c>
      <c r="AQ93" s="53">
        <v>507.93</v>
      </c>
      <c r="AR93" s="119">
        <f t="shared" si="79"/>
        <v>117.93</v>
      </c>
      <c r="AS93" s="56">
        <f t="shared" si="69"/>
        <v>5747.93</v>
      </c>
      <c r="AT93" s="298">
        <v>5747.93</v>
      </c>
      <c r="AU93" s="298">
        <v>5747.93</v>
      </c>
      <c r="AV93" s="357">
        <f t="shared" si="76"/>
        <v>0</v>
      </c>
      <c r="AW93" s="18">
        <f>SUM($AS$8:AS93)</f>
        <v>528770.77999999991</v>
      </c>
      <c r="AX93" s="18">
        <f>IF(AS93=0,"",SUMIFS($AS$8:AS93, $BH$8:BH93, BH93))</f>
        <v>218817.79999999996</v>
      </c>
      <c r="AY93" s="57">
        <f t="shared" ca="1" si="77"/>
        <v>162.83087818696885</v>
      </c>
      <c r="AZ93" s="15" t="str">
        <f t="shared" ca="1" si="85"/>
        <v>LINK</v>
      </c>
      <c r="BA93" t="s">
        <v>296</v>
      </c>
      <c r="BB93" s="14" t="s">
        <v>211</v>
      </c>
      <c r="BC93" t="str">
        <f t="shared" si="86"/>
        <v>25</v>
      </c>
      <c r="BD93" t="str">
        <f t="shared" si="71"/>
        <v>08</v>
      </c>
      <c r="BE93" s="98">
        <f t="shared" si="72"/>
        <v>18</v>
      </c>
      <c r="BF93" t="str">
        <f t="shared" si="87"/>
        <v>N</v>
      </c>
      <c r="BG93" t="str">
        <f t="shared" si="89"/>
        <v>https://www.coreplan.io/app/ddh1-drilling/speewah-mining-speewah-fluorite-project-wa/plods/1663-250818N</v>
      </c>
      <c r="BH93" t="str">
        <f t="shared" si="88"/>
        <v>2025-08</v>
      </c>
    </row>
    <row r="94" spans="1:60">
      <c r="A94" s="510" t="str">
        <f>VLOOKUP(F94,'Tenement Lookup'!A:BH,60,FALSE)</f>
        <v>M 80/268</v>
      </c>
      <c r="B94" t="str">
        <f>VLOOKUP(F94,Purpose!$A$2:$B$334,2,FALSE)</f>
        <v>Infill</v>
      </c>
      <c r="C94" s="152" t="s">
        <v>8</v>
      </c>
      <c r="D94" s="1">
        <f t="shared" si="68"/>
        <v>45887.21</v>
      </c>
      <c r="E94" t="s">
        <v>171</v>
      </c>
      <c r="F94" s="7" t="s">
        <v>291</v>
      </c>
      <c r="H94" s="4" t="s">
        <v>218</v>
      </c>
      <c r="I94" s="4">
        <v>3</v>
      </c>
      <c r="J94" s="5">
        <f t="shared" si="64"/>
        <v>390</v>
      </c>
      <c r="K94" s="21"/>
      <c r="L94" s="28"/>
      <c r="M94" s="28">
        <f t="shared" si="56"/>
        <v>0</v>
      </c>
      <c r="N94" s="30">
        <v>96.1</v>
      </c>
      <c r="O94" s="26">
        <v>111.8</v>
      </c>
      <c r="P94" s="31">
        <f t="shared" si="80"/>
        <v>15.700000000000003</v>
      </c>
      <c r="Q94" s="21"/>
      <c r="R94" s="28"/>
      <c r="S94" s="22">
        <f t="shared" si="81"/>
        <v>0</v>
      </c>
      <c r="T94" s="26"/>
      <c r="U94" s="26"/>
      <c r="V94" s="31">
        <f t="shared" si="82"/>
        <v>0</v>
      </c>
      <c r="W94" s="26">
        <f t="shared" si="78"/>
        <v>15.700000000000003</v>
      </c>
      <c r="X94" s="36">
        <f t="shared" si="65"/>
        <v>2119.5000000000005</v>
      </c>
      <c r="Y94" s="37">
        <f t="shared" si="83"/>
        <v>2119.5000000000005</v>
      </c>
      <c r="Z94" s="38">
        <v>1</v>
      </c>
      <c r="AA94" s="38">
        <v>1</v>
      </c>
      <c r="AB94" s="38">
        <v>1</v>
      </c>
      <c r="AC94" s="38">
        <v>13170</v>
      </c>
      <c r="AD94" s="157">
        <f t="shared" si="75"/>
        <v>750</v>
      </c>
      <c r="AE94" s="34">
        <v>4.5</v>
      </c>
      <c r="AF94" s="35">
        <v>7</v>
      </c>
      <c r="AG94" s="40"/>
      <c r="AH94" s="44">
        <v>0.5</v>
      </c>
      <c r="AI94" s="13"/>
      <c r="AJ94" s="46"/>
      <c r="AK94" s="45"/>
      <c r="AL94" s="23"/>
      <c r="AM94" s="138"/>
      <c r="AN94" s="25">
        <f t="shared" si="54"/>
        <v>12</v>
      </c>
      <c r="AO94" s="50"/>
      <c r="AP94" s="53">
        <f t="shared" si="84"/>
        <v>3400</v>
      </c>
      <c r="AQ94" s="53">
        <v>390</v>
      </c>
      <c r="AR94" s="119">
        <f t="shared" si="79"/>
        <v>0</v>
      </c>
      <c r="AS94" s="56">
        <f t="shared" si="69"/>
        <v>6659.5</v>
      </c>
      <c r="AT94" s="298">
        <v>6659.5</v>
      </c>
      <c r="AU94" s="298">
        <v>6659.5</v>
      </c>
      <c r="AV94" s="357">
        <f t="shared" si="76"/>
        <v>0</v>
      </c>
      <c r="AW94" s="18">
        <f>SUM($AS$8:AS94)</f>
        <v>535430.27999999991</v>
      </c>
      <c r="AX94" s="18">
        <f>IF(AS94=0,"",SUMIFS($AS$8:AS94, $BH$8:BH94, BH94))</f>
        <v>225477.29999999996</v>
      </c>
      <c r="AY94" s="57">
        <f t="shared" ca="1" si="77"/>
        <v>424.17197452229294</v>
      </c>
      <c r="AZ94" s="15" t="str">
        <f t="shared" ca="1" si="85"/>
        <v>LINK</v>
      </c>
      <c r="BA94" t="s">
        <v>297</v>
      </c>
      <c r="BB94" s="14" t="s">
        <v>211</v>
      </c>
      <c r="BC94" t="str">
        <f t="shared" si="86"/>
        <v>25</v>
      </c>
      <c r="BD94" t="str">
        <f t="shared" si="71"/>
        <v>08</v>
      </c>
      <c r="BE94" s="98">
        <f t="shared" si="72"/>
        <v>19</v>
      </c>
      <c r="BF94" t="str">
        <f t="shared" si="87"/>
        <v>D</v>
      </c>
      <c r="BG94" t="str">
        <f t="shared" si="89"/>
        <v>https://www.coreplan.io/app/ddh1-drilling/speewah-mining-speewah-fluorite-project-wa/plods/1663-250819D</v>
      </c>
      <c r="BH94" t="str">
        <f t="shared" si="88"/>
        <v>2025-08</v>
      </c>
    </row>
    <row r="95" spans="1:60">
      <c r="A95" s="510" t="str">
        <f>VLOOKUP(F95,'Tenement Lookup'!A:BH,60,FALSE)</f>
        <v>M 80/268</v>
      </c>
      <c r="B95" t="str">
        <f>VLOOKUP(F95,Purpose!$A$2:$B$334,2,FALSE)</f>
        <v>G Vein DD</v>
      </c>
      <c r="C95" s="152" t="s">
        <v>8</v>
      </c>
      <c r="D95" s="1">
        <f t="shared" si="68"/>
        <v>45887.71</v>
      </c>
      <c r="E95" t="s">
        <v>172</v>
      </c>
      <c r="F95" s="7" t="s">
        <v>298</v>
      </c>
      <c r="H95" s="4" t="s">
        <v>215</v>
      </c>
      <c r="I95" s="4">
        <v>3</v>
      </c>
      <c r="J95" s="5">
        <f t="shared" si="64"/>
        <v>390</v>
      </c>
      <c r="K95" s="21"/>
      <c r="L95" s="28"/>
      <c r="M95" s="28">
        <f t="shared" si="56"/>
        <v>0</v>
      </c>
      <c r="N95" s="30">
        <v>0</v>
      </c>
      <c r="O95" s="26">
        <v>21.3</v>
      </c>
      <c r="P95" s="31">
        <f t="shared" si="80"/>
        <v>21.3</v>
      </c>
      <c r="Q95" s="21"/>
      <c r="R95" s="28"/>
      <c r="S95" s="22">
        <f t="shared" si="81"/>
        <v>0</v>
      </c>
      <c r="T95" s="26"/>
      <c r="U95" s="26"/>
      <c r="V95" s="31">
        <f t="shared" si="82"/>
        <v>0</v>
      </c>
      <c r="W95" s="26">
        <f t="shared" si="78"/>
        <v>21.3</v>
      </c>
      <c r="X95" s="36">
        <f t="shared" si="65"/>
        <v>2875.5</v>
      </c>
      <c r="Y95" s="37">
        <f t="shared" si="83"/>
        <v>4370</v>
      </c>
      <c r="Z95" s="38"/>
      <c r="AA95" s="38"/>
      <c r="AB95" s="38"/>
      <c r="AC95" s="38"/>
      <c r="AD95" s="157">
        <f t="shared" si="75"/>
        <v>0</v>
      </c>
      <c r="AE95" s="34">
        <v>9.5</v>
      </c>
      <c r="AF95" s="35">
        <v>2</v>
      </c>
      <c r="AG95" s="40"/>
      <c r="AH95" s="44">
        <v>0.5</v>
      </c>
      <c r="AI95" s="13"/>
      <c r="AJ95" s="46"/>
      <c r="AK95" s="45"/>
      <c r="AL95" s="23"/>
      <c r="AM95" s="138"/>
      <c r="AN95" s="25">
        <f t="shared" si="54"/>
        <v>12</v>
      </c>
      <c r="AO95" s="50"/>
      <c r="AP95" s="53">
        <f t="shared" si="84"/>
        <v>1100</v>
      </c>
      <c r="AQ95" s="53">
        <v>984.93</v>
      </c>
      <c r="AR95" s="119">
        <f t="shared" si="79"/>
        <v>594.92999999999995</v>
      </c>
      <c r="AS95" s="56">
        <f t="shared" si="69"/>
        <v>6454.93</v>
      </c>
      <c r="AT95" s="298">
        <v>6454.93</v>
      </c>
      <c r="AU95" s="298">
        <v>6454.93</v>
      </c>
      <c r="AV95" s="357">
        <f t="shared" si="76"/>
        <v>0</v>
      </c>
      <c r="AW95" s="18">
        <f>SUM($AS$8:AS95)</f>
        <v>541885.21</v>
      </c>
      <c r="AX95" s="18">
        <f>IF(AS95=0,"",SUMIFS($AS$8:AS95, $BH$8:BH95, BH95))</f>
        <v>231932.22999999995</v>
      </c>
      <c r="AY95" s="57">
        <f t="shared" ca="1" si="77"/>
        <v>303.04835680751177</v>
      </c>
      <c r="AZ95" s="15" t="str">
        <f t="shared" ca="1" si="85"/>
        <v>LINK</v>
      </c>
      <c r="BA95" t="s">
        <v>294</v>
      </c>
      <c r="BB95" s="14" t="s">
        <v>211</v>
      </c>
      <c r="BC95" t="str">
        <f t="shared" si="86"/>
        <v>25</v>
      </c>
      <c r="BD95" t="str">
        <f t="shared" si="71"/>
        <v>08</v>
      </c>
      <c r="BE95" s="98">
        <f t="shared" si="72"/>
        <v>19</v>
      </c>
      <c r="BF95" t="str">
        <f t="shared" si="87"/>
        <v>N</v>
      </c>
      <c r="BG95" t="str">
        <f t="shared" si="89"/>
        <v>https://www.coreplan.io/app/ddh1-drilling/speewah-mining-speewah-fluorite-project-wa/plods/1663-250819N</v>
      </c>
      <c r="BH95" t="str">
        <f t="shared" si="88"/>
        <v>2025-08</v>
      </c>
    </row>
    <row r="96" spans="1:60">
      <c r="A96" s="510" t="str">
        <f>VLOOKUP(F96,'Tenement Lookup'!A:BH,60,FALSE)</f>
        <v>M 80/268</v>
      </c>
      <c r="B96" t="str">
        <f>VLOOKUP(F96,Purpose!$A$2:$B$334,2,FALSE)</f>
        <v>G Vein DD</v>
      </c>
      <c r="C96" s="152" t="s">
        <v>8</v>
      </c>
      <c r="D96" s="1">
        <f t="shared" si="68"/>
        <v>45888.21</v>
      </c>
      <c r="E96" t="s">
        <v>171</v>
      </c>
      <c r="F96" s="7" t="s">
        <v>298</v>
      </c>
      <c r="H96" s="4" t="s">
        <v>218</v>
      </c>
      <c r="I96" s="4">
        <v>3</v>
      </c>
      <c r="J96" s="5">
        <f t="shared" si="64"/>
        <v>390</v>
      </c>
      <c r="K96" s="21"/>
      <c r="L96" s="28"/>
      <c r="M96" s="28">
        <f t="shared" si="56"/>
        <v>0</v>
      </c>
      <c r="N96" s="30">
        <v>21.3</v>
      </c>
      <c r="O96" s="26">
        <v>57.8</v>
      </c>
      <c r="P96" s="31">
        <f t="shared" si="80"/>
        <v>36.5</v>
      </c>
      <c r="Q96" s="21"/>
      <c r="R96" s="28"/>
      <c r="S96" s="22">
        <f t="shared" si="81"/>
        <v>0</v>
      </c>
      <c r="T96" s="26"/>
      <c r="U96" s="26"/>
      <c r="V96" s="31">
        <f t="shared" si="82"/>
        <v>0</v>
      </c>
      <c r="W96" s="26">
        <f t="shared" si="78"/>
        <v>36.5</v>
      </c>
      <c r="X96" s="36">
        <f t="shared" si="65"/>
        <v>4927.5</v>
      </c>
      <c r="Y96" s="37">
        <f t="shared" si="83"/>
        <v>4945</v>
      </c>
      <c r="Z96" s="38">
        <v>1</v>
      </c>
      <c r="AA96" s="38">
        <v>1</v>
      </c>
      <c r="AB96" s="38">
        <v>1</v>
      </c>
      <c r="AC96" s="38">
        <v>13170</v>
      </c>
      <c r="AD96" s="157">
        <f t="shared" si="75"/>
        <v>750</v>
      </c>
      <c r="AE96" s="34">
        <v>10.75</v>
      </c>
      <c r="AF96" s="35">
        <v>0.75</v>
      </c>
      <c r="AG96" s="40"/>
      <c r="AH96" s="44">
        <v>0.5</v>
      </c>
      <c r="AI96" s="13"/>
      <c r="AJ96" s="46"/>
      <c r="AK96" s="45"/>
      <c r="AL96" s="23"/>
      <c r="AM96" s="138"/>
      <c r="AN96" s="25">
        <f t="shared" ref="AN96:AN159" si="90">IF(ISBLANK(AE96),"",SUM(AE96:AF96,AH96:AL96))</f>
        <v>12</v>
      </c>
      <c r="AO96" s="50"/>
      <c r="AP96" s="53">
        <f t="shared" si="84"/>
        <v>525</v>
      </c>
      <c r="AQ96" s="53">
        <v>507.93</v>
      </c>
      <c r="AR96" s="119">
        <f t="shared" si="79"/>
        <v>117.93</v>
      </c>
      <c r="AS96" s="56">
        <f t="shared" si="69"/>
        <v>6727.93</v>
      </c>
      <c r="AT96" s="298">
        <v>6727.93</v>
      </c>
      <c r="AU96" s="298">
        <v>6727.93</v>
      </c>
      <c r="AV96" s="357">
        <f t="shared" si="76"/>
        <v>0</v>
      </c>
      <c r="AW96" s="18">
        <f>SUM($AS$8:AS96)</f>
        <v>548613.14</v>
      </c>
      <c r="AX96" s="18">
        <f>IF(AS96=0,"",SUMIFS($AS$8:AS96, $BH$8:BH96, BH96))</f>
        <v>238660.15999999995</v>
      </c>
      <c r="AY96" s="57">
        <f t="shared" ca="1" si="77"/>
        <v>184.3268493150685</v>
      </c>
      <c r="AZ96" s="15" t="str">
        <f t="shared" ca="1" si="85"/>
        <v>LINK</v>
      </c>
      <c r="BA96" t="s">
        <v>299</v>
      </c>
      <c r="BB96" s="14" t="s">
        <v>211</v>
      </c>
      <c r="BC96" t="str">
        <f t="shared" si="86"/>
        <v>25</v>
      </c>
      <c r="BD96" t="str">
        <f t="shared" si="71"/>
        <v>08</v>
      </c>
      <c r="BE96" s="98">
        <f t="shared" si="72"/>
        <v>20</v>
      </c>
      <c r="BF96" t="str">
        <f t="shared" si="87"/>
        <v>D</v>
      </c>
      <c r="BG96" t="str">
        <f t="shared" si="89"/>
        <v>https://www.coreplan.io/app/ddh1-drilling/speewah-mining-speewah-fluorite-project-wa/plods/1663-250820D</v>
      </c>
      <c r="BH96" t="str">
        <f t="shared" si="88"/>
        <v>2025-08</v>
      </c>
    </row>
    <row r="97" spans="1:60">
      <c r="A97" s="510" t="str">
        <f>VLOOKUP(F97,'Tenement Lookup'!A:BH,60,FALSE)</f>
        <v>M 80/268</v>
      </c>
      <c r="B97" t="str">
        <f>VLOOKUP(F97,Purpose!$A$2:$B$334,2,FALSE)</f>
        <v>G Vein DD</v>
      </c>
      <c r="C97" s="152" t="s">
        <v>8</v>
      </c>
      <c r="D97" s="1">
        <f t="shared" si="68"/>
        <v>45888.71</v>
      </c>
      <c r="E97" t="s">
        <v>172</v>
      </c>
      <c r="F97" s="7" t="s">
        <v>298</v>
      </c>
      <c r="H97" s="4" t="s">
        <v>215</v>
      </c>
      <c r="I97" s="4">
        <v>3</v>
      </c>
      <c r="J97" s="5">
        <f t="shared" si="64"/>
        <v>390</v>
      </c>
      <c r="K97" s="21"/>
      <c r="L97" s="28"/>
      <c r="M97" s="28">
        <f t="shared" si="56"/>
        <v>0</v>
      </c>
      <c r="N97" s="30">
        <v>57.8</v>
      </c>
      <c r="O97" s="26">
        <v>81.8</v>
      </c>
      <c r="P97" s="31">
        <f t="shared" si="80"/>
        <v>24</v>
      </c>
      <c r="Q97" s="21"/>
      <c r="R97" s="28"/>
      <c r="S97" s="22">
        <f t="shared" si="81"/>
        <v>0</v>
      </c>
      <c r="T97" s="26"/>
      <c r="U97" s="26"/>
      <c r="V97" s="31">
        <f t="shared" si="82"/>
        <v>0</v>
      </c>
      <c r="W97" s="26">
        <f t="shared" si="78"/>
        <v>24</v>
      </c>
      <c r="X97" s="36">
        <f t="shared" si="65"/>
        <v>3240</v>
      </c>
      <c r="Y97" s="37">
        <f t="shared" si="83"/>
        <v>3680</v>
      </c>
      <c r="Z97" s="38"/>
      <c r="AA97" s="38"/>
      <c r="AB97" s="38"/>
      <c r="AC97" s="38"/>
      <c r="AD97" s="157">
        <f t="shared" si="75"/>
        <v>0</v>
      </c>
      <c r="AE97" s="34">
        <v>8</v>
      </c>
      <c r="AF97" s="35">
        <v>0.5</v>
      </c>
      <c r="AG97" s="40"/>
      <c r="AH97" s="44">
        <v>0.5</v>
      </c>
      <c r="AI97" s="13"/>
      <c r="AJ97" s="46"/>
      <c r="AK97" s="45">
        <v>3</v>
      </c>
      <c r="AL97" s="23"/>
      <c r="AM97" s="138" t="s">
        <v>240</v>
      </c>
      <c r="AN97" s="25">
        <f t="shared" si="90"/>
        <v>12</v>
      </c>
      <c r="AO97" s="50"/>
      <c r="AP97" s="53">
        <f t="shared" si="84"/>
        <v>410</v>
      </c>
      <c r="AQ97" s="53">
        <v>390</v>
      </c>
      <c r="AR97" s="119">
        <f t="shared" si="79"/>
        <v>0</v>
      </c>
      <c r="AS97" s="56">
        <f t="shared" si="69"/>
        <v>4480</v>
      </c>
      <c r="AT97" s="298">
        <v>4480</v>
      </c>
      <c r="AU97" s="298">
        <v>4480</v>
      </c>
      <c r="AV97" s="357">
        <f t="shared" si="76"/>
        <v>0</v>
      </c>
      <c r="AW97" s="18">
        <f>SUM($AS$8:AS97)</f>
        <v>553093.14</v>
      </c>
      <c r="AX97" s="18">
        <f>IF(AS97=0,"",SUMIFS($AS$8:AS97, $BH$8:BH97, BH97))</f>
        <v>243140.15999999995</v>
      </c>
      <c r="AY97" s="57">
        <f t="shared" ca="1" si="77"/>
        <v>186.66666666666666</v>
      </c>
      <c r="AZ97" s="15" t="str">
        <f t="shared" ca="1" si="85"/>
        <v>LINK</v>
      </c>
      <c r="BA97" t="s">
        <v>300</v>
      </c>
      <c r="BB97" s="14" t="s">
        <v>211</v>
      </c>
      <c r="BC97" t="str">
        <f t="shared" si="86"/>
        <v>25</v>
      </c>
      <c r="BD97" t="str">
        <f t="shared" si="71"/>
        <v>08</v>
      </c>
      <c r="BE97" s="98">
        <f t="shared" si="72"/>
        <v>20</v>
      </c>
      <c r="BF97" t="str">
        <f t="shared" si="87"/>
        <v>N</v>
      </c>
      <c r="BG97" t="str">
        <f t="shared" si="89"/>
        <v>https://www.coreplan.io/app/ddh1-drilling/speewah-mining-speewah-fluorite-project-wa/plods/1663-250820N</v>
      </c>
      <c r="BH97" t="str">
        <f t="shared" si="88"/>
        <v>2025-08</v>
      </c>
    </row>
    <row r="98" spans="1:60">
      <c r="A98" s="510" t="str">
        <f>VLOOKUP(F98,'Tenement Lookup'!A:BH,60,FALSE)</f>
        <v>M 80/268</v>
      </c>
      <c r="B98" t="str">
        <f>VLOOKUP(F98,Purpose!$A$2:$B$334,2,FALSE)</f>
        <v>G Vein DD</v>
      </c>
      <c r="C98" s="152" t="s">
        <v>8</v>
      </c>
      <c r="D98" s="1">
        <f t="shared" si="68"/>
        <v>45889.21</v>
      </c>
      <c r="E98" t="s">
        <v>171</v>
      </c>
      <c r="F98" s="7" t="s">
        <v>298</v>
      </c>
      <c r="H98" s="4" t="s">
        <v>216</v>
      </c>
      <c r="I98" s="4">
        <v>3</v>
      </c>
      <c r="J98" s="5">
        <f t="shared" si="64"/>
        <v>390</v>
      </c>
      <c r="K98" s="21"/>
      <c r="L98" s="28"/>
      <c r="M98" s="28">
        <f t="shared" si="56"/>
        <v>0</v>
      </c>
      <c r="N98" s="30">
        <v>81.8</v>
      </c>
      <c r="O98" s="26">
        <v>93.8</v>
      </c>
      <c r="P98" s="31">
        <f t="shared" si="80"/>
        <v>12</v>
      </c>
      <c r="Q98" s="21"/>
      <c r="R98" s="28"/>
      <c r="S98" s="22">
        <f t="shared" si="81"/>
        <v>0</v>
      </c>
      <c r="T98" s="26"/>
      <c r="U98" s="26"/>
      <c r="V98" s="31">
        <f t="shared" si="82"/>
        <v>0</v>
      </c>
      <c r="W98" s="26">
        <f t="shared" si="78"/>
        <v>12</v>
      </c>
      <c r="X98" s="36">
        <f t="shared" si="65"/>
        <v>1620</v>
      </c>
      <c r="Y98" s="37">
        <f t="shared" si="83"/>
        <v>1620</v>
      </c>
      <c r="Z98" s="38">
        <v>1</v>
      </c>
      <c r="AA98" s="38">
        <v>1</v>
      </c>
      <c r="AB98" s="38">
        <v>1</v>
      </c>
      <c r="AC98" s="38">
        <v>13170</v>
      </c>
      <c r="AD98" s="157">
        <f t="shared" si="75"/>
        <v>750</v>
      </c>
      <c r="AE98" s="34">
        <v>3.25</v>
      </c>
      <c r="AF98" s="35">
        <v>0.25</v>
      </c>
      <c r="AG98" s="40" t="s">
        <v>242</v>
      </c>
      <c r="AH98" s="44">
        <v>0.5</v>
      </c>
      <c r="AI98" s="13"/>
      <c r="AJ98" s="46"/>
      <c r="AK98" s="45">
        <v>8</v>
      </c>
      <c r="AL98" s="23"/>
      <c r="AM98" s="138" t="s">
        <v>240</v>
      </c>
      <c r="AN98" s="25">
        <f t="shared" si="90"/>
        <v>12</v>
      </c>
      <c r="AO98" s="50"/>
      <c r="AP98" s="53">
        <f t="shared" si="84"/>
        <v>295</v>
      </c>
      <c r="AQ98" s="53">
        <v>390</v>
      </c>
      <c r="AR98" s="119">
        <f t="shared" si="79"/>
        <v>0</v>
      </c>
      <c r="AS98" s="56">
        <f t="shared" si="69"/>
        <v>3055</v>
      </c>
      <c r="AT98" s="298">
        <v>3055</v>
      </c>
      <c r="AU98" s="298">
        <v>3055</v>
      </c>
      <c r="AV98" s="357">
        <f t="shared" si="76"/>
        <v>0</v>
      </c>
      <c r="AW98" s="18">
        <f>SUM($AS$8:AS98)</f>
        <v>556148.14</v>
      </c>
      <c r="AX98" s="18">
        <f>IF(AS98=0,"",SUMIFS($AS$8:AS98, $BH$8:BH98, BH98))</f>
        <v>246195.15999999995</v>
      </c>
      <c r="AY98" s="57">
        <f t="shared" ca="1" si="77"/>
        <v>254.58333333333334</v>
      </c>
      <c r="AZ98" s="15" t="str">
        <f t="shared" ca="1" si="85"/>
        <v>LINK</v>
      </c>
      <c r="BA98" t="s">
        <v>301</v>
      </c>
      <c r="BB98" s="14" t="s">
        <v>211</v>
      </c>
      <c r="BC98" t="str">
        <f t="shared" si="86"/>
        <v>25</v>
      </c>
      <c r="BD98" t="str">
        <f t="shared" si="71"/>
        <v>08</v>
      </c>
      <c r="BE98" s="98">
        <f t="shared" si="72"/>
        <v>21</v>
      </c>
      <c r="BF98" t="str">
        <f t="shared" si="87"/>
        <v>D</v>
      </c>
      <c r="BG98" t="str">
        <f t="shared" si="89"/>
        <v>https://www.coreplan.io/app/ddh1-drilling/speewah-mining-speewah-fluorite-project-wa/plods/1663-250821D</v>
      </c>
      <c r="BH98" t="str">
        <f t="shared" si="88"/>
        <v>2025-08</v>
      </c>
    </row>
    <row r="99" spans="1:60">
      <c r="A99" s="510" t="str">
        <f>VLOOKUP(F99,'Tenement Lookup'!A:BH,60,FALSE)</f>
        <v>M 80/268</v>
      </c>
      <c r="B99" t="str">
        <f>VLOOKUP(F99,Purpose!$A$2:$B$334,2,FALSE)</f>
        <v>G Vein DD</v>
      </c>
      <c r="C99" s="152" t="s">
        <v>8</v>
      </c>
      <c r="D99" s="1">
        <f t="shared" si="68"/>
        <v>45889.71</v>
      </c>
      <c r="E99" t="s">
        <v>172</v>
      </c>
      <c r="F99" s="7" t="s">
        <v>298</v>
      </c>
      <c r="H99" s="4" t="s">
        <v>218</v>
      </c>
      <c r="I99" s="4">
        <v>3</v>
      </c>
      <c r="J99" s="5">
        <f t="shared" si="64"/>
        <v>390</v>
      </c>
      <c r="K99" s="21"/>
      <c r="L99" s="28"/>
      <c r="M99" s="28">
        <f t="shared" si="56"/>
        <v>0</v>
      </c>
      <c r="N99" s="30">
        <v>93.8</v>
      </c>
      <c r="O99" s="26">
        <v>130.4</v>
      </c>
      <c r="P99" s="31">
        <f t="shared" si="80"/>
        <v>36.600000000000009</v>
      </c>
      <c r="Q99" s="21"/>
      <c r="R99" s="28"/>
      <c r="S99" s="22">
        <f t="shared" si="81"/>
        <v>0</v>
      </c>
      <c r="T99" s="26"/>
      <c r="U99" s="26"/>
      <c r="V99" s="31">
        <f t="shared" si="82"/>
        <v>0</v>
      </c>
      <c r="W99" s="26">
        <f t="shared" si="78"/>
        <v>36.600000000000009</v>
      </c>
      <c r="X99" s="36">
        <f t="shared" si="65"/>
        <v>4941.0000000000009</v>
      </c>
      <c r="Y99" s="37">
        <f t="shared" si="83"/>
        <v>5060</v>
      </c>
      <c r="Z99" s="38"/>
      <c r="AA99" s="38"/>
      <c r="AB99" s="38"/>
      <c r="AC99" s="38"/>
      <c r="AD99" s="157">
        <f t="shared" si="75"/>
        <v>0</v>
      </c>
      <c r="AE99" s="34">
        <v>11</v>
      </c>
      <c r="AF99" s="35">
        <v>0.5</v>
      </c>
      <c r="AG99" s="40"/>
      <c r="AH99" s="44">
        <v>0.5</v>
      </c>
      <c r="AI99" s="13"/>
      <c r="AJ99" s="46"/>
      <c r="AK99" s="45"/>
      <c r="AL99" s="23"/>
      <c r="AM99" s="138"/>
      <c r="AN99" s="25">
        <f t="shared" si="90"/>
        <v>12</v>
      </c>
      <c r="AO99" s="50"/>
      <c r="AP99" s="53">
        <f t="shared" si="84"/>
        <v>410</v>
      </c>
      <c r="AQ99" s="53">
        <v>507.93</v>
      </c>
      <c r="AR99" s="119">
        <f t="shared" si="79"/>
        <v>117.93</v>
      </c>
      <c r="AS99" s="56">
        <f t="shared" si="69"/>
        <v>5977.93</v>
      </c>
      <c r="AT99" s="298">
        <v>5977.93</v>
      </c>
      <c r="AU99" s="298">
        <v>5977.93</v>
      </c>
      <c r="AV99" s="357">
        <f t="shared" si="76"/>
        <v>0</v>
      </c>
      <c r="AW99" s="18">
        <f>SUM($AS$8:AS99)</f>
        <v>562126.07000000007</v>
      </c>
      <c r="AX99" s="18">
        <f>IF(AS99=0,"",SUMIFS($AS$8:AS99, $BH$8:BH99, BH99))</f>
        <v>252173.08999999994</v>
      </c>
      <c r="AY99" s="57">
        <f t="shared" ca="1" si="77"/>
        <v>163.3314207650273</v>
      </c>
      <c r="AZ99" s="15" t="str">
        <f t="shared" ca="1" si="85"/>
        <v>LINK</v>
      </c>
      <c r="BA99" t="s">
        <v>302</v>
      </c>
      <c r="BB99" s="14" t="s">
        <v>211</v>
      </c>
      <c r="BC99" t="str">
        <f t="shared" si="86"/>
        <v>25</v>
      </c>
      <c r="BD99" t="str">
        <f t="shared" si="71"/>
        <v>08</v>
      </c>
      <c r="BE99" s="98">
        <f t="shared" si="72"/>
        <v>21</v>
      </c>
      <c r="BF99" t="str">
        <f t="shared" si="87"/>
        <v>N</v>
      </c>
      <c r="BG99" t="str">
        <f t="shared" si="89"/>
        <v>https://www.coreplan.io/app/ddh1-drilling/speewah-mining-speewah-fluorite-project-wa/plods/1663-250821N</v>
      </c>
      <c r="BH99" t="str">
        <f t="shared" si="88"/>
        <v>2025-08</v>
      </c>
    </row>
    <row r="100" spans="1:60">
      <c r="A100" s="510" t="str">
        <f>VLOOKUP(F100,'Tenement Lookup'!A:BH,60,FALSE)</f>
        <v>M 80/268</v>
      </c>
      <c r="B100" t="str">
        <f>VLOOKUP(F100,Purpose!$A$2:$B$334,2,FALSE)</f>
        <v>G Vein DD</v>
      </c>
      <c r="C100" s="152" t="s">
        <v>8</v>
      </c>
      <c r="D100" s="1">
        <f t="shared" si="68"/>
        <v>45890.21</v>
      </c>
      <c r="E100" t="s">
        <v>171</v>
      </c>
      <c r="F100" s="7" t="s">
        <v>298</v>
      </c>
      <c r="G100" t="s">
        <v>303</v>
      </c>
      <c r="H100" s="4" t="s">
        <v>216</v>
      </c>
      <c r="I100" s="4">
        <v>3</v>
      </c>
      <c r="J100" s="5">
        <f t="shared" si="64"/>
        <v>390</v>
      </c>
      <c r="K100" s="21"/>
      <c r="L100" s="28"/>
      <c r="M100" s="28">
        <f t="shared" si="56"/>
        <v>0</v>
      </c>
      <c r="N100" s="30">
        <v>130.4</v>
      </c>
      <c r="O100" s="26">
        <v>135.69999999999999</v>
      </c>
      <c r="P100" s="31">
        <f t="shared" si="80"/>
        <v>5.2999999999999829</v>
      </c>
      <c r="Q100" s="21"/>
      <c r="R100" s="28"/>
      <c r="S100" s="22">
        <f t="shared" si="81"/>
        <v>0</v>
      </c>
      <c r="T100" s="26">
        <v>0</v>
      </c>
      <c r="U100" s="26">
        <v>6.5</v>
      </c>
      <c r="V100" s="31">
        <f t="shared" si="82"/>
        <v>6.5</v>
      </c>
      <c r="W100" s="26">
        <f t="shared" si="78"/>
        <v>11.799999999999983</v>
      </c>
      <c r="X100" s="36">
        <f t="shared" si="65"/>
        <v>1592.9999999999977</v>
      </c>
      <c r="Y100" s="37">
        <f t="shared" si="83"/>
        <v>1725</v>
      </c>
      <c r="Z100" s="38">
        <v>1</v>
      </c>
      <c r="AA100" s="38">
        <v>1</v>
      </c>
      <c r="AB100" s="38">
        <v>1</v>
      </c>
      <c r="AC100" s="38">
        <v>13170</v>
      </c>
      <c r="AD100" s="157">
        <f t="shared" si="75"/>
        <v>750</v>
      </c>
      <c r="AE100" s="34">
        <v>3.75</v>
      </c>
      <c r="AF100" s="35">
        <v>7.75</v>
      </c>
      <c r="AG100" s="40"/>
      <c r="AH100" s="44">
        <v>0.5</v>
      </c>
      <c r="AI100" s="13"/>
      <c r="AJ100" s="46"/>
      <c r="AK100" s="45"/>
      <c r="AL100" s="23"/>
      <c r="AM100" s="138"/>
      <c r="AN100" s="25">
        <f t="shared" si="90"/>
        <v>12</v>
      </c>
      <c r="AO100" s="50"/>
      <c r="AP100" s="53">
        <f t="shared" si="84"/>
        <v>3745</v>
      </c>
      <c r="AQ100" s="53">
        <v>390</v>
      </c>
      <c r="AR100" s="119">
        <f t="shared" si="79"/>
        <v>0</v>
      </c>
      <c r="AS100" s="56">
        <f t="shared" ref="AS100:AS131" si="91">SUM(Y100,AP100,AR100,J100)+AD100</f>
        <v>6610</v>
      </c>
      <c r="AT100" s="298">
        <v>6610</v>
      </c>
      <c r="AU100" s="298">
        <v>6610</v>
      </c>
      <c r="AV100" s="357">
        <f t="shared" si="76"/>
        <v>0</v>
      </c>
      <c r="AW100" s="18">
        <f>SUM($AS$8:AS100)</f>
        <v>568736.07000000007</v>
      </c>
      <c r="AX100" s="18">
        <f>IF(AS100=0,"",SUMIFS($AS$8:AS100, $BH$8:BH100, BH100))</f>
        <v>258783.08999999994</v>
      </c>
      <c r="AY100" s="57">
        <f t="shared" ca="1" si="77"/>
        <v>560.16949152542452</v>
      </c>
      <c r="AZ100" s="15" t="str">
        <f t="shared" ca="1" si="85"/>
        <v>LINK</v>
      </c>
      <c r="BA100" t="s">
        <v>304</v>
      </c>
      <c r="BB100" s="14" t="s">
        <v>211</v>
      </c>
      <c r="BC100" t="str">
        <f t="shared" si="86"/>
        <v>25</v>
      </c>
      <c r="BD100" t="str">
        <f t="shared" si="71"/>
        <v>08</v>
      </c>
      <c r="BE100" s="98">
        <f t="shared" si="72"/>
        <v>22</v>
      </c>
      <c r="BF100" t="str">
        <f t="shared" si="87"/>
        <v>D</v>
      </c>
      <c r="BG100" t="str">
        <f t="shared" si="89"/>
        <v>https://www.coreplan.io/app/ddh1-drilling/speewah-mining-speewah-fluorite-project-wa/plods/1663-250822D</v>
      </c>
      <c r="BH100" t="str">
        <f t="shared" si="88"/>
        <v>2025-08</v>
      </c>
    </row>
    <row r="101" spans="1:60">
      <c r="A101" s="510" t="str">
        <f>VLOOKUP(F101,'Tenement Lookup'!A:BH,60,FALSE)</f>
        <v>M 80/268</v>
      </c>
      <c r="B101" t="str">
        <f>VLOOKUP(F101,Purpose!$A$2:$B$334,2,FALSE)</f>
        <v>Infill</v>
      </c>
      <c r="C101" s="152" t="s">
        <v>8</v>
      </c>
      <c r="D101" s="1">
        <f t="shared" si="68"/>
        <v>45890.71</v>
      </c>
      <c r="E101" t="s">
        <v>172</v>
      </c>
      <c r="F101" s="7" t="s">
        <v>303</v>
      </c>
      <c r="H101" s="4" t="s">
        <v>218</v>
      </c>
      <c r="I101" s="4">
        <v>3</v>
      </c>
      <c r="J101" s="5">
        <f t="shared" si="64"/>
        <v>390</v>
      </c>
      <c r="K101" s="21"/>
      <c r="L101" s="28"/>
      <c r="M101" s="28">
        <f t="shared" si="56"/>
        <v>0</v>
      </c>
      <c r="N101" s="30">
        <v>6.5</v>
      </c>
      <c r="O101" s="26">
        <v>35.299999999999997</v>
      </c>
      <c r="P101" s="31">
        <f t="shared" si="80"/>
        <v>28.799999999999997</v>
      </c>
      <c r="Q101" s="21"/>
      <c r="R101" s="28"/>
      <c r="S101" s="22">
        <f t="shared" si="81"/>
        <v>0</v>
      </c>
      <c r="T101" s="26"/>
      <c r="U101" s="26"/>
      <c r="V101" s="31">
        <f t="shared" si="82"/>
        <v>0</v>
      </c>
      <c r="W101" s="26">
        <f t="shared" si="78"/>
        <v>28.799999999999997</v>
      </c>
      <c r="X101" s="36">
        <f t="shared" si="65"/>
        <v>3887.9999999999995</v>
      </c>
      <c r="Y101" s="37">
        <f t="shared" si="83"/>
        <v>3910</v>
      </c>
      <c r="Z101" s="38"/>
      <c r="AA101" s="38"/>
      <c r="AB101" s="38"/>
      <c r="AC101" s="38"/>
      <c r="AD101" s="157">
        <f t="shared" si="75"/>
        <v>0</v>
      </c>
      <c r="AE101" s="34">
        <v>8.5</v>
      </c>
      <c r="AF101" s="35">
        <v>3</v>
      </c>
      <c r="AG101" s="40"/>
      <c r="AH101" s="44">
        <v>0.5</v>
      </c>
      <c r="AI101" s="13"/>
      <c r="AJ101" s="46"/>
      <c r="AK101" s="45"/>
      <c r="AL101" s="23"/>
      <c r="AM101" s="138"/>
      <c r="AN101" s="25">
        <f t="shared" si="90"/>
        <v>12</v>
      </c>
      <c r="AO101" s="50"/>
      <c r="AP101" s="53">
        <f t="shared" si="84"/>
        <v>1560</v>
      </c>
      <c r="AQ101" s="53">
        <v>951.61</v>
      </c>
      <c r="AR101" s="119">
        <f t="shared" si="79"/>
        <v>561.61</v>
      </c>
      <c r="AS101" s="56">
        <f t="shared" si="91"/>
        <v>6421.61</v>
      </c>
      <c r="AT101" s="298">
        <v>6421.61</v>
      </c>
      <c r="AU101" s="298">
        <v>6421.61</v>
      </c>
      <c r="AV101" s="357">
        <f t="shared" si="76"/>
        <v>0</v>
      </c>
      <c r="AW101" s="18">
        <f>SUM($AS$8:AS101)</f>
        <v>575157.68000000005</v>
      </c>
      <c r="AX101" s="18">
        <f>IF(AS101=0,"",SUMIFS($AS$8:AS101, $BH$8:BH101, BH101))</f>
        <v>265204.69999999995</v>
      </c>
      <c r="AY101" s="57">
        <f t="shared" ca="1" si="77"/>
        <v>222.97256944444445</v>
      </c>
      <c r="AZ101" s="15" t="str">
        <f t="shared" ca="1" si="85"/>
        <v>LINK</v>
      </c>
      <c r="BA101" t="s">
        <v>305</v>
      </c>
      <c r="BB101" s="14" t="s">
        <v>211</v>
      </c>
      <c r="BC101" t="str">
        <f t="shared" si="86"/>
        <v>25</v>
      </c>
      <c r="BD101" t="str">
        <f t="shared" si="71"/>
        <v>08</v>
      </c>
      <c r="BE101" s="98">
        <f t="shared" si="72"/>
        <v>22</v>
      </c>
      <c r="BF101" t="str">
        <f t="shared" si="87"/>
        <v>N</v>
      </c>
      <c r="BG101" t="str">
        <f t="shared" si="89"/>
        <v>https://www.coreplan.io/app/ddh1-drilling/speewah-mining-speewah-fluorite-project-wa/plods/1663-250822N</v>
      </c>
      <c r="BH101" t="str">
        <f t="shared" si="88"/>
        <v>2025-08</v>
      </c>
    </row>
    <row r="102" spans="1:60">
      <c r="A102" s="510" t="str">
        <f>VLOOKUP(F102,'Tenement Lookup'!A:BH,60,FALSE)</f>
        <v>M 80/268</v>
      </c>
      <c r="B102" t="str">
        <f>VLOOKUP(F102,Purpose!$A$2:$B$334,2,FALSE)</f>
        <v>Infill</v>
      </c>
      <c r="C102" s="152" t="s">
        <v>8</v>
      </c>
      <c r="D102" s="1">
        <f t="shared" si="68"/>
        <v>45891.21</v>
      </c>
      <c r="E102" t="s">
        <v>171</v>
      </c>
      <c r="F102" s="7" t="s">
        <v>303</v>
      </c>
      <c r="H102" s="4" t="s">
        <v>216</v>
      </c>
      <c r="I102" s="4">
        <v>3</v>
      </c>
      <c r="J102" s="5">
        <f t="shared" si="64"/>
        <v>390</v>
      </c>
      <c r="K102" s="21"/>
      <c r="L102" s="28"/>
      <c r="M102" s="28">
        <f t="shared" si="56"/>
        <v>0</v>
      </c>
      <c r="N102" s="30">
        <v>35.299999999999997</v>
      </c>
      <c r="O102" s="26">
        <v>66.8</v>
      </c>
      <c r="P102" s="31">
        <f t="shared" si="80"/>
        <v>31.5</v>
      </c>
      <c r="Q102" s="21"/>
      <c r="R102" s="28"/>
      <c r="S102" s="22">
        <f t="shared" si="81"/>
        <v>0</v>
      </c>
      <c r="T102" s="26"/>
      <c r="U102" s="26"/>
      <c r="V102" s="31">
        <f t="shared" si="82"/>
        <v>0</v>
      </c>
      <c r="W102" s="26">
        <f t="shared" si="78"/>
        <v>31.5</v>
      </c>
      <c r="X102" s="36">
        <f t="shared" si="65"/>
        <v>4252.5</v>
      </c>
      <c r="Y102" s="37">
        <f t="shared" si="83"/>
        <v>4945</v>
      </c>
      <c r="Z102" s="38">
        <v>1</v>
      </c>
      <c r="AA102" s="38">
        <v>1</v>
      </c>
      <c r="AB102" s="38">
        <v>1</v>
      </c>
      <c r="AC102" s="38">
        <v>13170</v>
      </c>
      <c r="AD102" s="157">
        <f t="shared" si="75"/>
        <v>750</v>
      </c>
      <c r="AE102" s="34">
        <v>10.75</v>
      </c>
      <c r="AF102" s="35">
        <v>0.75</v>
      </c>
      <c r="AG102" s="40"/>
      <c r="AH102" s="44">
        <v>0.5</v>
      </c>
      <c r="AI102" s="13"/>
      <c r="AJ102" s="46"/>
      <c r="AK102" s="45"/>
      <c r="AL102" s="23"/>
      <c r="AM102" s="138"/>
      <c r="AN102" s="25">
        <f t="shared" si="90"/>
        <v>12</v>
      </c>
      <c r="AO102" s="50"/>
      <c r="AP102" s="53">
        <f t="shared" si="84"/>
        <v>525</v>
      </c>
      <c r="AQ102" s="53">
        <v>390</v>
      </c>
      <c r="AR102" s="119">
        <f t="shared" si="79"/>
        <v>0</v>
      </c>
      <c r="AS102" s="56">
        <f t="shared" si="91"/>
        <v>6610</v>
      </c>
      <c r="AT102" s="298">
        <v>6610</v>
      </c>
      <c r="AU102" s="298">
        <v>6610</v>
      </c>
      <c r="AV102" s="357">
        <f t="shared" si="76"/>
        <v>0</v>
      </c>
      <c r="AW102" s="18">
        <f>SUM($AS$8:AS102)</f>
        <v>581767.68000000005</v>
      </c>
      <c r="AX102" s="18">
        <f>IF(AS102=0,"",SUMIFS($AS$8:AS102, $BH$8:BH102, BH102))</f>
        <v>271814.69999999995</v>
      </c>
      <c r="AY102" s="57">
        <f t="shared" ca="1" si="77"/>
        <v>209.84126984126985</v>
      </c>
      <c r="AZ102" s="15" t="str">
        <f t="shared" ca="1" si="85"/>
        <v>LINK</v>
      </c>
      <c r="BA102" s="10" t="s">
        <v>306</v>
      </c>
      <c r="BB102" s="14" t="s">
        <v>211</v>
      </c>
      <c r="BC102" t="str">
        <f t="shared" si="86"/>
        <v>25</v>
      </c>
      <c r="BD102" t="str">
        <f t="shared" si="71"/>
        <v>08</v>
      </c>
      <c r="BE102" s="98">
        <f t="shared" si="72"/>
        <v>23</v>
      </c>
      <c r="BF102" t="str">
        <f t="shared" si="87"/>
        <v>D</v>
      </c>
      <c r="BG102" t="str">
        <f t="shared" si="89"/>
        <v>https://www.coreplan.io/app/ddh1-drilling/speewah-mining-speewah-fluorite-project-wa/plods/1663-250823D</v>
      </c>
      <c r="BH102" t="str">
        <f t="shared" si="88"/>
        <v>2025-08</v>
      </c>
    </row>
    <row r="103" spans="1:60">
      <c r="A103" s="510" t="str">
        <f>VLOOKUP(F103,'Tenement Lookup'!A:BH,60,FALSE)</f>
        <v>M 80/268</v>
      </c>
      <c r="B103" t="str">
        <f>VLOOKUP(F103,Purpose!$A$2:$B$334,2,FALSE)</f>
        <v>Infill</v>
      </c>
      <c r="C103" s="152" t="s">
        <v>8</v>
      </c>
      <c r="D103" s="1">
        <f t="shared" si="68"/>
        <v>45891.71</v>
      </c>
      <c r="E103" t="s">
        <v>172</v>
      </c>
      <c r="F103" s="7" t="s">
        <v>303</v>
      </c>
      <c r="H103" s="4" t="s">
        <v>218</v>
      </c>
      <c r="I103" s="4">
        <v>3</v>
      </c>
      <c r="J103" s="5">
        <f t="shared" si="64"/>
        <v>390</v>
      </c>
      <c r="K103" s="21"/>
      <c r="L103" s="28"/>
      <c r="M103" s="28">
        <f t="shared" si="56"/>
        <v>0</v>
      </c>
      <c r="N103" s="30">
        <v>66.8</v>
      </c>
      <c r="O103" s="26">
        <v>99.8</v>
      </c>
      <c r="P103" s="31">
        <f t="shared" si="80"/>
        <v>33</v>
      </c>
      <c r="Q103" s="21"/>
      <c r="R103" s="28"/>
      <c r="S103" s="22">
        <f t="shared" si="81"/>
        <v>0</v>
      </c>
      <c r="T103" s="26"/>
      <c r="U103" s="26"/>
      <c r="V103" s="31">
        <f t="shared" si="82"/>
        <v>0</v>
      </c>
      <c r="W103" s="26">
        <f t="shared" si="78"/>
        <v>33</v>
      </c>
      <c r="X103" s="36">
        <f t="shared" si="65"/>
        <v>4455</v>
      </c>
      <c r="Y103" s="37">
        <f t="shared" si="83"/>
        <v>4715</v>
      </c>
      <c r="Z103" s="38"/>
      <c r="AA103" s="38"/>
      <c r="AB103" s="38"/>
      <c r="AC103" s="38"/>
      <c r="AD103" s="157">
        <f t="shared" si="75"/>
        <v>0</v>
      </c>
      <c r="AE103" s="34">
        <v>10.25</v>
      </c>
      <c r="AF103" s="35">
        <v>1.25</v>
      </c>
      <c r="AG103" s="40"/>
      <c r="AH103" s="44">
        <v>0.5</v>
      </c>
      <c r="AI103" s="13"/>
      <c r="AJ103" s="46"/>
      <c r="AK103" s="45"/>
      <c r="AL103" s="23"/>
      <c r="AM103" s="138"/>
      <c r="AN103" s="25">
        <f t="shared" si="90"/>
        <v>12</v>
      </c>
      <c r="AO103" s="50"/>
      <c r="AP103" s="53">
        <f t="shared" si="84"/>
        <v>755</v>
      </c>
      <c r="AQ103" s="53">
        <v>390</v>
      </c>
      <c r="AR103" s="119">
        <f t="shared" si="79"/>
        <v>0</v>
      </c>
      <c r="AS103" s="56">
        <f t="shared" si="91"/>
        <v>5860</v>
      </c>
      <c r="AT103" s="298">
        <v>5860</v>
      </c>
      <c r="AU103" s="298">
        <v>5860</v>
      </c>
      <c r="AV103" s="357">
        <f t="shared" si="76"/>
        <v>0</v>
      </c>
      <c r="AW103" s="18">
        <f>SUM($AS$8:AS103)</f>
        <v>587627.68000000005</v>
      </c>
      <c r="AX103" s="18">
        <f>IF(AS103=0,"",SUMIFS($AS$8:AS103, $BH$8:BH103, BH103))</f>
        <v>277674.69999999995</v>
      </c>
      <c r="AY103" s="57">
        <f t="shared" ca="1" si="77"/>
        <v>177.57575757575756</v>
      </c>
      <c r="AZ103" s="15" t="str">
        <f t="shared" ca="1" si="85"/>
        <v>LINK</v>
      </c>
      <c r="BA103" s="10" t="s">
        <v>307</v>
      </c>
      <c r="BB103" s="14" t="s">
        <v>211</v>
      </c>
      <c r="BC103" t="str">
        <f t="shared" si="86"/>
        <v>25</v>
      </c>
      <c r="BD103" t="str">
        <f t="shared" si="71"/>
        <v>08</v>
      </c>
      <c r="BE103" s="98">
        <f t="shared" si="72"/>
        <v>23</v>
      </c>
      <c r="BF103" t="str">
        <f t="shared" si="87"/>
        <v>N</v>
      </c>
      <c r="BG103" t="str">
        <f t="shared" si="89"/>
        <v>https://www.coreplan.io/app/ddh1-drilling/speewah-mining-speewah-fluorite-project-wa/plods/1663-250823N</v>
      </c>
      <c r="BH103" t="str">
        <f t="shared" si="88"/>
        <v>2025-08</v>
      </c>
    </row>
    <row r="104" spans="1:60">
      <c r="A104" s="510" t="str">
        <f>VLOOKUP(F104,'Tenement Lookup'!A:BH,60,FALSE)</f>
        <v>M 80/268</v>
      </c>
      <c r="B104" t="str">
        <f>VLOOKUP(F104,Purpose!$A$2:$B$334,2,FALSE)</f>
        <v>Infill</v>
      </c>
      <c r="C104" s="152" t="s">
        <v>8</v>
      </c>
      <c r="D104" s="1">
        <f t="shared" si="68"/>
        <v>45892.21</v>
      </c>
      <c r="E104" t="s">
        <v>171</v>
      </c>
      <c r="F104" s="7" t="s">
        <v>303</v>
      </c>
      <c r="H104" s="4" t="s">
        <v>216</v>
      </c>
      <c r="I104" s="4">
        <v>3</v>
      </c>
      <c r="J104" s="5">
        <f t="shared" si="64"/>
        <v>390</v>
      </c>
      <c r="K104" s="21"/>
      <c r="L104" s="28"/>
      <c r="M104" s="28">
        <f t="shared" si="56"/>
        <v>0</v>
      </c>
      <c r="N104" s="30">
        <v>99.8</v>
      </c>
      <c r="O104" s="26">
        <v>129.80000000000001</v>
      </c>
      <c r="P104" s="31">
        <f t="shared" si="80"/>
        <v>30.000000000000014</v>
      </c>
      <c r="Q104" s="21"/>
      <c r="R104" s="28"/>
      <c r="S104" s="22">
        <f t="shared" si="81"/>
        <v>0</v>
      </c>
      <c r="T104" s="26"/>
      <c r="U104" s="26"/>
      <c r="V104" s="31">
        <f t="shared" si="82"/>
        <v>0</v>
      </c>
      <c r="W104" s="26">
        <f t="shared" si="78"/>
        <v>30.000000000000014</v>
      </c>
      <c r="X104" s="36">
        <f t="shared" si="65"/>
        <v>4050.0000000000018</v>
      </c>
      <c r="Y104" s="37">
        <f t="shared" si="83"/>
        <v>4370</v>
      </c>
      <c r="Z104" s="38">
        <v>1</v>
      </c>
      <c r="AA104" s="38">
        <v>1</v>
      </c>
      <c r="AB104" s="38">
        <v>1</v>
      </c>
      <c r="AC104" s="38">
        <v>13170</v>
      </c>
      <c r="AD104" s="157">
        <f t="shared" si="75"/>
        <v>750</v>
      </c>
      <c r="AE104" s="34">
        <v>9.5</v>
      </c>
      <c r="AF104" s="35">
        <v>0.5</v>
      </c>
      <c r="AG104" s="40"/>
      <c r="AH104" s="44">
        <v>0.5</v>
      </c>
      <c r="AI104" s="13">
        <v>1.5</v>
      </c>
      <c r="AJ104" s="46" t="s">
        <v>308</v>
      </c>
      <c r="AK104" s="45"/>
      <c r="AL104" s="23"/>
      <c r="AM104" s="138"/>
      <c r="AN104" s="25">
        <f t="shared" si="90"/>
        <v>12</v>
      </c>
      <c r="AO104" s="50"/>
      <c r="AP104" s="53">
        <f t="shared" si="84"/>
        <v>950</v>
      </c>
      <c r="AQ104" s="53">
        <v>527.5</v>
      </c>
      <c r="AR104" s="119">
        <f t="shared" si="79"/>
        <v>137.5</v>
      </c>
      <c r="AS104" s="56">
        <f t="shared" si="91"/>
        <v>6597.5</v>
      </c>
      <c r="AT104" s="298">
        <v>6597.5</v>
      </c>
      <c r="AU104" s="298">
        <v>6597.5</v>
      </c>
      <c r="AV104" s="357">
        <f t="shared" si="76"/>
        <v>0</v>
      </c>
      <c r="AW104" s="18">
        <f>SUM($AS$8:AS104)</f>
        <v>594225.18000000005</v>
      </c>
      <c r="AX104" s="18">
        <f>IF(AS104=0,"",SUMIFS($AS$8:AS104, $BH$8:BH104, BH104))</f>
        <v>284272.19999999995</v>
      </c>
      <c r="AY104" s="57">
        <f t="shared" ca="1" si="77"/>
        <v>219.91666666666657</v>
      </c>
      <c r="AZ104" s="15" t="str">
        <f t="shared" ca="1" si="85"/>
        <v>LINK</v>
      </c>
      <c r="BA104" t="s">
        <v>309</v>
      </c>
      <c r="BB104" s="14" t="s">
        <v>211</v>
      </c>
      <c r="BC104" t="str">
        <f t="shared" si="86"/>
        <v>25</v>
      </c>
      <c r="BD104" t="str">
        <f t="shared" si="71"/>
        <v>08</v>
      </c>
      <c r="BE104" s="98">
        <f t="shared" si="72"/>
        <v>24</v>
      </c>
      <c r="BF104" t="str">
        <f t="shared" si="87"/>
        <v>D</v>
      </c>
      <c r="BG104" t="str">
        <f t="shared" si="89"/>
        <v>https://www.coreplan.io/app/ddh1-drilling/speewah-mining-speewah-fluorite-project-wa/plods/1663-250824D</v>
      </c>
      <c r="BH104" t="str">
        <f t="shared" si="88"/>
        <v>2025-08</v>
      </c>
    </row>
    <row r="105" spans="1:60">
      <c r="A105" s="510" t="str">
        <f>VLOOKUP(F105,'Tenement Lookup'!A:BH,60,FALSE)</f>
        <v>M 80/268</v>
      </c>
      <c r="B105" t="str">
        <f>VLOOKUP(F105,Purpose!$A$2:$B$334,2,FALSE)</f>
        <v>Infill</v>
      </c>
      <c r="C105" s="152" t="s">
        <v>8</v>
      </c>
      <c r="D105" s="1">
        <f t="shared" si="68"/>
        <v>45892.71</v>
      </c>
      <c r="E105" t="s">
        <v>172</v>
      </c>
      <c r="F105" s="7" t="s">
        <v>303</v>
      </c>
      <c r="H105" s="4" t="s">
        <v>218</v>
      </c>
      <c r="I105" s="4">
        <v>3</v>
      </c>
      <c r="J105" s="5">
        <f t="shared" si="64"/>
        <v>390</v>
      </c>
      <c r="K105" s="21"/>
      <c r="L105" s="28"/>
      <c r="M105" s="28">
        <f t="shared" si="56"/>
        <v>0</v>
      </c>
      <c r="N105" s="30">
        <v>129.80000000000001</v>
      </c>
      <c r="O105" s="26">
        <v>162.80000000000001</v>
      </c>
      <c r="P105" s="31">
        <f t="shared" si="80"/>
        <v>33</v>
      </c>
      <c r="Q105" s="21"/>
      <c r="R105" s="28"/>
      <c r="S105" s="22">
        <f t="shared" si="81"/>
        <v>0</v>
      </c>
      <c r="T105" s="26"/>
      <c r="U105" s="26"/>
      <c r="V105" s="31">
        <f t="shared" si="82"/>
        <v>0</v>
      </c>
      <c r="W105" s="26">
        <f t="shared" si="78"/>
        <v>33</v>
      </c>
      <c r="X105" s="36">
        <f t="shared" si="65"/>
        <v>4455</v>
      </c>
      <c r="Y105" s="37">
        <f t="shared" si="83"/>
        <v>5060</v>
      </c>
      <c r="Z105" s="38"/>
      <c r="AA105" s="38"/>
      <c r="AB105" s="38"/>
      <c r="AC105" s="38"/>
      <c r="AD105" s="157">
        <f t="shared" si="75"/>
        <v>0</v>
      </c>
      <c r="AE105" s="34">
        <v>11</v>
      </c>
      <c r="AF105" s="35">
        <v>0.5</v>
      </c>
      <c r="AG105" s="40"/>
      <c r="AH105" s="44">
        <v>0.5</v>
      </c>
      <c r="AI105" s="13"/>
      <c r="AJ105" s="46"/>
      <c r="AK105" s="45"/>
      <c r="AL105" s="23"/>
      <c r="AM105" s="138"/>
      <c r="AN105" s="25">
        <f t="shared" si="90"/>
        <v>12</v>
      </c>
      <c r="AO105" s="50"/>
      <c r="AP105" s="53">
        <f t="shared" si="84"/>
        <v>410</v>
      </c>
      <c r="AQ105" s="53">
        <v>390</v>
      </c>
      <c r="AR105" s="119">
        <f t="shared" si="79"/>
        <v>0</v>
      </c>
      <c r="AS105" s="56">
        <f t="shared" si="91"/>
        <v>5860</v>
      </c>
      <c r="AT105" s="298">
        <v>5860</v>
      </c>
      <c r="AU105" s="298">
        <v>5860</v>
      </c>
      <c r="AV105" s="357">
        <f t="shared" si="76"/>
        <v>0</v>
      </c>
      <c r="AW105" s="18">
        <f>SUM($AS$8:AS105)</f>
        <v>600085.18000000005</v>
      </c>
      <c r="AX105" s="18">
        <f>IF(AS105=0,"",SUMIFS($AS$8:AS105, $BH$8:BH105, BH105))</f>
        <v>290132.19999999995</v>
      </c>
      <c r="AY105" s="57">
        <f t="shared" ca="1" si="77"/>
        <v>177.57575757575756</v>
      </c>
      <c r="AZ105" s="15" t="str">
        <f t="shared" ca="1" si="85"/>
        <v>LINK</v>
      </c>
      <c r="BA105" t="s">
        <v>310</v>
      </c>
      <c r="BB105" s="14" t="s">
        <v>211</v>
      </c>
      <c r="BC105" t="str">
        <f t="shared" si="86"/>
        <v>25</v>
      </c>
      <c r="BD105" t="str">
        <f t="shared" si="71"/>
        <v>08</v>
      </c>
      <c r="BE105" s="98">
        <f t="shared" si="72"/>
        <v>24</v>
      </c>
      <c r="BF105" t="str">
        <f t="shared" si="87"/>
        <v>N</v>
      </c>
      <c r="BG105" t="str">
        <f t="shared" si="89"/>
        <v>https://www.coreplan.io/app/ddh1-drilling/speewah-mining-speewah-fluorite-project-wa/plods/1663-250824N</v>
      </c>
      <c r="BH105" t="str">
        <f t="shared" si="88"/>
        <v>2025-08</v>
      </c>
    </row>
    <row r="106" spans="1:60">
      <c r="A106" s="510" t="str">
        <f>VLOOKUP(F106,'Tenement Lookup'!A:BH,60,FALSE)</f>
        <v>M 80/268</v>
      </c>
      <c r="B106" t="str">
        <f>VLOOKUP(F106,Purpose!$A$2:$B$334,2,FALSE)</f>
        <v>Infill</v>
      </c>
      <c r="C106" s="152" t="s">
        <v>8</v>
      </c>
      <c r="D106" s="1">
        <f t="shared" si="68"/>
        <v>45893.21</v>
      </c>
      <c r="E106" t="s">
        <v>171</v>
      </c>
      <c r="F106" s="7" t="s">
        <v>303</v>
      </c>
      <c r="H106" s="4" t="s">
        <v>216</v>
      </c>
      <c r="I106" s="4">
        <v>3</v>
      </c>
      <c r="J106" s="5">
        <f t="shared" si="64"/>
        <v>390</v>
      </c>
      <c r="K106" s="21"/>
      <c r="L106" s="28"/>
      <c r="M106" s="28">
        <f t="shared" si="56"/>
        <v>0</v>
      </c>
      <c r="N106" s="30">
        <v>162.80000000000001</v>
      </c>
      <c r="O106" s="26">
        <v>196.9</v>
      </c>
      <c r="P106" s="31">
        <f t="shared" si="80"/>
        <v>34.099999999999994</v>
      </c>
      <c r="Q106" s="21"/>
      <c r="R106" s="28"/>
      <c r="S106" s="22">
        <f t="shared" si="81"/>
        <v>0</v>
      </c>
      <c r="T106" s="26"/>
      <c r="U106" s="26"/>
      <c r="V106" s="31">
        <f t="shared" si="82"/>
        <v>0</v>
      </c>
      <c r="W106" s="26">
        <f t="shared" si="78"/>
        <v>34.099999999999994</v>
      </c>
      <c r="X106" s="36">
        <f t="shared" si="65"/>
        <v>4603.4999999999991</v>
      </c>
      <c r="Y106" s="37">
        <f t="shared" si="83"/>
        <v>4830</v>
      </c>
      <c r="Z106" s="38">
        <v>1</v>
      </c>
      <c r="AA106" s="38">
        <v>1</v>
      </c>
      <c r="AB106" s="38">
        <v>1</v>
      </c>
      <c r="AC106" s="38">
        <v>13170</v>
      </c>
      <c r="AD106" s="157">
        <f t="shared" si="75"/>
        <v>750</v>
      </c>
      <c r="AE106" s="34">
        <v>10.5</v>
      </c>
      <c r="AF106" s="35">
        <v>0.5</v>
      </c>
      <c r="AG106" s="40"/>
      <c r="AH106" s="44">
        <v>0.5</v>
      </c>
      <c r="AI106" s="13"/>
      <c r="AJ106" s="46"/>
      <c r="AK106" s="45">
        <v>0.5</v>
      </c>
      <c r="AL106" s="23"/>
      <c r="AM106" s="138" t="s">
        <v>275</v>
      </c>
      <c r="AN106" s="25">
        <f t="shared" si="90"/>
        <v>12</v>
      </c>
      <c r="AO106" s="50"/>
      <c r="AP106" s="53">
        <f t="shared" si="84"/>
        <v>410</v>
      </c>
      <c r="AQ106" s="53">
        <v>390</v>
      </c>
      <c r="AR106" s="119">
        <f t="shared" si="79"/>
        <v>0</v>
      </c>
      <c r="AS106" s="56">
        <f t="shared" si="91"/>
        <v>6380</v>
      </c>
      <c r="AT106" s="298">
        <v>6380</v>
      </c>
      <c r="AU106" s="298">
        <v>6380</v>
      </c>
      <c r="AV106" s="357">
        <f t="shared" si="76"/>
        <v>0</v>
      </c>
      <c r="AW106" s="18">
        <f>SUM($AS$8:AS106)</f>
        <v>606465.18000000005</v>
      </c>
      <c r="AX106" s="18">
        <f>IF(AS106=0,"",SUMIFS($AS$8:AS106, $BH$8:BH106, BH106))</f>
        <v>296512.19999999995</v>
      </c>
      <c r="AY106" s="57">
        <f t="shared" ca="1" si="77"/>
        <v>187.09677419354841</v>
      </c>
      <c r="AZ106" s="15" t="str">
        <f t="shared" ca="1" si="85"/>
        <v>LINK</v>
      </c>
      <c r="BA106" s="10" t="s">
        <v>311</v>
      </c>
      <c r="BB106" s="14" t="s">
        <v>211</v>
      </c>
      <c r="BC106" t="str">
        <f t="shared" si="86"/>
        <v>25</v>
      </c>
      <c r="BD106" t="str">
        <f t="shared" si="71"/>
        <v>08</v>
      </c>
      <c r="BE106" s="98">
        <f t="shared" si="72"/>
        <v>25</v>
      </c>
      <c r="BF106" t="str">
        <f t="shared" si="87"/>
        <v>D</v>
      </c>
      <c r="BG106" t="str">
        <f t="shared" si="89"/>
        <v>https://www.coreplan.io/app/ddh1-drilling/speewah-mining-speewah-fluorite-project-wa/plods/1663-250825D</v>
      </c>
      <c r="BH106" t="str">
        <f t="shared" si="88"/>
        <v>2025-08</v>
      </c>
    </row>
    <row r="107" spans="1:60">
      <c r="A107" s="510" t="str">
        <f>VLOOKUP(F107,'Tenement Lookup'!A:BH,60,FALSE)</f>
        <v>M 80/268</v>
      </c>
      <c r="B107" t="str">
        <f>VLOOKUP(F107,Purpose!$A$2:$B$334,2,FALSE)</f>
        <v>Infill</v>
      </c>
      <c r="C107" s="152" t="s">
        <v>8</v>
      </c>
      <c r="D107" s="1">
        <f t="shared" si="68"/>
        <v>45893.71</v>
      </c>
      <c r="E107" t="s">
        <v>172</v>
      </c>
      <c r="F107" s="7" t="s">
        <v>303</v>
      </c>
      <c r="H107" s="4" t="s">
        <v>218</v>
      </c>
      <c r="I107" s="4">
        <v>3</v>
      </c>
      <c r="J107" s="5">
        <f t="shared" si="64"/>
        <v>390</v>
      </c>
      <c r="K107" s="21"/>
      <c r="L107" s="28"/>
      <c r="M107" s="28">
        <f t="shared" si="56"/>
        <v>0</v>
      </c>
      <c r="N107" s="30">
        <v>196.9</v>
      </c>
      <c r="O107" s="26">
        <v>225</v>
      </c>
      <c r="P107" s="31">
        <f t="shared" si="80"/>
        <v>28.099999999999994</v>
      </c>
      <c r="Q107" s="21"/>
      <c r="R107" s="28"/>
      <c r="S107" s="22">
        <f t="shared" si="81"/>
        <v>0</v>
      </c>
      <c r="T107" s="26"/>
      <c r="U107" s="26"/>
      <c r="V107" s="31">
        <f t="shared" si="82"/>
        <v>0</v>
      </c>
      <c r="W107" s="26">
        <f t="shared" si="78"/>
        <v>28.099999999999994</v>
      </c>
      <c r="X107" s="36">
        <f t="shared" si="65"/>
        <v>3793.4999999999991</v>
      </c>
      <c r="Y107" s="37">
        <f t="shared" si="83"/>
        <v>4255</v>
      </c>
      <c r="Z107" s="38"/>
      <c r="AA107" s="38"/>
      <c r="AB107" s="38"/>
      <c r="AC107" s="38"/>
      <c r="AD107" s="157">
        <f t="shared" si="75"/>
        <v>0</v>
      </c>
      <c r="AE107" s="34">
        <v>9.25</v>
      </c>
      <c r="AF107" s="35">
        <v>0.5</v>
      </c>
      <c r="AG107" s="40"/>
      <c r="AH107" s="44">
        <v>0.5</v>
      </c>
      <c r="AI107" s="13">
        <v>1.25</v>
      </c>
      <c r="AJ107" s="46" t="s">
        <v>308</v>
      </c>
      <c r="AK107" s="45">
        <v>0.5</v>
      </c>
      <c r="AL107" s="23"/>
      <c r="AM107" s="138" t="s">
        <v>275</v>
      </c>
      <c r="AN107" s="25">
        <f t="shared" si="90"/>
        <v>12</v>
      </c>
      <c r="AO107" s="50"/>
      <c r="AP107" s="53">
        <f t="shared" si="84"/>
        <v>860</v>
      </c>
      <c r="AQ107" s="53">
        <v>507.93</v>
      </c>
      <c r="AR107" s="119">
        <f t="shared" si="79"/>
        <v>117.93</v>
      </c>
      <c r="AS107" s="56">
        <f t="shared" si="91"/>
        <v>5622.93</v>
      </c>
      <c r="AT107" s="298">
        <v>5622.93</v>
      </c>
      <c r="AU107" s="298">
        <v>5622.93</v>
      </c>
      <c r="AV107" s="357">
        <f t="shared" si="76"/>
        <v>0</v>
      </c>
      <c r="AW107" s="18">
        <f>SUM($AS$8:AS107)</f>
        <v>612088.1100000001</v>
      </c>
      <c r="AX107" s="18">
        <f>IF(AS107=0,"",SUMIFS($AS$8:AS107, $BH$8:BH107, BH107))</f>
        <v>302135.12999999995</v>
      </c>
      <c r="AY107" s="57">
        <f t="shared" ca="1" si="77"/>
        <v>200.10427046263351</v>
      </c>
      <c r="AZ107" s="15" t="str">
        <f t="shared" ca="1" si="85"/>
        <v>LINK</v>
      </c>
      <c r="BA107" t="s">
        <v>312</v>
      </c>
      <c r="BB107" s="14" t="s">
        <v>211</v>
      </c>
      <c r="BC107" t="str">
        <f t="shared" si="86"/>
        <v>25</v>
      </c>
      <c r="BD107" t="str">
        <f t="shared" si="71"/>
        <v>08</v>
      </c>
      <c r="BE107" s="98">
        <f t="shared" si="72"/>
        <v>25</v>
      </c>
      <c r="BF107" t="str">
        <f t="shared" si="87"/>
        <v>N</v>
      </c>
      <c r="BG107" t="str">
        <f t="shared" si="89"/>
        <v>https://www.coreplan.io/app/ddh1-drilling/speewah-mining-speewah-fluorite-project-wa/plods/1663-250825N</v>
      </c>
      <c r="BH107" t="str">
        <f t="shared" si="88"/>
        <v>2025-08</v>
      </c>
    </row>
    <row r="108" spans="1:60">
      <c r="A108" s="510" t="str">
        <f>VLOOKUP(F108,'Tenement Lookup'!A:BH,60,FALSE)</f>
        <v>M 80/268</v>
      </c>
      <c r="B108" t="str">
        <f>VLOOKUP(F108,Purpose!$A$2:$B$334,2,FALSE)</f>
        <v>Infill</v>
      </c>
      <c r="C108" s="152" t="s">
        <v>8</v>
      </c>
      <c r="D108" s="1">
        <f t="shared" si="68"/>
        <v>45894.21</v>
      </c>
      <c r="E108" t="s">
        <v>171</v>
      </c>
      <c r="F108" s="7" t="s">
        <v>303</v>
      </c>
      <c r="G108" t="s">
        <v>313</v>
      </c>
      <c r="H108" s="4" t="s">
        <v>216</v>
      </c>
      <c r="I108" s="4">
        <v>3</v>
      </c>
      <c r="J108" s="5">
        <f t="shared" si="64"/>
        <v>390</v>
      </c>
      <c r="K108" s="21"/>
      <c r="L108" s="28"/>
      <c r="M108" s="28">
        <f t="shared" si="56"/>
        <v>0</v>
      </c>
      <c r="N108" s="30">
        <v>225</v>
      </c>
      <c r="O108" s="26">
        <v>225</v>
      </c>
      <c r="P108" s="31">
        <f t="shared" si="80"/>
        <v>0</v>
      </c>
      <c r="Q108" s="21"/>
      <c r="R108" s="28"/>
      <c r="S108" s="22">
        <f t="shared" si="81"/>
        <v>0</v>
      </c>
      <c r="T108" s="26">
        <v>0</v>
      </c>
      <c r="U108" s="26">
        <v>6.7</v>
      </c>
      <c r="V108" s="31">
        <f t="shared" si="82"/>
        <v>6.7</v>
      </c>
      <c r="W108" s="26">
        <f t="shared" si="78"/>
        <v>6.7</v>
      </c>
      <c r="X108" s="36">
        <f t="shared" si="65"/>
        <v>904.5</v>
      </c>
      <c r="Y108" s="37">
        <f t="shared" si="83"/>
        <v>1150</v>
      </c>
      <c r="Z108" s="38">
        <v>1</v>
      </c>
      <c r="AA108" s="38">
        <v>1</v>
      </c>
      <c r="AB108" s="38">
        <v>1</v>
      </c>
      <c r="AC108" s="38">
        <v>13170</v>
      </c>
      <c r="AD108" s="157">
        <f t="shared" si="75"/>
        <v>750</v>
      </c>
      <c r="AE108" s="34">
        <v>2.5</v>
      </c>
      <c r="AF108" s="35">
        <v>9</v>
      </c>
      <c r="AG108" s="40"/>
      <c r="AH108" s="44">
        <v>0.5</v>
      </c>
      <c r="AI108" s="13"/>
      <c r="AJ108" s="46"/>
      <c r="AK108" s="45"/>
      <c r="AL108" s="23"/>
      <c r="AM108" s="138"/>
      <c r="AN108" s="25">
        <f t="shared" si="90"/>
        <v>12</v>
      </c>
      <c r="AO108" s="50"/>
      <c r="AP108" s="53">
        <f t="shared" si="84"/>
        <v>4320</v>
      </c>
      <c r="AQ108" s="53">
        <v>390</v>
      </c>
      <c r="AR108" s="119">
        <f t="shared" si="79"/>
        <v>0</v>
      </c>
      <c r="AS108" s="56">
        <f t="shared" si="91"/>
        <v>6610</v>
      </c>
      <c r="AT108" s="298">
        <v>6610</v>
      </c>
      <c r="AU108" s="298">
        <v>6610</v>
      </c>
      <c r="AV108" s="357">
        <f t="shared" si="76"/>
        <v>0</v>
      </c>
      <c r="AW108" s="18">
        <f>SUM($AS$8:AS108)</f>
        <v>618698.1100000001</v>
      </c>
      <c r="AX108" s="18">
        <f>IF(AS108=0,"",SUMIFS($AS$8:AS108, $BH$8:BH108, BH108))</f>
        <v>308745.12999999995</v>
      </c>
      <c r="AY108" s="57">
        <f t="shared" ca="1" si="77"/>
        <v>986.56716417910445</v>
      </c>
      <c r="AZ108" s="15" t="str">
        <f t="shared" ca="1" si="85"/>
        <v>LINK</v>
      </c>
      <c r="BA108" t="s">
        <v>314</v>
      </c>
      <c r="BB108" s="14" t="s">
        <v>211</v>
      </c>
      <c r="BC108" t="str">
        <f t="shared" si="86"/>
        <v>25</v>
      </c>
      <c r="BD108" t="str">
        <f t="shared" si="71"/>
        <v>08</v>
      </c>
      <c r="BE108" s="98">
        <f t="shared" si="72"/>
        <v>26</v>
      </c>
      <c r="BF108" t="str">
        <f t="shared" si="87"/>
        <v>D</v>
      </c>
      <c r="BG108" t="str">
        <f t="shared" si="89"/>
        <v>https://www.coreplan.io/app/ddh1-drilling/speewah-mining-speewah-fluorite-project-wa/plods/1663-250826D</v>
      </c>
      <c r="BH108" t="str">
        <f t="shared" si="88"/>
        <v>2025-08</v>
      </c>
    </row>
    <row r="109" spans="1:60">
      <c r="A109" s="510" t="str">
        <f>VLOOKUP(F109,'Tenement Lookup'!A:BH,60,FALSE)</f>
        <v>M 80/268</v>
      </c>
      <c r="B109" t="str">
        <f>VLOOKUP(F109,Purpose!$A$2:$B$334,2,FALSE)</f>
        <v>Infill</v>
      </c>
      <c r="C109" s="152" t="s">
        <v>8</v>
      </c>
      <c r="D109" s="1">
        <f t="shared" si="68"/>
        <v>45894.71</v>
      </c>
      <c r="E109" t="s">
        <v>172</v>
      </c>
      <c r="F109" t="s">
        <v>313</v>
      </c>
      <c r="H109" s="4" t="s">
        <v>218</v>
      </c>
      <c r="I109" s="4">
        <v>3</v>
      </c>
      <c r="J109" s="5">
        <f t="shared" si="64"/>
        <v>390</v>
      </c>
      <c r="K109" s="21"/>
      <c r="L109" s="28"/>
      <c r="M109" s="28">
        <f t="shared" si="56"/>
        <v>0</v>
      </c>
      <c r="N109" s="30">
        <v>6.7</v>
      </c>
      <c r="O109" s="26">
        <v>30.9</v>
      </c>
      <c r="P109" s="31">
        <f t="shared" si="80"/>
        <v>24.2</v>
      </c>
      <c r="Q109" s="21"/>
      <c r="R109" s="28"/>
      <c r="S109" s="22">
        <f t="shared" si="81"/>
        <v>0</v>
      </c>
      <c r="T109" s="26"/>
      <c r="U109" s="26"/>
      <c r="V109" s="31">
        <f t="shared" si="82"/>
        <v>0</v>
      </c>
      <c r="W109" s="26">
        <f t="shared" si="78"/>
        <v>24.2</v>
      </c>
      <c r="X109" s="36">
        <f t="shared" si="65"/>
        <v>3267</v>
      </c>
      <c r="Y109" s="37">
        <f t="shared" si="83"/>
        <v>3795</v>
      </c>
      <c r="Z109" s="38"/>
      <c r="AA109" s="38"/>
      <c r="AB109" s="38"/>
      <c r="AC109" s="38"/>
      <c r="AD109" s="157">
        <f t="shared" si="75"/>
        <v>0</v>
      </c>
      <c r="AE109" s="34">
        <v>8.25</v>
      </c>
      <c r="AF109" s="35">
        <v>3.25</v>
      </c>
      <c r="AG109" s="40"/>
      <c r="AH109" s="44">
        <v>0.5</v>
      </c>
      <c r="AI109" s="13"/>
      <c r="AJ109" s="46"/>
      <c r="AK109" s="45"/>
      <c r="AL109" s="23"/>
      <c r="AM109" s="138"/>
      <c r="AN109" s="25">
        <f t="shared" si="90"/>
        <v>12</v>
      </c>
      <c r="AO109" s="50"/>
      <c r="AP109" s="53">
        <f t="shared" si="84"/>
        <v>1675</v>
      </c>
      <c r="AQ109" s="53">
        <v>1089.1099999999999</v>
      </c>
      <c r="AR109" s="119">
        <f t="shared" si="79"/>
        <v>699.1099999999999</v>
      </c>
      <c r="AS109" s="56">
        <f t="shared" si="91"/>
        <v>6559.11</v>
      </c>
      <c r="AT109" s="298">
        <v>6559.11</v>
      </c>
      <c r="AU109" s="298">
        <v>6559.11</v>
      </c>
      <c r="AV109" s="357">
        <f t="shared" si="76"/>
        <v>0</v>
      </c>
      <c r="AW109" s="18">
        <f>SUM($AS$8:AS109)</f>
        <v>625257.22000000009</v>
      </c>
      <c r="AX109" s="18">
        <f>IF(AS109=0,"",SUMIFS($AS$8:AS109, $BH$8:BH109, BH109))</f>
        <v>315304.23999999993</v>
      </c>
      <c r="AY109" s="57">
        <f t="shared" ca="1" si="77"/>
        <v>271.03760330578513</v>
      </c>
      <c r="AZ109" s="15" t="str">
        <f t="shared" ca="1" si="85"/>
        <v>LINK</v>
      </c>
      <c r="BB109" s="14" t="s">
        <v>211</v>
      </c>
      <c r="BC109" t="str">
        <f t="shared" si="86"/>
        <v>25</v>
      </c>
      <c r="BD109" t="str">
        <f t="shared" si="71"/>
        <v>08</v>
      </c>
      <c r="BE109" s="98">
        <f t="shared" si="72"/>
        <v>26</v>
      </c>
      <c r="BF109" t="str">
        <f t="shared" si="87"/>
        <v>N</v>
      </c>
      <c r="BG109" t="str">
        <f t="shared" si="89"/>
        <v>https://www.coreplan.io/app/ddh1-drilling/speewah-mining-speewah-fluorite-project-wa/plods/1663-250826N</v>
      </c>
      <c r="BH109" t="str">
        <f t="shared" si="88"/>
        <v>2025-08</v>
      </c>
    </row>
    <row r="110" spans="1:60">
      <c r="A110" s="510" t="str">
        <f>VLOOKUP(F110,'Tenement Lookup'!A:BH,60,FALSE)</f>
        <v>M 80/268</v>
      </c>
      <c r="B110" t="str">
        <f>VLOOKUP(F110,Purpose!$A$2:$B$334,2,FALSE)</f>
        <v>Infill</v>
      </c>
      <c r="C110" s="152" t="s">
        <v>8</v>
      </c>
      <c r="D110" s="1">
        <f t="shared" si="68"/>
        <v>45895.21</v>
      </c>
      <c r="E110" t="s">
        <v>171</v>
      </c>
      <c r="F110" t="s">
        <v>313</v>
      </c>
      <c r="H110" s="4" t="s">
        <v>216</v>
      </c>
      <c r="I110" s="4">
        <v>3</v>
      </c>
      <c r="J110" s="5">
        <f t="shared" si="64"/>
        <v>390</v>
      </c>
      <c r="K110" s="21"/>
      <c r="L110" s="28"/>
      <c r="M110" s="28">
        <f t="shared" ref="M110:M173" si="92">IF(ISBLANK(K110),0,L110-K110)</f>
        <v>0</v>
      </c>
      <c r="N110" s="30">
        <v>30.9</v>
      </c>
      <c r="O110" s="26">
        <v>66.8</v>
      </c>
      <c r="P110" s="31">
        <f t="shared" si="80"/>
        <v>35.9</v>
      </c>
      <c r="Q110" s="21"/>
      <c r="R110" s="28"/>
      <c r="S110" s="22">
        <f t="shared" si="81"/>
        <v>0</v>
      </c>
      <c r="T110" s="26"/>
      <c r="U110" s="26"/>
      <c r="V110" s="31">
        <f t="shared" si="82"/>
        <v>0</v>
      </c>
      <c r="W110" s="26">
        <f t="shared" si="78"/>
        <v>35.9</v>
      </c>
      <c r="X110" s="36">
        <f t="shared" si="65"/>
        <v>4846.5</v>
      </c>
      <c r="Y110" s="37">
        <f t="shared" si="83"/>
        <v>4945</v>
      </c>
      <c r="Z110" s="38">
        <v>1</v>
      </c>
      <c r="AA110" s="38">
        <v>1</v>
      </c>
      <c r="AB110" s="38">
        <v>1</v>
      </c>
      <c r="AC110" s="38">
        <v>13170</v>
      </c>
      <c r="AD110" s="157">
        <f t="shared" si="75"/>
        <v>750</v>
      </c>
      <c r="AE110" s="34">
        <v>10.75</v>
      </c>
      <c r="AF110" s="35">
        <v>0.75</v>
      </c>
      <c r="AG110" s="40"/>
      <c r="AH110" s="44">
        <v>0.5</v>
      </c>
      <c r="AI110" s="13"/>
      <c r="AJ110" s="46"/>
      <c r="AK110" s="45"/>
      <c r="AL110" s="23"/>
      <c r="AM110" s="138"/>
      <c r="AN110" s="25">
        <f t="shared" si="90"/>
        <v>12</v>
      </c>
      <c r="AO110" s="50"/>
      <c r="AP110" s="53">
        <f t="shared" si="84"/>
        <v>525</v>
      </c>
      <c r="AQ110" s="53">
        <v>507.93</v>
      </c>
      <c r="AR110" s="119">
        <f t="shared" si="79"/>
        <v>117.93</v>
      </c>
      <c r="AS110" s="56">
        <f t="shared" si="91"/>
        <v>6727.93</v>
      </c>
      <c r="AT110" s="298">
        <v>6727.93</v>
      </c>
      <c r="AU110" s="298">
        <v>6727.93</v>
      </c>
      <c r="AV110" s="357">
        <f t="shared" si="76"/>
        <v>0</v>
      </c>
      <c r="AW110" s="18">
        <f>SUM($AS$8:AS110)</f>
        <v>631985.15000000014</v>
      </c>
      <c r="AX110" s="18">
        <f>IF(AS110=0,"",SUMIFS($AS$8:AS110, $BH$8:BH110, BH110))</f>
        <v>322032.16999999993</v>
      </c>
      <c r="AY110" s="57">
        <f t="shared" ca="1" si="77"/>
        <v>187.40752089136492</v>
      </c>
      <c r="AZ110" s="15" t="str">
        <f t="shared" ca="1" si="85"/>
        <v>LINK</v>
      </c>
      <c r="BA110" t="s">
        <v>315</v>
      </c>
      <c r="BB110" s="14" t="s">
        <v>211</v>
      </c>
      <c r="BC110" t="str">
        <f t="shared" si="86"/>
        <v>25</v>
      </c>
      <c r="BD110" t="str">
        <f t="shared" si="71"/>
        <v>08</v>
      </c>
      <c r="BE110" s="98">
        <f t="shared" si="72"/>
        <v>27</v>
      </c>
      <c r="BF110" t="str">
        <f t="shared" si="87"/>
        <v>D</v>
      </c>
      <c r="BG110" t="str">
        <f t="shared" si="89"/>
        <v>https://www.coreplan.io/app/ddh1-drilling/speewah-mining-speewah-fluorite-project-wa/plods/1663-250827D</v>
      </c>
      <c r="BH110" t="str">
        <f t="shared" si="88"/>
        <v>2025-08</v>
      </c>
    </row>
    <row r="111" spans="1:60">
      <c r="A111" s="510" t="str">
        <f>VLOOKUP(F111,'Tenement Lookup'!A:BH,60,FALSE)</f>
        <v>M 80/268</v>
      </c>
      <c r="B111" t="str">
        <f>VLOOKUP(F111,Purpose!$A$2:$B$334,2,FALSE)</f>
        <v>Infill</v>
      </c>
      <c r="C111" s="152" t="s">
        <v>8</v>
      </c>
      <c r="D111" s="1">
        <f t="shared" si="68"/>
        <v>45895.71</v>
      </c>
      <c r="E111" t="s">
        <v>172</v>
      </c>
      <c r="F111" t="s">
        <v>313</v>
      </c>
      <c r="H111" s="4" t="s">
        <v>218</v>
      </c>
      <c r="I111" s="4">
        <v>3</v>
      </c>
      <c r="J111" s="5">
        <f t="shared" si="64"/>
        <v>390</v>
      </c>
      <c r="K111" s="21"/>
      <c r="L111" s="28"/>
      <c r="M111" s="28">
        <f t="shared" si="92"/>
        <v>0</v>
      </c>
      <c r="N111" s="30">
        <v>66.8</v>
      </c>
      <c r="O111" s="26">
        <v>102.8</v>
      </c>
      <c r="P111" s="31">
        <f t="shared" si="80"/>
        <v>36</v>
      </c>
      <c r="Q111" s="21"/>
      <c r="R111" s="28"/>
      <c r="S111" s="22">
        <f t="shared" si="81"/>
        <v>0</v>
      </c>
      <c r="T111" s="26"/>
      <c r="U111" s="26"/>
      <c r="V111" s="31">
        <f t="shared" si="82"/>
        <v>0</v>
      </c>
      <c r="W111" s="26">
        <f t="shared" si="78"/>
        <v>36</v>
      </c>
      <c r="X111" s="36">
        <f t="shared" si="65"/>
        <v>4860</v>
      </c>
      <c r="Y111" s="37">
        <f t="shared" si="83"/>
        <v>5060</v>
      </c>
      <c r="Z111" s="38"/>
      <c r="AA111" s="38"/>
      <c r="AB111" s="38"/>
      <c r="AC111" s="38"/>
      <c r="AD111" s="157">
        <f t="shared" si="75"/>
        <v>0</v>
      </c>
      <c r="AE111" s="34">
        <v>11</v>
      </c>
      <c r="AF111" s="35">
        <v>0.5</v>
      </c>
      <c r="AG111" s="40"/>
      <c r="AH111" s="44">
        <v>0.5</v>
      </c>
      <c r="AI111" s="13"/>
      <c r="AJ111" s="46"/>
      <c r="AK111" s="45"/>
      <c r="AL111" s="23"/>
      <c r="AM111" s="138"/>
      <c r="AN111" s="25">
        <f t="shared" si="90"/>
        <v>12</v>
      </c>
      <c r="AO111" s="50"/>
      <c r="AP111" s="53">
        <f t="shared" si="84"/>
        <v>410</v>
      </c>
      <c r="AQ111" s="53">
        <v>390</v>
      </c>
      <c r="AR111" s="119">
        <f t="shared" si="79"/>
        <v>0</v>
      </c>
      <c r="AS111" s="56">
        <f t="shared" si="91"/>
        <v>5860</v>
      </c>
      <c r="AT111" s="298">
        <v>5860</v>
      </c>
      <c r="AU111" s="298">
        <v>5860</v>
      </c>
      <c r="AV111" s="357">
        <f t="shared" si="76"/>
        <v>0</v>
      </c>
      <c r="AW111" s="18">
        <f>SUM($AS$8:AS111)</f>
        <v>637845.15000000014</v>
      </c>
      <c r="AX111" s="18">
        <f>IF(AS111=0,"",SUMIFS($AS$8:AS111, $BH$8:BH111, BH111))</f>
        <v>327892.16999999993</v>
      </c>
      <c r="AY111" s="57">
        <f t="shared" ca="1" si="77"/>
        <v>162.77777777777777</v>
      </c>
      <c r="AZ111" s="15" t="str">
        <f t="shared" ca="1" si="85"/>
        <v>LINK</v>
      </c>
      <c r="BA111" t="s">
        <v>316</v>
      </c>
      <c r="BB111" s="14" t="s">
        <v>211</v>
      </c>
      <c r="BC111" t="str">
        <f t="shared" si="86"/>
        <v>25</v>
      </c>
      <c r="BD111" t="str">
        <f t="shared" si="71"/>
        <v>08</v>
      </c>
      <c r="BE111" s="98">
        <f t="shared" si="72"/>
        <v>27</v>
      </c>
      <c r="BF111" t="str">
        <f t="shared" si="87"/>
        <v>N</v>
      </c>
      <c r="BG111" t="str">
        <f t="shared" si="89"/>
        <v>https://www.coreplan.io/app/ddh1-drilling/speewah-mining-speewah-fluorite-project-wa/plods/1663-250827N</v>
      </c>
      <c r="BH111" t="str">
        <f t="shared" si="88"/>
        <v>2025-08</v>
      </c>
    </row>
    <row r="112" spans="1:60">
      <c r="A112" s="510" t="str">
        <f>VLOOKUP(F112,'Tenement Lookup'!A:BH,60,FALSE)</f>
        <v>M 80/268</v>
      </c>
      <c r="B112" t="str">
        <f>VLOOKUP(F112,Purpose!$A$2:$B$334,2,FALSE)</f>
        <v>Infill</v>
      </c>
      <c r="C112" s="152" t="s">
        <v>8</v>
      </c>
      <c r="D112" s="1">
        <f t="shared" si="68"/>
        <v>45896.21</v>
      </c>
      <c r="E112" t="s">
        <v>171</v>
      </c>
      <c r="F112" t="s">
        <v>313</v>
      </c>
      <c r="H112" s="4" t="s">
        <v>216</v>
      </c>
      <c r="I112" s="4">
        <v>3</v>
      </c>
      <c r="J112" s="5">
        <f t="shared" si="64"/>
        <v>390</v>
      </c>
      <c r="K112" s="21"/>
      <c r="L112" s="28"/>
      <c r="M112" s="28">
        <f t="shared" si="92"/>
        <v>0</v>
      </c>
      <c r="N112" s="30">
        <v>102.8</v>
      </c>
      <c r="O112" s="26">
        <v>135.80000000000001</v>
      </c>
      <c r="P112" s="31">
        <f t="shared" si="80"/>
        <v>33.000000000000014</v>
      </c>
      <c r="Q112" s="21"/>
      <c r="R112" s="28"/>
      <c r="S112" s="22">
        <f t="shared" si="81"/>
        <v>0</v>
      </c>
      <c r="T112" s="26"/>
      <c r="U112" s="26"/>
      <c r="V112" s="31">
        <f t="shared" si="82"/>
        <v>0</v>
      </c>
      <c r="W112" s="26">
        <f t="shared" si="78"/>
        <v>33.000000000000014</v>
      </c>
      <c r="X112" s="36">
        <f t="shared" si="65"/>
        <v>4455.0000000000018</v>
      </c>
      <c r="Y112" s="37">
        <f t="shared" si="83"/>
        <v>4945</v>
      </c>
      <c r="Z112" s="38">
        <v>1</v>
      </c>
      <c r="AA112" s="38">
        <v>1</v>
      </c>
      <c r="AB112" s="38">
        <v>1</v>
      </c>
      <c r="AC112" s="38">
        <v>13170</v>
      </c>
      <c r="AD112" s="157">
        <f t="shared" si="75"/>
        <v>750</v>
      </c>
      <c r="AE112" s="34">
        <v>10.75</v>
      </c>
      <c r="AF112" s="35">
        <v>0.75</v>
      </c>
      <c r="AG112" s="40"/>
      <c r="AH112" s="44">
        <v>0.5</v>
      </c>
      <c r="AI112" s="13"/>
      <c r="AJ112" s="46"/>
      <c r="AK112" s="45"/>
      <c r="AL112" s="23"/>
      <c r="AM112" s="138"/>
      <c r="AN112" s="25">
        <f t="shared" si="90"/>
        <v>12</v>
      </c>
      <c r="AO112" s="50"/>
      <c r="AP112" s="53">
        <f t="shared" si="84"/>
        <v>525</v>
      </c>
      <c r="AQ112" s="53">
        <v>507.93</v>
      </c>
      <c r="AR112" s="119">
        <f t="shared" si="79"/>
        <v>117.93</v>
      </c>
      <c r="AS112" s="56">
        <f t="shared" si="91"/>
        <v>6727.93</v>
      </c>
      <c r="AT112" s="298">
        <v>6727.93</v>
      </c>
      <c r="AU112" s="298">
        <v>6727.93</v>
      </c>
      <c r="AV112" s="357">
        <f t="shared" si="76"/>
        <v>0</v>
      </c>
      <c r="AW112" s="18">
        <f>SUM($AS$8:AS112)</f>
        <v>644573.08000000019</v>
      </c>
      <c r="AX112" s="18">
        <f>IF(AS112=0,"",SUMIFS($AS$8:AS112, $BH$8:BH112, BH112))</f>
        <v>334620.09999999992</v>
      </c>
      <c r="AY112" s="57">
        <f t="shared" ca="1" si="77"/>
        <v>203.87666666666658</v>
      </c>
      <c r="AZ112" s="15" t="str">
        <f t="shared" ca="1" si="85"/>
        <v>LINK</v>
      </c>
      <c r="BB112" s="14" t="s">
        <v>211</v>
      </c>
      <c r="BC112" t="str">
        <f t="shared" si="86"/>
        <v>25</v>
      </c>
      <c r="BD112" t="str">
        <f t="shared" si="71"/>
        <v>08</v>
      </c>
      <c r="BE112" s="98">
        <f t="shared" si="72"/>
        <v>28</v>
      </c>
      <c r="BF112" t="str">
        <f t="shared" si="87"/>
        <v>D</v>
      </c>
      <c r="BG112" t="str">
        <f t="shared" si="89"/>
        <v>https://www.coreplan.io/app/ddh1-drilling/speewah-mining-speewah-fluorite-project-wa/plods/1663-250828D</v>
      </c>
      <c r="BH112" t="str">
        <f t="shared" si="88"/>
        <v>2025-08</v>
      </c>
    </row>
    <row r="113" spans="1:60">
      <c r="A113" s="510" t="str">
        <f>VLOOKUP(F113,'Tenement Lookup'!A:BH,60,FALSE)</f>
        <v>M 80/268</v>
      </c>
      <c r="B113" t="str">
        <f>VLOOKUP(F113,Purpose!$A$2:$B$334,2,FALSE)</f>
        <v>Infill</v>
      </c>
      <c r="C113" s="152" t="s">
        <v>8</v>
      </c>
      <c r="D113" s="1">
        <f t="shared" si="68"/>
        <v>45896.71</v>
      </c>
      <c r="E113" t="s">
        <v>172</v>
      </c>
      <c r="F113" t="s">
        <v>313</v>
      </c>
      <c r="H113" s="4" t="s">
        <v>218</v>
      </c>
      <c r="I113" s="4">
        <v>3</v>
      </c>
      <c r="J113" s="5">
        <f t="shared" si="64"/>
        <v>390</v>
      </c>
      <c r="K113" s="21"/>
      <c r="L113" s="28"/>
      <c r="M113" s="28">
        <f t="shared" si="92"/>
        <v>0</v>
      </c>
      <c r="N113" s="30">
        <v>135.80000000000001</v>
      </c>
      <c r="O113" s="26">
        <v>165.2</v>
      </c>
      <c r="P113" s="31">
        <f t="shared" si="80"/>
        <v>29.399999999999977</v>
      </c>
      <c r="Q113" s="21"/>
      <c r="R113" s="28"/>
      <c r="S113" s="22">
        <f t="shared" si="81"/>
        <v>0</v>
      </c>
      <c r="T113" s="26"/>
      <c r="U113" s="26"/>
      <c r="V113" s="31">
        <f t="shared" si="82"/>
        <v>0</v>
      </c>
      <c r="W113" s="26">
        <f t="shared" si="78"/>
        <v>29.399999999999977</v>
      </c>
      <c r="X113" s="36">
        <f t="shared" si="65"/>
        <v>3968.9999999999968</v>
      </c>
      <c r="Y113" s="37">
        <f t="shared" si="83"/>
        <v>5175</v>
      </c>
      <c r="Z113" s="38"/>
      <c r="AA113" s="38"/>
      <c r="AB113" s="38"/>
      <c r="AC113" s="38"/>
      <c r="AD113" s="157">
        <f t="shared" si="75"/>
        <v>0</v>
      </c>
      <c r="AE113" s="34">
        <v>11.25</v>
      </c>
      <c r="AF113" s="35">
        <v>0.25</v>
      </c>
      <c r="AG113" s="40"/>
      <c r="AH113" s="44">
        <v>0.5</v>
      </c>
      <c r="AI113" s="13"/>
      <c r="AJ113" s="46"/>
      <c r="AK113" s="45"/>
      <c r="AL113" s="23"/>
      <c r="AM113" s="138"/>
      <c r="AN113" s="25">
        <f t="shared" si="90"/>
        <v>12</v>
      </c>
      <c r="AO113" s="50"/>
      <c r="AP113" s="53">
        <f t="shared" si="84"/>
        <v>295</v>
      </c>
      <c r="AQ113" s="53">
        <v>390</v>
      </c>
      <c r="AR113" s="119">
        <f t="shared" si="79"/>
        <v>0</v>
      </c>
      <c r="AS113" s="56">
        <f t="shared" si="91"/>
        <v>5860</v>
      </c>
      <c r="AT113" s="298">
        <v>5860</v>
      </c>
      <c r="AU113" s="298">
        <v>5860</v>
      </c>
      <c r="AV113" s="357">
        <f t="shared" si="76"/>
        <v>0</v>
      </c>
      <c r="AW113" s="18">
        <f>SUM($AS$8:AS113)</f>
        <v>650433.08000000019</v>
      </c>
      <c r="AX113" s="18">
        <f>IF(AS113=0,"",SUMIFS($AS$8:AS113, $BH$8:BH113, BH113))</f>
        <v>340480.09999999992</v>
      </c>
      <c r="AY113" s="57">
        <f t="shared" ca="1" si="77"/>
        <v>199.31972789115662</v>
      </c>
      <c r="AZ113" s="15" t="str">
        <f t="shared" ca="1" si="85"/>
        <v>LINK</v>
      </c>
      <c r="BA113" t="s">
        <v>317</v>
      </c>
      <c r="BB113" s="14" t="s">
        <v>211</v>
      </c>
      <c r="BC113" t="str">
        <f t="shared" si="86"/>
        <v>25</v>
      </c>
      <c r="BD113" t="str">
        <f t="shared" si="71"/>
        <v>08</v>
      </c>
      <c r="BE113" s="98">
        <f t="shared" si="72"/>
        <v>28</v>
      </c>
      <c r="BF113" t="str">
        <f t="shared" si="87"/>
        <v>N</v>
      </c>
      <c r="BG113" t="str">
        <f t="shared" si="89"/>
        <v>https://www.coreplan.io/app/ddh1-drilling/speewah-mining-speewah-fluorite-project-wa/plods/1663-250828N</v>
      </c>
      <c r="BH113" t="str">
        <f t="shared" si="88"/>
        <v>2025-08</v>
      </c>
    </row>
    <row r="114" spans="1:60">
      <c r="A114" s="510" t="str">
        <f>VLOOKUP(F114,'Tenement Lookup'!A:BH,60,FALSE)</f>
        <v>M 80/269</v>
      </c>
      <c r="B114" t="str">
        <f>VLOOKUP(F114,Purpose!$A$2:$B$334,2,FALSE)</f>
        <v>Infill</v>
      </c>
      <c r="C114" s="152" t="s">
        <v>8</v>
      </c>
      <c r="D114" s="1">
        <f t="shared" si="68"/>
        <v>45897.21</v>
      </c>
      <c r="E114" t="s">
        <v>171</v>
      </c>
      <c r="F114" t="s">
        <v>318</v>
      </c>
      <c r="H114" s="4" t="s">
        <v>216</v>
      </c>
      <c r="I114" s="4">
        <v>3</v>
      </c>
      <c r="J114" s="5">
        <f t="shared" si="64"/>
        <v>390</v>
      </c>
      <c r="K114" s="21"/>
      <c r="L114" s="28"/>
      <c r="M114" s="28">
        <f t="shared" si="92"/>
        <v>0</v>
      </c>
      <c r="N114" s="30">
        <v>0</v>
      </c>
      <c r="O114" s="26">
        <v>9.3000000000000007</v>
      </c>
      <c r="P114" s="31">
        <f t="shared" si="80"/>
        <v>9.3000000000000007</v>
      </c>
      <c r="Q114" s="21"/>
      <c r="R114" s="28"/>
      <c r="S114" s="22">
        <f t="shared" si="81"/>
        <v>0</v>
      </c>
      <c r="T114" s="26"/>
      <c r="U114" s="26"/>
      <c r="V114" s="31">
        <f t="shared" si="82"/>
        <v>0</v>
      </c>
      <c r="W114" s="26">
        <f t="shared" si="78"/>
        <v>9.3000000000000007</v>
      </c>
      <c r="X114" s="36">
        <f t="shared" si="65"/>
        <v>1255.5</v>
      </c>
      <c r="Y114" s="37">
        <f t="shared" si="83"/>
        <v>1380</v>
      </c>
      <c r="Z114" s="38">
        <v>1</v>
      </c>
      <c r="AA114" s="38">
        <v>1</v>
      </c>
      <c r="AB114" s="38">
        <v>1</v>
      </c>
      <c r="AC114" s="38">
        <v>13170</v>
      </c>
      <c r="AD114" s="157">
        <f t="shared" si="75"/>
        <v>750</v>
      </c>
      <c r="AE114" s="34">
        <v>3</v>
      </c>
      <c r="AF114" s="35">
        <v>8.5</v>
      </c>
      <c r="AG114" s="40"/>
      <c r="AH114" s="44">
        <v>0.5</v>
      </c>
      <c r="AI114" s="13"/>
      <c r="AJ114" s="46"/>
      <c r="AK114" s="45"/>
      <c r="AL114" s="23"/>
      <c r="AM114" s="138"/>
      <c r="AN114" s="25">
        <f t="shared" si="90"/>
        <v>12</v>
      </c>
      <c r="AO114" s="50"/>
      <c r="AP114" s="53">
        <f t="shared" si="84"/>
        <v>4090</v>
      </c>
      <c r="AQ114" s="53">
        <v>390</v>
      </c>
      <c r="AR114" s="119">
        <f t="shared" si="79"/>
        <v>0</v>
      </c>
      <c r="AS114" s="56">
        <f t="shared" si="91"/>
        <v>6610</v>
      </c>
      <c r="AT114" s="298">
        <v>6610</v>
      </c>
      <c r="AU114" s="298">
        <v>6610</v>
      </c>
      <c r="AV114" s="357">
        <f t="shared" si="76"/>
        <v>0</v>
      </c>
      <c r="AW114" s="18">
        <f>SUM($AS$8:AS114)</f>
        <v>657043.08000000019</v>
      </c>
      <c r="AX114" s="18">
        <f>IF(AS114=0,"",SUMIFS($AS$8:AS114, $BH$8:BH114, BH114))</f>
        <v>347090.09999999992</v>
      </c>
      <c r="AY114" s="57">
        <f t="shared" ref="AY114:AY177" ca="1" si="93">IF(AND(D114&gt;TODAY(),ISBLANK(H114)),"",IF(ISBLANK(AE114),"no drilling completed",AS114/(W114)))</f>
        <v>710.75268817204301</v>
      </c>
      <c r="AZ114" s="15" t="str">
        <f t="shared" ca="1" si="85"/>
        <v>LINK</v>
      </c>
      <c r="BB114" s="14" t="s">
        <v>211</v>
      </c>
      <c r="BC114" t="str">
        <f t="shared" si="86"/>
        <v>25</v>
      </c>
      <c r="BD114" t="str">
        <f t="shared" si="71"/>
        <v>08</v>
      </c>
      <c r="BE114" s="98">
        <f t="shared" si="72"/>
        <v>29</v>
      </c>
      <c r="BF114" t="str">
        <f t="shared" si="87"/>
        <v>D</v>
      </c>
      <c r="BG114" t="str">
        <f t="shared" si="89"/>
        <v>https://www.coreplan.io/app/ddh1-drilling/speewah-mining-speewah-fluorite-project-wa/plods/1663-250829D</v>
      </c>
      <c r="BH114" t="str">
        <f t="shared" si="88"/>
        <v>2025-08</v>
      </c>
    </row>
    <row r="115" spans="1:60">
      <c r="A115" s="510" t="str">
        <f>VLOOKUP(F115,'Tenement Lookup'!A:BH,60,FALSE)</f>
        <v>M 80/269</v>
      </c>
      <c r="B115" t="str">
        <f>VLOOKUP(F115,Purpose!$A$2:$B$334,2,FALSE)</f>
        <v>Infill</v>
      </c>
      <c r="C115" s="152" t="s">
        <v>8</v>
      </c>
      <c r="D115" s="1">
        <f t="shared" si="68"/>
        <v>45897.71</v>
      </c>
      <c r="E115" t="s">
        <v>172</v>
      </c>
      <c r="F115" t="s">
        <v>318</v>
      </c>
      <c r="H115" s="4" t="s">
        <v>218</v>
      </c>
      <c r="I115" s="4">
        <v>3</v>
      </c>
      <c r="J115" s="5">
        <f t="shared" si="64"/>
        <v>390</v>
      </c>
      <c r="K115" s="21"/>
      <c r="L115" s="28"/>
      <c r="M115" s="28">
        <f t="shared" si="92"/>
        <v>0</v>
      </c>
      <c r="N115" s="30">
        <v>9.3000000000000007</v>
      </c>
      <c r="O115" s="26">
        <v>39.799999999999997</v>
      </c>
      <c r="P115" s="31">
        <f t="shared" si="80"/>
        <v>30.499999999999996</v>
      </c>
      <c r="Q115" s="21"/>
      <c r="R115" s="28"/>
      <c r="S115" s="22">
        <f t="shared" si="81"/>
        <v>0</v>
      </c>
      <c r="T115" s="26"/>
      <c r="U115" s="26"/>
      <c r="V115" s="31">
        <f t="shared" si="82"/>
        <v>0</v>
      </c>
      <c r="W115" s="26">
        <f t="shared" si="78"/>
        <v>30.499999999999996</v>
      </c>
      <c r="X115" s="36">
        <f t="shared" si="65"/>
        <v>4117.4999999999991</v>
      </c>
      <c r="Y115" s="37">
        <f t="shared" si="83"/>
        <v>4117.4999999999991</v>
      </c>
      <c r="Z115" s="38"/>
      <c r="AA115" s="38"/>
      <c r="AB115" s="38"/>
      <c r="AC115" s="38"/>
      <c r="AD115" s="157">
        <f t="shared" si="75"/>
        <v>0</v>
      </c>
      <c r="AE115" s="34">
        <v>8.25</v>
      </c>
      <c r="AF115" s="35">
        <v>3.25</v>
      </c>
      <c r="AG115" s="40"/>
      <c r="AH115" s="44">
        <v>0.5</v>
      </c>
      <c r="AI115" s="13"/>
      <c r="AJ115" s="46"/>
      <c r="AK115" s="45"/>
      <c r="AL115" s="23"/>
      <c r="AM115" s="138"/>
      <c r="AN115" s="25">
        <f t="shared" si="90"/>
        <v>12</v>
      </c>
      <c r="AO115" s="50"/>
      <c r="AP115" s="53">
        <f t="shared" si="84"/>
        <v>1675</v>
      </c>
      <c r="AQ115" s="53">
        <v>833.68</v>
      </c>
      <c r="AR115" s="119">
        <f t="shared" si="79"/>
        <v>443.67999999999995</v>
      </c>
      <c r="AS115" s="56">
        <f t="shared" si="91"/>
        <v>6626.1799999999994</v>
      </c>
      <c r="AT115" s="298">
        <v>6626.18</v>
      </c>
      <c r="AU115" s="298">
        <v>6626.18</v>
      </c>
      <c r="AV115" s="357">
        <f t="shared" si="76"/>
        <v>-1.3725777171355566E-16</v>
      </c>
      <c r="AW115" s="18">
        <f>SUM($AS$8:AS115)</f>
        <v>663669.26000000024</v>
      </c>
      <c r="AX115" s="18">
        <f>IF(AS115=0,"",SUMIFS($AS$8:AS115, $BH$8:BH115, BH115))</f>
        <v>353716.27999999991</v>
      </c>
      <c r="AY115" s="57">
        <f t="shared" ca="1" si="93"/>
        <v>217.25180327868853</v>
      </c>
      <c r="AZ115" s="15" t="str">
        <f t="shared" ca="1" si="85"/>
        <v>LINK</v>
      </c>
      <c r="BB115" s="14" t="s">
        <v>211</v>
      </c>
      <c r="BC115" t="str">
        <f t="shared" si="86"/>
        <v>25</v>
      </c>
      <c r="BD115" t="str">
        <f t="shared" si="71"/>
        <v>08</v>
      </c>
      <c r="BE115" s="98">
        <f t="shared" si="72"/>
        <v>29</v>
      </c>
      <c r="BF115" t="str">
        <f t="shared" si="87"/>
        <v>N</v>
      </c>
      <c r="BG115" t="str">
        <f t="shared" si="89"/>
        <v>https://www.coreplan.io/app/ddh1-drilling/speewah-mining-speewah-fluorite-project-wa/plods/1663-250829N</v>
      </c>
      <c r="BH115" t="str">
        <f t="shared" si="88"/>
        <v>2025-08</v>
      </c>
    </row>
    <row r="116" spans="1:60">
      <c r="A116" s="510" t="str">
        <f>VLOOKUP(F116,'Tenement Lookup'!A:BH,60,FALSE)</f>
        <v>M 80/269</v>
      </c>
      <c r="B116" t="str">
        <f>VLOOKUP(F116,Purpose!$A$2:$B$334,2,FALSE)</f>
        <v>Infill</v>
      </c>
      <c r="C116" s="152" t="s">
        <v>8</v>
      </c>
      <c r="D116" s="1">
        <f t="shared" si="68"/>
        <v>45898.21</v>
      </c>
      <c r="E116" t="s">
        <v>171</v>
      </c>
      <c r="F116" t="s">
        <v>318</v>
      </c>
      <c r="H116" s="4" t="s">
        <v>216</v>
      </c>
      <c r="I116" s="4">
        <v>3</v>
      </c>
      <c r="J116" s="5">
        <f t="shared" si="64"/>
        <v>390</v>
      </c>
      <c r="K116" s="21"/>
      <c r="L116" s="28"/>
      <c r="M116" s="28">
        <f t="shared" si="92"/>
        <v>0</v>
      </c>
      <c r="N116" s="30">
        <v>39.799999999999997</v>
      </c>
      <c r="O116" s="26">
        <v>69.8</v>
      </c>
      <c r="P116" s="31">
        <f t="shared" si="80"/>
        <v>30</v>
      </c>
      <c r="Q116" s="21"/>
      <c r="R116" s="28"/>
      <c r="S116" s="22">
        <f t="shared" si="81"/>
        <v>0</v>
      </c>
      <c r="T116" s="26"/>
      <c r="U116" s="26"/>
      <c r="V116" s="31">
        <f t="shared" si="82"/>
        <v>0</v>
      </c>
      <c r="W116" s="26">
        <f t="shared" ref="W116:W147" si="94">IFERROR(M116+P116+S116+V116,"")</f>
        <v>30</v>
      </c>
      <c r="X116" s="36">
        <f t="shared" si="65"/>
        <v>4050</v>
      </c>
      <c r="Y116" s="37">
        <f t="shared" si="83"/>
        <v>5175</v>
      </c>
      <c r="Z116" s="38">
        <v>1</v>
      </c>
      <c r="AA116" s="38">
        <v>1</v>
      </c>
      <c r="AB116" s="38">
        <v>1</v>
      </c>
      <c r="AC116" s="38">
        <v>13170</v>
      </c>
      <c r="AD116" s="157">
        <f t="shared" si="75"/>
        <v>750</v>
      </c>
      <c r="AE116" s="34">
        <v>11.25</v>
      </c>
      <c r="AF116" s="35">
        <v>0.25</v>
      </c>
      <c r="AG116" s="40"/>
      <c r="AH116" s="44">
        <v>0.5</v>
      </c>
      <c r="AI116" s="13"/>
      <c r="AJ116" s="46"/>
      <c r="AK116" s="45"/>
      <c r="AL116" s="23"/>
      <c r="AM116" s="138"/>
      <c r="AN116" s="25">
        <f t="shared" si="90"/>
        <v>12</v>
      </c>
      <c r="AO116" s="50"/>
      <c r="AP116" s="53">
        <f t="shared" si="84"/>
        <v>295</v>
      </c>
      <c r="AQ116" s="53">
        <v>390</v>
      </c>
      <c r="AR116" s="119">
        <f>AQ116-J116</f>
        <v>0</v>
      </c>
      <c r="AS116" s="56">
        <f t="shared" si="91"/>
        <v>6610</v>
      </c>
      <c r="AT116" s="298">
        <v>6610</v>
      </c>
      <c r="AU116" s="298">
        <v>6610</v>
      </c>
      <c r="AV116" s="357">
        <f t="shared" si="76"/>
        <v>0</v>
      </c>
      <c r="AW116" s="18">
        <f>SUM($AS$8:AS116)</f>
        <v>670279.26000000024</v>
      </c>
      <c r="AX116" s="18">
        <f>IF(AS116=0,"",SUMIFS($AS$8:AS116, $BH$8:BH116, BH116))</f>
        <v>360326.27999999991</v>
      </c>
      <c r="AY116" s="57">
        <f t="shared" ca="1" si="93"/>
        <v>220.33333333333334</v>
      </c>
      <c r="AZ116" s="15" t="str">
        <f t="shared" ca="1" si="85"/>
        <v>LINK</v>
      </c>
      <c r="BB116" s="14" t="s">
        <v>211</v>
      </c>
      <c r="BC116" t="str">
        <f t="shared" si="86"/>
        <v>25</v>
      </c>
      <c r="BD116" t="str">
        <f t="shared" si="71"/>
        <v>08</v>
      </c>
      <c r="BE116" s="98">
        <f t="shared" si="72"/>
        <v>30</v>
      </c>
      <c r="BF116" t="str">
        <f t="shared" si="87"/>
        <v>D</v>
      </c>
      <c r="BG116" t="str">
        <f t="shared" si="89"/>
        <v>https://www.coreplan.io/app/ddh1-drilling/speewah-mining-speewah-fluorite-project-wa/plods/1663-250830D</v>
      </c>
      <c r="BH116" t="str">
        <f t="shared" si="88"/>
        <v>2025-08</v>
      </c>
    </row>
    <row r="117" spans="1:60">
      <c r="A117" s="510" t="str">
        <f>VLOOKUP(F117,'Tenement Lookup'!A:BH,60,FALSE)</f>
        <v>M 80/269</v>
      </c>
      <c r="B117" t="str">
        <f>VLOOKUP(F117,Purpose!$A$2:$B$334,2,FALSE)</f>
        <v>Infill</v>
      </c>
      <c r="C117" s="152" t="s">
        <v>8</v>
      </c>
      <c r="D117" s="1">
        <f t="shared" si="68"/>
        <v>45898.71</v>
      </c>
      <c r="E117" t="s">
        <v>172</v>
      </c>
      <c r="F117" t="s">
        <v>318</v>
      </c>
      <c r="H117" s="4" t="s">
        <v>218</v>
      </c>
      <c r="I117" s="4">
        <v>3</v>
      </c>
      <c r="J117" s="5">
        <f t="shared" si="64"/>
        <v>390</v>
      </c>
      <c r="K117" s="21"/>
      <c r="L117" s="28"/>
      <c r="M117" s="28">
        <f t="shared" si="92"/>
        <v>0</v>
      </c>
      <c r="N117" s="30">
        <v>69.8</v>
      </c>
      <c r="O117" s="26">
        <v>105.8</v>
      </c>
      <c r="P117" s="31">
        <f t="shared" si="80"/>
        <v>36</v>
      </c>
      <c r="Q117" s="21"/>
      <c r="R117" s="28"/>
      <c r="S117" s="22">
        <f t="shared" si="81"/>
        <v>0</v>
      </c>
      <c r="T117" s="26"/>
      <c r="U117" s="26"/>
      <c r="V117" s="31">
        <f t="shared" si="82"/>
        <v>0</v>
      </c>
      <c r="W117" s="26">
        <f t="shared" si="94"/>
        <v>36</v>
      </c>
      <c r="X117" s="36">
        <f t="shared" si="65"/>
        <v>4860</v>
      </c>
      <c r="Y117" s="37">
        <f t="shared" si="83"/>
        <v>5060</v>
      </c>
      <c r="Z117" s="38"/>
      <c r="AA117" s="38"/>
      <c r="AB117" s="38"/>
      <c r="AC117" s="38"/>
      <c r="AD117" s="157">
        <f t="shared" si="75"/>
        <v>0</v>
      </c>
      <c r="AE117" s="34">
        <v>11</v>
      </c>
      <c r="AF117" s="35">
        <v>0.5</v>
      </c>
      <c r="AG117" s="40"/>
      <c r="AH117" s="44">
        <v>0.5</v>
      </c>
      <c r="AI117" s="13"/>
      <c r="AJ117" s="46"/>
      <c r="AK117" s="45"/>
      <c r="AL117" s="23"/>
      <c r="AM117" s="138"/>
      <c r="AN117" s="25">
        <f t="shared" si="90"/>
        <v>12</v>
      </c>
      <c r="AO117" s="50"/>
      <c r="AP117" s="53">
        <f t="shared" si="84"/>
        <v>410</v>
      </c>
      <c r="AQ117" s="53">
        <v>390</v>
      </c>
      <c r="AR117" s="119">
        <f>AQ117-J117</f>
        <v>0</v>
      </c>
      <c r="AS117" s="56">
        <f t="shared" si="91"/>
        <v>5860</v>
      </c>
      <c r="AT117" s="298">
        <v>5860</v>
      </c>
      <c r="AU117" s="298">
        <v>5860</v>
      </c>
      <c r="AV117" s="357">
        <f t="shared" si="76"/>
        <v>0</v>
      </c>
      <c r="AW117" s="18">
        <f>SUM($AS$8:AS117)</f>
        <v>676139.26000000024</v>
      </c>
      <c r="AX117" s="18">
        <f>IF(AS117=0,"",SUMIFS($AS$8:AS117, $BH$8:BH117, BH117))</f>
        <v>366186.27999999991</v>
      </c>
      <c r="AY117" s="57">
        <f t="shared" ca="1" si="93"/>
        <v>162.77777777777777</v>
      </c>
      <c r="AZ117" s="15" t="str">
        <f t="shared" ca="1" si="85"/>
        <v>LINK</v>
      </c>
      <c r="BB117" s="14" t="s">
        <v>211</v>
      </c>
      <c r="BC117" t="str">
        <f t="shared" si="86"/>
        <v>25</v>
      </c>
      <c r="BD117" t="str">
        <f t="shared" si="71"/>
        <v>08</v>
      </c>
      <c r="BE117" s="98">
        <f t="shared" si="72"/>
        <v>30</v>
      </c>
      <c r="BF117" t="str">
        <f t="shared" si="87"/>
        <v>N</v>
      </c>
      <c r="BG117" t="str">
        <f t="shared" si="89"/>
        <v>https://www.coreplan.io/app/ddh1-drilling/speewah-mining-speewah-fluorite-project-wa/plods/1663-250830N</v>
      </c>
      <c r="BH117" t="str">
        <f t="shared" si="88"/>
        <v>2025-08</v>
      </c>
    </row>
    <row r="118" spans="1:60">
      <c r="A118" s="510" t="str">
        <f>VLOOKUP(F118,'Tenement Lookup'!A:BH,60,FALSE)</f>
        <v>M 80/269</v>
      </c>
      <c r="B118" t="str">
        <f>VLOOKUP(F118,Purpose!$A$2:$B$334,2,FALSE)</f>
        <v>Infill</v>
      </c>
      <c r="C118" s="152" t="s">
        <v>8</v>
      </c>
      <c r="D118" s="1">
        <f t="shared" si="68"/>
        <v>45899.21</v>
      </c>
      <c r="E118" t="s">
        <v>171</v>
      </c>
      <c r="F118" t="s">
        <v>318</v>
      </c>
      <c r="H118" s="4" t="s">
        <v>216</v>
      </c>
      <c r="I118" s="4">
        <v>3</v>
      </c>
      <c r="J118" s="5">
        <f t="shared" si="64"/>
        <v>390</v>
      </c>
      <c r="K118" s="21"/>
      <c r="L118" s="28"/>
      <c r="M118" s="28">
        <f t="shared" si="92"/>
        <v>0</v>
      </c>
      <c r="N118" s="30">
        <v>105.8</v>
      </c>
      <c r="O118" s="26">
        <v>128.1</v>
      </c>
      <c r="P118" s="31">
        <f t="shared" si="80"/>
        <v>22.299999999999997</v>
      </c>
      <c r="Q118" s="21"/>
      <c r="R118" s="28"/>
      <c r="S118" s="22">
        <f t="shared" si="81"/>
        <v>0</v>
      </c>
      <c r="T118" s="26"/>
      <c r="U118" s="26"/>
      <c r="V118" s="31">
        <f t="shared" si="82"/>
        <v>0</v>
      </c>
      <c r="W118" s="26">
        <f t="shared" si="94"/>
        <v>22.299999999999997</v>
      </c>
      <c r="X118" s="36">
        <f t="shared" si="65"/>
        <v>3010.4999999999995</v>
      </c>
      <c r="Y118" s="37">
        <f t="shared" si="83"/>
        <v>3220</v>
      </c>
      <c r="Z118" s="38">
        <v>1</v>
      </c>
      <c r="AA118" s="38">
        <v>1</v>
      </c>
      <c r="AB118" s="38">
        <v>1</v>
      </c>
      <c r="AC118" s="38">
        <v>13170</v>
      </c>
      <c r="AD118" s="157">
        <f t="shared" si="75"/>
        <v>750</v>
      </c>
      <c r="AE118" s="34">
        <v>7</v>
      </c>
      <c r="AF118" s="35">
        <v>4.5</v>
      </c>
      <c r="AG118" s="40"/>
      <c r="AH118" s="44">
        <v>0.5</v>
      </c>
      <c r="AI118" s="13"/>
      <c r="AJ118" s="46"/>
      <c r="AK118" s="45"/>
      <c r="AL118" s="23"/>
      <c r="AM118" s="138"/>
      <c r="AN118" s="25">
        <f t="shared" si="90"/>
        <v>12</v>
      </c>
      <c r="AO118" s="50"/>
      <c r="AP118" s="53">
        <f t="shared" si="84"/>
        <v>2250</v>
      </c>
      <c r="AQ118" s="53">
        <v>390</v>
      </c>
      <c r="AR118" s="119">
        <f>AQ118-J118</f>
        <v>0</v>
      </c>
      <c r="AS118" s="56">
        <f t="shared" si="91"/>
        <v>6610</v>
      </c>
      <c r="AT118" s="298">
        <v>6610</v>
      </c>
      <c r="AU118" s="298">
        <v>6610</v>
      </c>
      <c r="AV118" s="357">
        <f t="shared" si="76"/>
        <v>0</v>
      </c>
      <c r="AW118" s="18">
        <f>SUM($AS$8:AS118)</f>
        <v>682749.26000000024</v>
      </c>
      <c r="AX118" s="18">
        <f>IF(AS118=0,"",SUMIFS($AS$8:AS118, $BH$8:BH118, BH118))</f>
        <v>372796.27999999991</v>
      </c>
      <c r="AY118" s="57">
        <f t="shared" ca="1" si="93"/>
        <v>296.41255605381167</v>
      </c>
      <c r="AZ118" s="15" t="str">
        <f t="shared" ca="1" si="85"/>
        <v>LINK</v>
      </c>
      <c r="BA118" t="s">
        <v>319</v>
      </c>
      <c r="BB118" s="14" t="s">
        <v>211</v>
      </c>
      <c r="BC118" t="str">
        <f t="shared" si="86"/>
        <v>25</v>
      </c>
      <c r="BD118" t="str">
        <f t="shared" si="71"/>
        <v>08</v>
      </c>
      <c r="BE118" s="98">
        <f t="shared" si="72"/>
        <v>31</v>
      </c>
      <c r="BF118" t="str">
        <f t="shared" si="87"/>
        <v>D</v>
      </c>
      <c r="BG118" t="str">
        <f t="shared" si="89"/>
        <v>https://www.coreplan.io/app/ddh1-drilling/speewah-mining-speewah-fluorite-project-wa/plods/1663-250831D</v>
      </c>
      <c r="BH118" t="str">
        <f t="shared" si="88"/>
        <v>2025-08</v>
      </c>
    </row>
    <row r="119" spans="1:60">
      <c r="A119" s="510" t="str">
        <f>VLOOKUP(F119,'Tenement Lookup'!A:BH,60,FALSE)</f>
        <v>M 80/269</v>
      </c>
      <c r="B119" t="str">
        <f>VLOOKUP(F119,Purpose!$A$2:$B$334,2,FALSE)</f>
        <v>Infill</v>
      </c>
      <c r="C119" s="152" t="s">
        <v>8</v>
      </c>
      <c r="D119" s="1">
        <f t="shared" si="68"/>
        <v>45899.71</v>
      </c>
      <c r="E119" t="s">
        <v>172</v>
      </c>
      <c r="F119" t="s">
        <v>318</v>
      </c>
      <c r="H119" s="4" t="s">
        <v>218</v>
      </c>
      <c r="I119" s="4">
        <v>3</v>
      </c>
      <c r="J119" s="5">
        <f t="shared" si="64"/>
        <v>390</v>
      </c>
      <c r="K119" s="21"/>
      <c r="L119" s="28"/>
      <c r="M119" s="28">
        <f t="shared" si="92"/>
        <v>0</v>
      </c>
      <c r="N119" s="30"/>
      <c r="O119" s="26"/>
      <c r="P119" s="31">
        <f t="shared" si="80"/>
        <v>0</v>
      </c>
      <c r="Q119" s="21"/>
      <c r="R119" s="28"/>
      <c r="S119" s="22">
        <f t="shared" si="81"/>
        <v>0</v>
      </c>
      <c r="T119" s="26"/>
      <c r="U119" s="26"/>
      <c r="V119" s="31">
        <f t="shared" si="82"/>
        <v>0</v>
      </c>
      <c r="W119" s="26">
        <f t="shared" si="94"/>
        <v>0</v>
      </c>
      <c r="X119" s="36">
        <f t="shared" si="65"/>
        <v>0</v>
      </c>
      <c r="Y119" s="37">
        <f t="shared" si="83"/>
        <v>0</v>
      </c>
      <c r="Z119" s="38"/>
      <c r="AA119" s="38"/>
      <c r="AB119" s="38"/>
      <c r="AC119" s="38"/>
      <c r="AD119" s="157">
        <f t="shared" si="75"/>
        <v>0</v>
      </c>
      <c r="AE119" s="34"/>
      <c r="AF119" s="35"/>
      <c r="AG119" s="40"/>
      <c r="AH119" s="44">
        <v>6</v>
      </c>
      <c r="AI119" s="13"/>
      <c r="AJ119" s="46"/>
      <c r="AK119" s="45">
        <v>6</v>
      </c>
      <c r="AL119" s="23"/>
      <c r="AM119" s="138"/>
      <c r="AN119" s="25">
        <v>12</v>
      </c>
      <c r="AO119" s="50"/>
      <c r="AP119" s="53">
        <f t="shared" si="84"/>
        <v>2160</v>
      </c>
      <c r="AQ119" s="53">
        <v>390</v>
      </c>
      <c r="AR119" s="119">
        <f>AQ119-J119</f>
        <v>0</v>
      </c>
      <c r="AS119" s="56">
        <f t="shared" si="91"/>
        <v>2550</v>
      </c>
      <c r="AT119" s="298">
        <v>2550</v>
      </c>
      <c r="AU119" s="298">
        <v>2550</v>
      </c>
      <c r="AV119" s="357">
        <f t="shared" si="76"/>
        <v>0</v>
      </c>
      <c r="AW119" s="18">
        <f>SUM($AS$8:AS119)</f>
        <v>685299.26000000024</v>
      </c>
      <c r="AX119" s="18">
        <f>IF(AS119=0,"",SUMIFS($AS$8:AS119, $BH$8:BH119, BH119))</f>
        <v>375346.27999999991</v>
      </c>
      <c r="AY119" s="57" t="str">
        <f t="shared" ca="1" si="93"/>
        <v>no drilling completed</v>
      </c>
      <c r="AZ119" s="15" t="str">
        <f t="shared" ca="1" si="85"/>
        <v>LINK</v>
      </c>
      <c r="BB119" s="14" t="s">
        <v>211</v>
      </c>
      <c r="BC119" t="str">
        <f t="shared" si="86"/>
        <v>25</v>
      </c>
      <c r="BD119" t="str">
        <f t="shared" si="71"/>
        <v>08</v>
      </c>
      <c r="BE119" s="98">
        <f t="shared" si="72"/>
        <v>31</v>
      </c>
      <c r="BF119" t="str">
        <f t="shared" si="87"/>
        <v>N</v>
      </c>
      <c r="BG119" t="str">
        <f t="shared" si="89"/>
        <v>https://www.coreplan.io/app/ddh1-drilling/speewah-mining-speewah-fluorite-project-wa/plods/1663-250831N</v>
      </c>
      <c r="BH119" t="str">
        <f t="shared" si="88"/>
        <v>2025-08</v>
      </c>
    </row>
    <row r="120" spans="1:60">
      <c r="A120" s="510" t="str">
        <f>VLOOKUP(F120,'Tenement Lookup'!A:BH,60,FALSE)</f>
        <v>M 80/269</v>
      </c>
      <c r="B120" t="str">
        <f>VLOOKUP(F120,Purpose!$A$2:$B$334,2,FALSE)</f>
        <v>Infill</v>
      </c>
      <c r="C120" s="152" t="s">
        <v>8</v>
      </c>
      <c r="D120" s="1">
        <f t="shared" si="68"/>
        <v>45900.21</v>
      </c>
      <c r="E120" t="s">
        <v>171</v>
      </c>
      <c r="F120" t="s">
        <v>318</v>
      </c>
      <c r="H120" s="4" t="s">
        <v>216</v>
      </c>
      <c r="I120" s="4">
        <v>6</v>
      </c>
      <c r="J120" s="5">
        <f t="shared" si="64"/>
        <v>780</v>
      </c>
      <c r="K120" s="21"/>
      <c r="L120" s="28"/>
      <c r="M120" s="28">
        <f t="shared" si="92"/>
        <v>0</v>
      </c>
      <c r="N120" s="30"/>
      <c r="O120" s="26"/>
      <c r="P120" s="31">
        <f t="shared" si="80"/>
        <v>0</v>
      </c>
      <c r="Q120" s="21"/>
      <c r="R120" s="28"/>
      <c r="S120" s="22">
        <f t="shared" si="81"/>
        <v>0</v>
      </c>
      <c r="T120" s="26"/>
      <c r="U120" s="26"/>
      <c r="V120" s="31">
        <f t="shared" si="82"/>
        <v>0</v>
      </c>
      <c r="W120" s="26">
        <f t="shared" si="94"/>
        <v>0</v>
      </c>
      <c r="X120" s="36">
        <f t="shared" si="65"/>
        <v>0</v>
      </c>
      <c r="Y120" s="37">
        <f t="shared" si="83"/>
        <v>0</v>
      </c>
      <c r="Z120" s="38">
        <v>1</v>
      </c>
      <c r="AA120" s="38">
        <v>1</v>
      </c>
      <c r="AB120" s="38">
        <v>1</v>
      </c>
      <c r="AC120" s="38">
        <v>13170</v>
      </c>
      <c r="AD120" s="157">
        <f t="shared" si="75"/>
        <v>750</v>
      </c>
      <c r="AE120" s="34"/>
      <c r="AF120" s="35"/>
      <c r="AG120" s="40"/>
      <c r="AH120" s="44">
        <v>12</v>
      </c>
      <c r="AI120" s="13"/>
      <c r="AJ120" s="46"/>
      <c r="AK120" s="45"/>
      <c r="AL120" s="23"/>
      <c r="AM120" s="138"/>
      <c r="AN120" s="25">
        <v>12</v>
      </c>
      <c r="AO120" s="50"/>
      <c r="AP120" s="53">
        <f t="shared" si="84"/>
        <v>4320</v>
      </c>
      <c r="AQ120" s="53">
        <v>9565</v>
      </c>
      <c r="AR120" s="119">
        <f>AQ120-J120</f>
        <v>8785</v>
      </c>
      <c r="AS120" s="56">
        <f t="shared" si="91"/>
        <v>14635</v>
      </c>
      <c r="AT120" s="298">
        <v>14635</v>
      </c>
      <c r="AU120" s="298">
        <v>14635</v>
      </c>
      <c r="AV120" s="357">
        <f t="shared" si="76"/>
        <v>0</v>
      </c>
      <c r="AW120" s="420">
        <f>SUM($AS$8:AS120)</f>
        <v>699934.26000000024</v>
      </c>
      <c r="AX120" s="18">
        <f>IF(AS120=0,"",SUMIFS($AS$8:AS120, $BH$8:BH120, BH120))</f>
        <v>389981.27999999991</v>
      </c>
      <c r="AY120" s="57" t="str">
        <f t="shared" ca="1" si="93"/>
        <v>no drilling completed</v>
      </c>
      <c r="AZ120" s="15" t="str">
        <f t="shared" ca="1" si="85"/>
        <v>LINK</v>
      </c>
      <c r="BA120" t="s">
        <v>320</v>
      </c>
      <c r="BB120" s="14" t="s">
        <v>211</v>
      </c>
      <c r="BC120" t="str">
        <f t="shared" si="86"/>
        <v>25</v>
      </c>
      <c r="BD120" t="str">
        <f t="shared" si="71"/>
        <v>09</v>
      </c>
      <c r="BE120" s="98" t="str">
        <f t="shared" si="72"/>
        <v>01</v>
      </c>
      <c r="BF120" t="str">
        <f t="shared" si="87"/>
        <v>D</v>
      </c>
      <c r="BG120" t="str">
        <f t="shared" si="89"/>
        <v>https://www.coreplan.io/app/ddh1-drilling/speewah-mining-speewah-fluorite-project-wa/plods/1663-250901D</v>
      </c>
      <c r="BH120" t="str">
        <f t="shared" si="88"/>
        <v>2025-08</v>
      </c>
    </row>
    <row r="121" spans="1:60">
      <c r="A121" s="510" t="e">
        <f>VLOOKUP(F121,'Tenement Lookup'!A:BH,60,FALSE)</f>
        <v>#N/A</v>
      </c>
      <c r="B121" t="e">
        <f>VLOOKUP(F121,Purpose!$A$2:$B$334,2,FALSE)</f>
        <v>#N/A</v>
      </c>
      <c r="C121" s="152" t="str">
        <f t="shared" ref="C121:C131" si="95">IFERROR(IF(FIND("MET",F121),"MET",IF(FIND("GT",F121),"GT",)),"")</f>
        <v/>
      </c>
      <c r="D121" s="1">
        <f t="shared" si="68"/>
        <v>45900.71</v>
      </c>
      <c r="E121" t="s">
        <v>172</v>
      </c>
      <c r="H121" s="4"/>
      <c r="I121" s="4"/>
      <c r="J121" s="5" t="str">
        <f t="shared" si="64"/>
        <v/>
      </c>
      <c r="K121" s="21"/>
      <c r="L121" s="28"/>
      <c r="M121" s="28">
        <f t="shared" si="92"/>
        <v>0</v>
      </c>
      <c r="N121" s="30"/>
      <c r="O121" s="26"/>
      <c r="P121" s="31">
        <f t="shared" si="80"/>
        <v>0</v>
      </c>
      <c r="Q121" s="21"/>
      <c r="R121" s="28"/>
      <c r="S121" s="22">
        <f t="shared" si="81"/>
        <v>0</v>
      </c>
      <c r="T121" s="26"/>
      <c r="U121" s="26"/>
      <c r="V121" s="31">
        <f t="shared" si="82"/>
        <v>0</v>
      </c>
      <c r="W121" s="26">
        <f t="shared" si="94"/>
        <v>0</v>
      </c>
      <c r="X121" s="36">
        <f t="shared" si="65"/>
        <v>0</v>
      </c>
      <c r="Y121" s="37" t="str">
        <f t="shared" si="83"/>
        <v/>
      </c>
      <c r="Z121" s="38"/>
      <c r="AA121" s="38"/>
      <c r="AB121" s="38"/>
      <c r="AC121" s="38"/>
      <c r="AD121" s="157">
        <f t="shared" si="75"/>
        <v>0</v>
      </c>
      <c r="AE121" s="34"/>
      <c r="AF121" s="35"/>
      <c r="AG121" s="40"/>
      <c r="AH121" s="44"/>
      <c r="AI121" s="13"/>
      <c r="AJ121" s="46"/>
      <c r="AK121" s="45"/>
      <c r="AL121" s="23"/>
      <c r="AM121" s="138"/>
      <c r="AN121" s="25" t="str">
        <f t="shared" si="90"/>
        <v/>
      </c>
      <c r="AO121" s="50"/>
      <c r="AP121" s="53">
        <f t="shared" si="84"/>
        <v>0</v>
      </c>
      <c r="AQ121" s="53"/>
      <c r="AR121" s="119"/>
      <c r="AS121" s="56">
        <f t="shared" si="91"/>
        <v>0</v>
      </c>
      <c r="AT121" s="298"/>
      <c r="AU121" s="298">
        <f t="shared" si="74"/>
        <v>0</v>
      </c>
      <c r="AV121" s="357" t="str">
        <f t="shared" si="76"/>
        <v/>
      </c>
      <c r="AW121" s="18"/>
      <c r="AX121" s="18" t="str">
        <f>IF(AS121=0,"",SUMIFS($AS$8:AS121, $BH$8:BH121, BH121))</f>
        <v/>
      </c>
      <c r="AY121" s="57" t="str">
        <f t="shared" ca="1" si="93"/>
        <v>no drilling completed</v>
      </c>
      <c r="AZ121" s="15" t="str">
        <f t="shared" ca="1" si="85"/>
        <v>LINK</v>
      </c>
      <c r="BB121" s="14" t="s">
        <v>211</v>
      </c>
      <c r="BC121" t="str">
        <f t="shared" si="86"/>
        <v>25</v>
      </c>
      <c r="BD121" t="str">
        <f t="shared" si="71"/>
        <v>09</v>
      </c>
      <c r="BE121" s="98" t="str">
        <f t="shared" si="72"/>
        <v>01</v>
      </c>
      <c r="BF121" t="str">
        <f t="shared" si="87"/>
        <v>N</v>
      </c>
      <c r="BG121" t="str">
        <f t="shared" si="89"/>
        <v>https://www.coreplan.io/app/ddh1-drilling/speewah-mining-speewah-fluorite-project-wa/plods/1663-250901N</v>
      </c>
      <c r="BH121" t="str">
        <f t="shared" si="88"/>
        <v>2025-08</v>
      </c>
    </row>
    <row r="122" spans="1:60">
      <c r="A122" s="510" t="e">
        <f>VLOOKUP(F122,'Tenement Lookup'!A:BH,60,FALSE)</f>
        <v>#N/A</v>
      </c>
      <c r="B122" t="e">
        <f>VLOOKUP(F122,Purpose!$A$2:$B$334,2,FALSE)</f>
        <v>#N/A</v>
      </c>
      <c r="C122" s="152" t="str">
        <f t="shared" si="95"/>
        <v/>
      </c>
      <c r="D122" s="1">
        <f t="shared" si="68"/>
        <v>45901.21</v>
      </c>
      <c r="E122" t="s">
        <v>171</v>
      </c>
      <c r="H122" s="4"/>
      <c r="I122" s="4"/>
      <c r="J122" s="5" t="str">
        <f t="shared" si="64"/>
        <v/>
      </c>
      <c r="K122" s="21"/>
      <c r="L122" s="28"/>
      <c r="M122" s="28">
        <f t="shared" si="92"/>
        <v>0</v>
      </c>
      <c r="N122" s="30"/>
      <c r="O122" s="26"/>
      <c r="P122" s="31">
        <f t="shared" si="80"/>
        <v>0</v>
      </c>
      <c r="Q122" s="21"/>
      <c r="R122" s="28"/>
      <c r="S122" s="22">
        <f t="shared" si="81"/>
        <v>0</v>
      </c>
      <c r="T122" s="26"/>
      <c r="U122" s="26"/>
      <c r="V122" s="31">
        <f t="shared" si="82"/>
        <v>0</v>
      </c>
      <c r="W122" s="26">
        <f t="shared" si="94"/>
        <v>0</v>
      </c>
      <c r="X122" s="36">
        <f t="shared" si="65"/>
        <v>0</v>
      </c>
      <c r="Y122" s="37" t="str">
        <f t="shared" si="83"/>
        <v/>
      </c>
      <c r="Z122" s="38"/>
      <c r="AA122" s="38"/>
      <c r="AB122" s="38"/>
      <c r="AC122" s="38"/>
      <c r="AD122" s="157">
        <f t="shared" si="75"/>
        <v>0</v>
      </c>
      <c r="AE122" s="34"/>
      <c r="AF122" s="35"/>
      <c r="AG122" s="40"/>
      <c r="AH122" s="44"/>
      <c r="AI122" s="13"/>
      <c r="AJ122" s="46"/>
      <c r="AK122" s="45"/>
      <c r="AL122" s="23"/>
      <c r="AM122" s="138"/>
      <c r="AN122" s="25" t="str">
        <f t="shared" si="90"/>
        <v/>
      </c>
      <c r="AO122" s="50"/>
      <c r="AP122" s="53">
        <f t="shared" si="84"/>
        <v>0</v>
      </c>
      <c r="AQ122" s="53"/>
      <c r="AR122" s="119"/>
      <c r="AS122" s="56">
        <f t="shared" si="91"/>
        <v>0</v>
      </c>
      <c r="AT122" s="298"/>
      <c r="AU122" s="298">
        <f t="shared" si="74"/>
        <v>0</v>
      </c>
      <c r="AV122" s="357" t="str">
        <f t="shared" si="76"/>
        <v/>
      </c>
      <c r="AW122" s="18"/>
      <c r="AX122" s="18" t="str">
        <f>IF(AS122=0,"",SUMIFS($AS$8:AS122, $BH$8:BH122, BH122))</f>
        <v/>
      </c>
      <c r="AY122" s="57" t="str">
        <f t="shared" ca="1" si="93"/>
        <v>no drilling completed</v>
      </c>
      <c r="AZ122" s="15" t="str">
        <f t="shared" ca="1" si="85"/>
        <v>LINK</v>
      </c>
      <c r="BB122" s="14" t="s">
        <v>211</v>
      </c>
      <c r="BC122" t="str">
        <f t="shared" si="86"/>
        <v>25</v>
      </c>
      <c r="BD122" t="str">
        <f t="shared" si="71"/>
        <v>09</v>
      </c>
      <c r="BE122" s="98" t="str">
        <f t="shared" si="72"/>
        <v>02</v>
      </c>
      <c r="BF122" t="str">
        <f t="shared" si="87"/>
        <v>D</v>
      </c>
      <c r="BG122" t="str">
        <f t="shared" si="89"/>
        <v>https://www.coreplan.io/app/ddh1-drilling/speewah-mining-speewah-fluorite-project-wa/plods/1663-250902D</v>
      </c>
      <c r="BH122" t="str">
        <f t="shared" si="88"/>
        <v>2025-09</v>
      </c>
    </row>
    <row r="123" spans="1:60">
      <c r="A123" s="510" t="e">
        <f>VLOOKUP(F123,'Tenement Lookup'!A:BH,60,FALSE)</f>
        <v>#N/A</v>
      </c>
      <c r="B123" t="e">
        <f>VLOOKUP(F123,Purpose!$A$2:$B$334,2,FALSE)</f>
        <v>#N/A</v>
      </c>
      <c r="C123" s="152" t="str">
        <f t="shared" si="95"/>
        <v/>
      </c>
      <c r="D123" s="1">
        <f t="shared" si="68"/>
        <v>45901.71</v>
      </c>
      <c r="E123" t="s">
        <v>172</v>
      </c>
      <c r="H123" s="4"/>
      <c r="I123" s="4"/>
      <c r="J123" s="5" t="str">
        <f t="shared" si="64"/>
        <v/>
      </c>
      <c r="K123" s="21"/>
      <c r="L123" s="28"/>
      <c r="M123" s="28">
        <f t="shared" si="92"/>
        <v>0</v>
      </c>
      <c r="N123" s="30"/>
      <c r="O123" s="26"/>
      <c r="P123" s="31">
        <f t="shared" si="80"/>
        <v>0</v>
      </c>
      <c r="Q123" s="21"/>
      <c r="R123" s="28"/>
      <c r="S123" s="22">
        <f t="shared" si="81"/>
        <v>0</v>
      </c>
      <c r="T123" s="26"/>
      <c r="U123" s="26"/>
      <c r="V123" s="31">
        <f t="shared" si="82"/>
        <v>0</v>
      </c>
      <c r="W123" s="26">
        <f t="shared" si="94"/>
        <v>0</v>
      </c>
      <c r="X123" s="36">
        <f t="shared" si="65"/>
        <v>0</v>
      </c>
      <c r="Y123" s="37" t="str">
        <f t="shared" si="83"/>
        <v/>
      </c>
      <c r="Z123" s="38"/>
      <c r="AA123" s="38"/>
      <c r="AB123" s="38"/>
      <c r="AC123" s="38"/>
      <c r="AD123" s="157">
        <f t="shared" si="75"/>
        <v>0</v>
      </c>
      <c r="AE123" s="34"/>
      <c r="AF123" s="35"/>
      <c r="AG123" s="40"/>
      <c r="AH123" s="44"/>
      <c r="AI123" s="13"/>
      <c r="AJ123" s="46"/>
      <c r="AK123" s="45"/>
      <c r="AL123" s="23"/>
      <c r="AM123" s="138"/>
      <c r="AN123" s="25" t="str">
        <f t="shared" si="90"/>
        <v/>
      </c>
      <c r="AO123" s="50"/>
      <c r="AP123" s="53">
        <f t="shared" si="84"/>
        <v>0</v>
      </c>
      <c r="AQ123" s="53"/>
      <c r="AR123" s="119"/>
      <c r="AS123" s="56">
        <f t="shared" si="91"/>
        <v>0</v>
      </c>
      <c r="AT123" s="298"/>
      <c r="AU123" s="298">
        <f t="shared" si="74"/>
        <v>0</v>
      </c>
      <c r="AV123" s="357" t="str">
        <f t="shared" si="76"/>
        <v/>
      </c>
      <c r="AW123" s="18"/>
      <c r="AX123" s="18" t="str">
        <f>IF(AS123=0,"",SUMIFS($AS$8:AS123, $BH$8:BH123, BH123))</f>
        <v/>
      </c>
      <c r="AY123" s="57" t="str">
        <f t="shared" ca="1" si="93"/>
        <v>no drilling completed</v>
      </c>
      <c r="AZ123" s="15" t="str">
        <f t="shared" ca="1" si="85"/>
        <v>LINK</v>
      </c>
      <c r="BB123" s="14" t="s">
        <v>211</v>
      </c>
      <c r="BC123" t="str">
        <f t="shared" si="86"/>
        <v>25</v>
      </c>
      <c r="BD123" t="str">
        <f t="shared" si="71"/>
        <v>09</v>
      </c>
      <c r="BE123" s="98" t="str">
        <f t="shared" si="72"/>
        <v>02</v>
      </c>
      <c r="BF123" t="str">
        <f t="shared" si="87"/>
        <v>N</v>
      </c>
      <c r="BG123" t="str">
        <f t="shared" si="89"/>
        <v>https://www.coreplan.io/app/ddh1-drilling/speewah-mining-speewah-fluorite-project-wa/plods/1663-250902N</v>
      </c>
      <c r="BH123" t="str">
        <f t="shared" si="88"/>
        <v>2025-09</v>
      </c>
    </row>
    <row r="124" spans="1:60">
      <c r="A124" s="510" t="e">
        <f>VLOOKUP(F124,'Tenement Lookup'!A:BH,60,FALSE)</f>
        <v>#N/A</v>
      </c>
      <c r="B124" t="e">
        <f>VLOOKUP(F124,Purpose!$A$2:$B$334,2,FALSE)</f>
        <v>#N/A</v>
      </c>
      <c r="C124" s="152" t="str">
        <f t="shared" si="95"/>
        <v/>
      </c>
      <c r="D124" s="1">
        <f t="shared" si="68"/>
        <v>45902.21</v>
      </c>
      <c r="E124" t="s">
        <v>171</v>
      </c>
      <c r="H124" s="4"/>
      <c r="I124" s="4"/>
      <c r="J124" s="5" t="str">
        <f t="shared" ref="J124:J187" si="96">IF(ISBLANK(I124),"",I124*$J$2)</f>
        <v/>
      </c>
      <c r="K124" s="21"/>
      <c r="L124" s="28"/>
      <c r="M124" s="28">
        <f t="shared" si="92"/>
        <v>0</v>
      </c>
      <c r="N124" s="30"/>
      <c r="O124" s="26"/>
      <c r="P124" s="31">
        <f t="shared" si="80"/>
        <v>0</v>
      </c>
      <c r="Q124" s="21"/>
      <c r="R124" s="28"/>
      <c r="S124" s="22">
        <f t="shared" si="81"/>
        <v>0</v>
      </c>
      <c r="T124" s="26"/>
      <c r="U124" s="26"/>
      <c r="V124" s="31">
        <f t="shared" si="82"/>
        <v>0</v>
      </c>
      <c r="W124" s="26">
        <f t="shared" si="94"/>
        <v>0</v>
      </c>
      <c r="X124" s="36">
        <f t="shared" ref="X124:X187" si="97">IFERROR((M124*$M$2)+(P124*$P$2)+(S124*$S$2)+(V124*$V$2),"")</f>
        <v>0</v>
      </c>
      <c r="Y124" s="37" t="str">
        <f t="shared" si="83"/>
        <v/>
      </c>
      <c r="Z124" s="38"/>
      <c r="AA124" s="38"/>
      <c r="AB124" s="38"/>
      <c r="AC124" s="38"/>
      <c r="AD124" s="157">
        <f t="shared" si="75"/>
        <v>0</v>
      </c>
      <c r="AE124" s="34"/>
      <c r="AF124" s="35"/>
      <c r="AG124" s="40"/>
      <c r="AH124" s="44"/>
      <c r="AI124" s="13"/>
      <c r="AJ124" s="46"/>
      <c r="AK124" s="45"/>
      <c r="AL124" s="23"/>
      <c r="AM124" s="138"/>
      <c r="AN124" s="25" t="str">
        <f t="shared" si="90"/>
        <v/>
      </c>
      <c r="AO124" s="50"/>
      <c r="AP124" s="53">
        <f t="shared" si="84"/>
        <v>0</v>
      </c>
      <c r="AQ124" s="53"/>
      <c r="AR124" s="119"/>
      <c r="AS124" s="56">
        <f t="shared" si="91"/>
        <v>0</v>
      </c>
      <c r="AT124" s="298"/>
      <c r="AU124" s="298">
        <f t="shared" si="74"/>
        <v>0</v>
      </c>
      <c r="AV124" s="357" t="str">
        <f t="shared" si="76"/>
        <v/>
      </c>
      <c r="AW124" s="18"/>
      <c r="AX124" s="18" t="str">
        <f>IF(AS124=0,"",SUMIFS($AS$8:AS124, $BH$8:BH124, BH124))</f>
        <v/>
      </c>
      <c r="AY124" s="57" t="str">
        <f t="shared" ca="1" si="93"/>
        <v>no drilling completed</v>
      </c>
      <c r="AZ124" s="15" t="str">
        <f t="shared" ca="1" si="85"/>
        <v>LINK</v>
      </c>
      <c r="BB124" s="14" t="s">
        <v>211</v>
      </c>
      <c r="BC124" t="str">
        <f t="shared" si="86"/>
        <v>25</v>
      </c>
      <c r="BD124" t="str">
        <f t="shared" si="71"/>
        <v>09</v>
      </c>
      <c r="BE124" s="98" t="str">
        <f t="shared" si="72"/>
        <v>03</v>
      </c>
      <c r="BF124" t="str">
        <f t="shared" si="87"/>
        <v>D</v>
      </c>
      <c r="BG124" t="str">
        <f t="shared" si="89"/>
        <v>https://www.coreplan.io/app/ddh1-drilling/speewah-mining-speewah-fluorite-project-wa/plods/1663-250903D</v>
      </c>
      <c r="BH124" t="str">
        <f t="shared" si="88"/>
        <v>2025-09</v>
      </c>
    </row>
    <row r="125" spans="1:60">
      <c r="A125" s="510" t="e">
        <f>VLOOKUP(F125,'Tenement Lookup'!A:BH,60,FALSE)</f>
        <v>#N/A</v>
      </c>
      <c r="B125" t="e">
        <f>VLOOKUP(F125,Purpose!$A$2:$B$334,2,FALSE)</f>
        <v>#N/A</v>
      </c>
      <c r="C125" s="152" t="str">
        <f t="shared" si="95"/>
        <v/>
      </c>
      <c r="D125" s="1">
        <f t="shared" si="68"/>
        <v>45902.71</v>
      </c>
      <c r="E125" t="s">
        <v>172</v>
      </c>
      <c r="H125" s="4"/>
      <c r="I125" s="4"/>
      <c r="J125" s="5" t="str">
        <f t="shared" si="96"/>
        <v/>
      </c>
      <c r="K125" s="21"/>
      <c r="L125" s="28"/>
      <c r="M125" s="28">
        <f t="shared" si="92"/>
        <v>0</v>
      </c>
      <c r="N125" s="30"/>
      <c r="O125" s="26"/>
      <c r="P125" s="31">
        <f t="shared" si="80"/>
        <v>0</v>
      </c>
      <c r="Q125" s="21"/>
      <c r="R125" s="28"/>
      <c r="S125" s="22">
        <f t="shared" si="81"/>
        <v>0</v>
      </c>
      <c r="T125" s="26"/>
      <c r="U125" s="26"/>
      <c r="V125" s="31">
        <f t="shared" si="82"/>
        <v>0</v>
      </c>
      <c r="W125" s="26">
        <f t="shared" si="94"/>
        <v>0</v>
      </c>
      <c r="X125" s="36">
        <f t="shared" si="97"/>
        <v>0</v>
      </c>
      <c r="Y125" s="37" t="str">
        <f t="shared" si="83"/>
        <v/>
      </c>
      <c r="Z125" s="38"/>
      <c r="AA125" s="38"/>
      <c r="AB125" s="38"/>
      <c r="AC125" s="38"/>
      <c r="AD125" s="157">
        <f t="shared" si="75"/>
        <v>0</v>
      </c>
      <c r="AE125" s="34"/>
      <c r="AF125" s="35"/>
      <c r="AG125" s="40"/>
      <c r="AH125" s="44"/>
      <c r="AI125" s="13"/>
      <c r="AJ125" s="46"/>
      <c r="AK125" s="45"/>
      <c r="AL125" s="23"/>
      <c r="AM125" s="138"/>
      <c r="AN125" s="25" t="str">
        <f t="shared" si="90"/>
        <v/>
      </c>
      <c r="AO125" s="50"/>
      <c r="AP125" s="53">
        <f t="shared" si="84"/>
        <v>0</v>
      </c>
      <c r="AQ125" s="53"/>
      <c r="AR125" s="119"/>
      <c r="AS125" s="56">
        <f t="shared" si="91"/>
        <v>0</v>
      </c>
      <c r="AT125" s="298"/>
      <c r="AU125" s="298">
        <f t="shared" si="74"/>
        <v>0</v>
      </c>
      <c r="AV125" s="357" t="str">
        <f t="shared" si="76"/>
        <v/>
      </c>
      <c r="AW125" s="18"/>
      <c r="AX125" s="18" t="str">
        <f>IF(AS125=0,"",SUMIFS($AS$8:AS125, $BH$8:BH125, BH125))</f>
        <v/>
      </c>
      <c r="AY125" s="57" t="str">
        <f t="shared" ca="1" si="93"/>
        <v>no drilling completed</v>
      </c>
      <c r="AZ125" s="15" t="str">
        <f t="shared" ca="1" si="85"/>
        <v>LINK</v>
      </c>
      <c r="BB125" s="14" t="s">
        <v>211</v>
      </c>
      <c r="BC125" t="str">
        <f t="shared" si="86"/>
        <v>25</v>
      </c>
      <c r="BD125" t="str">
        <f t="shared" si="71"/>
        <v>09</v>
      </c>
      <c r="BE125" s="98" t="str">
        <f t="shared" si="72"/>
        <v>03</v>
      </c>
      <c r="BF125" t="str">
        <f t="shared" si="87"/>
        <v>N</v>
      </c>
      <c r="BG125" t="str">
        <f t="shared" si="89"/>
        <v>https://www.coreplan.io/app/ddh1-drilling/speewah-mining-speewah-fluorite-project-wa/plods/1663-250903N</v>
      </c>
      <c r="BH125" t="str">
        <f t="shared" si="88"/>
        <v>2025-09</v>
      </c>
    </row>
    <row r="126" spans="1:60">
      <c r="A126" s="510" t="e">
        <f>VLOOKUP(F126,'Tenement Lookup'!A:BH,60,FALSE)</f>
        <v>#N/A</v>
      </c>
      <c r="B126" t="e">
        <f>VLOOKUP(F126,Purpose!$A$2:$B$334,2,FALSE)</f>
        <v>#N/A</v>
      </c>
      <c r="C126" s="152" t="str">
        <f t="shared" si="95"/>
        <v/>
      </c>
      <c r="D126" s="1">
        <f t="shared" si="68"/>
        <v>45903.21</v>
      </c>
      <c r="E126" t="s">
        <v>171</v>
      </c>
      <c r="H126" s="4"/>
      <c r="I126" s="4"/>
      <c r="J126" s="5" t="str">
        <f t="shared" si="96"/>
        <v/>
      </c>
      <c r="K126" s="21"/>
      <c r="L126" s="28"/>
      <c r="M126" s="28">
        <f t="shared" si="92"/>
        <v>0</v>
      </c>
      <c r="N126" s="30"/>
      <c r="O126" s="26"/>
      <c r="P126" s="31">
        <f t="shared" si="80"/>
        <v>0</v>
      </c>
      <c r="Q126" s="21"/>
      <c r="R126" s="28"/>
      <c r="S126" s="22">
        <f t="shared" si="81"/>
        <v>0</v>
      </c>
      <c r="T126" s="26"/>
      <c r="U126" s="26"/>
      <c r="V126" s="31">
        <f t="shared" si="82"/>
        <v>0</v>
      </c>
      <c r="W126" s="26">
        <f t="shared" si="94"/>
        <v>0</v>
      </c>
      <c r="X126" s="36">
        <f t="shared" si="97"/>
        <v>0</v>
      </c>
      <c r="Y126" s="37" t="str">
        <f t="shared" si="83"/>
        <v/>
      </c>
      <c r="Z126" s="38"/>
      <c r="AA126" s="38"/>
      <c r="AB126" s="38"/>
      <c r="AC126" s="38"/>
      <c r="AD126" s="157">
        <f t="shared" si="75"/>
        <v>0</v>
      </c>
      <c r="AE126" s="34"/>
      <c r="AF126" s="35"/>
      <c r="AG126" s="40"/>
      <c r="AH126" s="44"/>
      <c r="AI126" s="13"/>
      <c r="AJ126" s="46"/>
      <c r="AK126" s="45"/>
      <c r="AL126" s="23"/>
      <c r="AM126" s="138"/>
      <c r="AN126" s="25" t="str">
        <f t="shared" si="90"/>
        <v/>
      </c>
      <c r="AO126" s="50"/>
      <c r="AP126" s="53">
        <f t="shared" si="84"/>
        <v>0</v>
      </c>
      <c r="AQ126" s="53"/>
      <c r="AR126" s="119"/>
      <c r="AS126" s="56">
        <f t="shared" si="91"/>
        <v>0</v>
      </c>
      <c r="AT126" s="298"/>
      <c r="AU126" s="298">
        <f t="shared" si="74"/>
        <v>0</v>
      </c>
      <c r="AV126" s="357" t="str">
        <f t="shared" si="76"/>
        <v/>
      </c>
      <c r="AW126" s="18"/>
      <c r="AX126" s="18" t="str">
        <f>IF(AS126=0,"",SUMIFS($AS$8:AS126, $BH$8:BH126, BH126))</f>
        <v/>
      </c>
      <c r="AY126" s="57" t="str">
        <f t="shared" ca="1" si="93"/>
        <v>no drilling completed</v>
      </c>
      <c r="AZ126" s="15" t="str">
        <f t="shared" ca="1" si="85"/>
        <v>LINK</v>
      </c>
      <c r="BB126" s="14" t="s">
        <v>211</v>
      </c>
      <c r="BC126" t="str">
        <f t="shared" si="86"/>
        <v>25</v>
      </c>
      <c r="BD126" t="str">
        <f t="shared" si="71"/>
        <v>09</v>
      </c>
      <c r="BE126" s="98" t="str">
        <f t="shared" si="72"/>
        <v>04</v>
      </c>
      <c r="BF126" t="str">
        <f t="shared" si="87"/>
        <v>D</v>
      </c>
      <c r="BG126" t="str">
        <f t="shared" si="89"/>
        <v>https://www.coreplan.io/app/ddh1-drilling/speewah-mining-speewah-fluorite-project-wa/plods/1663-250904D</v>
      </c>
      <c r="BH126" t="str">
        <f t="shared" si="88"/>
        <v>2025-09</v>
      </c>
    </row>
    <row r="127" spans="1:60">
      <c r="A127" s="510" t="e">
        <f>VLOOKUP(F127,'Tenement Lookup'!A:BH,60,FALSE)</f>
        <v>#N/A</v>
      </c>
      <c r="B127" t="e">
        <f>VLOOKUP(F127,Purpose!$A$2:$B$334,2,FALSE)</f>
        <v>#N/A</v>
      </c>
      <c r="C127" s="152" t="str">
        <f t="shared" si="95"/>
        <v/>
      </c>
      <c r="D127" s="1">
        <f t="shared" si="68"/>
        <v>45903.71</v>
      </c>
      <c r="E127" t="s">
        <v>172</v>
      </c>
      <c r="H127" s="4"/>
      <c r="I127" s="4"/>
      <c r="J127" s="5" t="str">
        <f t="shared" si="96"/>
        <v/>
      </c>
      <c r="K127" s="21"/>
      <c r="L127" s="28"/>
      <c r="M127" s="28">
        <f t="shared" si="92"/>
        <v>0</v>
      </c>
      <c r="N127" s="30"/>
      <c r="O127" s="26"/>
      <c r="P127" s="31">
        <f t="shared" si="80"/>
        <v>0</v>
      </c>
      <c r="Q127" s="21"/>
      <c r="R127" s="28"/>
      <c r="S127" s="22">
        <f t="shared" si="81"/>
        <v>0</v>
      </c>
      <c r="T127" s="26"/>
      <c r="U127" s="26"/>
      <c r="V127" s="31">
        <f t="shared" si="82"/>
        <v>0</v>
      </c>
      <c r="W127" s="26">
        <f t="shared" si="94"/>
        <v>0</v>
      </c>
      <c r="X127" s="36">
        <f t="shared" si="97"/>
        <v>0</v>
      </c>
      <c r="Y127" s="37" t="str">
        <f t="shared" si="83"/>
        <v/>
      </c>
      <c r="Z127" s="38"/>
      <c r="AA127" s="38"/>
      <c r="AB127" s="38"/>
      <c r="AC127" s="38"/>
      <c r="AD127" s="157">
        <f t="shared" si="75"/>
        <v>0</v>
      </c>
      <c r="AE127" s="34"/>
      <c r="AF127" s="35"/>
      <c r="AG127" s="40"/>
      <c r="AH127" s="44"/>
      <c r="AI127" s="13"/>
      <c r="AJ127" s="46"/>
      <c r="AK127" s="45"/>
      <c r="AL127" s="23"/>
      <c r="AM127" s="138"/>
      <c r="AN127" s="25" t="str">
        <f t="shared" si="90"/>
        <v/>
      </c>
      <c r="AO127" s="50"/>
      <c r="AP127" s="53">
        <f t="shared" si="84"/>
        <v>0</v>
      </c>
      <c r="AQ127" s="53"/>
      <c r="AR127" s="119"/>
      <c r="AS127" s="56">
        <f t="shared" si="91"/>
        <v>0</v>
      </c>
      <c r="AT127" s="298"/>
      <c r="AU127" s="298">
        <f t="shared" si="74"/>
        <v>0</v>
      </c>
      <c r="AV127" s="357" t="str">
        <f t="shared" si="76"/>
        <v/>
      </c>
      <c r="AW127" s="18"/>
      <c r="AX127" s="18" t="str">
        <f>IF(AS127=0,"",SUMIFS($AS$8:AS127, $BH$8:BH127, BH127))</f>
        <v/>
      </c>
      <c r="AY127" s="57" t="str">
        <f t="shared" ca="1" si="93"/>
        <v>no drilling completed</v>
      </c>
      <c r="AZ127" s="15" t="str">
        <f t="shared" ca="1" si="85"/>
        <v>LINK</v>
      </c>
      <c r="BB127" s="14" t="s">
        <v>211</v>
      </c>
      <c r="BC127" t="str">
        <f t="shared" si="86"/>
        <v>25</v>
      </c>
      <c r="BD127" t="str">
        <f t="shared" si="71"/>
        <v>09</v>
      </c>
      <c r="BE127" s="98" t="str">
        <f t="shared" si="72"/>
        <v>04</v>
      </c>
      <c r="BF127" t="str">
        <f t="shared" si="87"/>
        <v>N</v>
      </c>
      <c r="BG127" t="str">
        <f t="shared" si="89"/>
        <v>https://www.coreplan.io/app/ddh1-drilling/speewah-mining-speewah-fluorite-project-wa/plods/1663-250904N</v>
      </c>
      <c r="BH127" t="str">
        <f t="shared" si="88"/>
        <v>2025-09</v>
      </c>
    </row>
    <row r="128" spans="1:60">
      <c r="A128" s="510" t="e">
        <f>VLOOKUP(F128,'Tenement Lookup'!A:BH,60,FALSE)</f>
        <v>#N/A</v>
      </c>
      <c r="B128" t="e">
        <f>VLOOKUP(F128,Purpose!$A$2:$B$334,2,FALSE)</f>
        <v>#N/A</v>
      </c>
      <c r="C128" s="152" t="str">
        <f t="shared" si="95"/>
        <v/>
      </c>
      <c r="D128" s="1">
        <f t="shared" si="68"/>
        <v>45904.21</v>
      </c>
      <c r="E128" t="s">
        <v>171</v>
      </c>
      <c r="H128" s="4"/>
      <c r="I128" s="4"/>
      <c r="J128" s="5" t="str">
        <f t="shared" si="96"/>
        <v/>
      </c>
      <c r="K128" s="21"/>
      <c r="L128" s="28"/>
      <c r="M128" s="28">
        <f t="shared" si="92"/>
        <v>0</v>
      </c>
      <c r="N128" s="30"/>
      <c r="O128" s="26"/>
      <c r="P128" s="31">
        <f t="shared" si="80"/>
        <v>0</v>
      </c>
      <c r="Q128" s="21"/>
      <c r="R128" s="28"/>
      <c r="S128" s="22">
        <f t="shared" si="81"/>
        <v>0</v>
      </c>
      <c r="T128" s="26"/>
      <c r="U128" s="26"/>
      <c r="V128" s="31">
        <f t="shared" si="82"/>
        <v>0</v>
      </c>
      <c r="W128" s="26">
        <f t="shared" si="94"/>
        <v>0</v>
      </c>
      <c r="X128" s="36">
        <f t="shared" si="97"/>
        <v>0</v>
      </c>
      <c r="Y128" s="37" t="str">
        <f t="shared" si="83"/>
        <v/>
      </c>
      <c r="Z128" s="38"/>
      <c r="AA128" s="38"/>
      <c r="AB128" s="38"/>
      <c r="AC128" s="38"/>
      <c r="AD128" s="157">
        <f t="shared" si="75"/>
        <v>0</v>
      </c>
      <c r="AE128" s="34"/>
      <c r="AF128" s="35"/>
      <c r="AG128" s="40"/>
      <c r="AH128" s="44"/>
      <c r="AI128" s="13"/>
      <c r="AJ128" s="46"/>
      <c r="AK128" s="45"/>
      <c r="AL128" s="23"/>
      <c r="AM128" s="138"/>
      <c r="AN128" s="25" t="str">
        <f t="shared" si="90"/>
        <v/>
      </c>
      <c r="AO128" s="50"/>
      <c r="AP128" s="53">
        <f t="shared" si="84"/>
        <v>0</v>
      </c>
      <c r="AQ128" s="53"/>
      <c r="AR128" s="119"/>
      <c r="AS128" s="56">
        <f t="shared" si="91"/>
        <v>0</v>
      </c>
      <c r="AT128" s="298"/>
      <c r="AU128" s="298">
        <f t="shared" si="74"/>
        <v>0</v>
      </c>
      <c r="AV128" s="357" t="str">
        <f t="shared" si="76"/>
        <v/>
      </c>
      <c r="AW128" s="18"/>
      <c r="AX128" s="18" t="str">
        <f>IF(AS128=0,"",SUMIFS($AS$8:AS128, $BH$8:BH128, BH128))</f>
        <v/>
      </c>
      <c r="AY128" s="57" t="str">
        <f t="shared" ca="1" si="93"/>
        <v>no drilling completed</v>
      </c>
      <c r="AZ128" s="15" t="str">
        <f t="shared" ca="1" si="85"/>
        <v>LINK</v>
      </c>
      <c r="BB128" s="14" t="s">
        <v>211</v>
      </c>
      <c r="BC128" t="str">
        <f t="shared" si="86"/>
        <v>25</v>
      </c>
      <c r="BD128" t="str">
        <f t="shared" si="71"/>
        <v>09</v>
      </c>
      <c r="BE128" s="98" t="str">
        <f t="shared" si="72"/>
        <v>05</v>
      </c>
      <c r="BF128" t="str">
        <f t="shared" si="87"/>
        <v>D</v>
      </c>
      <c r="BG128" t="str">
        <f t="shared" si="89"/>
        <v>https://www.coreplan.io/app/ddh1-drilling/speewah-mining-speewah-fluorite-project-wa/plods/1663-250905D</v>
      </c>
      <c r="BH128" t="str">
        <f t="shared" si="88"/>
        <v>2025-09</v>
      </c>
    </row>
    <row r="129" spans="1:60">
      <c r="A129" s="510" t="e">
        <f>VLOOKUP(F129,'Tenement Lookup'!A:BH,60,FALSE)</f>
        <v>#N/A</v>
      </c>
      <c r="C129" s="152" t="str">
        <f t="shared" si="95"/>
        <v/>
      </c>
      <c r="D129" s="1">
        <f t="shared" si="68"/>
        <v>45904.71</v>
      </c>
      <c r="E129" t="s">
        <v>172</v>
      </c>
      <c r="H129" s="4"/>
      <c r="I129" s="4"/>
      <c r="J129" s="5" t="str">
        <f t="shared" si="96"/>
        <v/>
      </c>
      <c r="K129" s="21"/>
      <c r="L129" s="28"/>
      <c r="M129" s="28">
        <f t="shared" si="92"/>
        <v>0</v>
      </c>
      <c r="N129" s="30"/>
      <c r="O129" s="26"/>
      <c r="P129" s="31">
        <f t="shared" si="80"/>
        <v>0</v>
      </c>
      <c r="Q129" s="21"/>
      <c r="R129" s="28"/>
      <c r="S129" s="22">
        <f t="shared" si="81"/>
        <v>0</v>
      </c>
      <c r="T129" s="26"/>
      <c r="U129" s="26"/>
      <c r="V129" s="31">
        <f t="shared" si="82"/>
        <v>0</v>
      </c>
      <c r="W129" s="26">
        <f t="shared" si="94"/>
        <v>0</v>
      </c>
      <c r="X129" s="36">
        <f t="shared" si="97"/>
        <v>0</v>
      </c>
      <c r="Y129" s="37" t="str">
        <f t="shared" si="83"/>
        <v/>
      </c>
      <c r="Z129" s="38"/>
      <c r="AA129" s="38"/>
      <c r="AB129" s="38"/>
      <c r="AC129" s="38"/>
      <c r="AD129" s="157">
        <f t="shared" si="75"/>
        <v>0</v>
      </c>
      <c r="AE129" s="34"/>
      <c r="AF129" s="35"/>
      <c r="AG129" s="40"/>
      <c r="AH129" s="44"/>
      <c r="AI129" s="13"/>
      <c r="AJ129" s="46"/>
      <c r="AK129" s="45"/>
      <c r="AL129" s="23"/>
      <c r="AM129" s="138"/>
      <c r="AN129" s="25" t="str">
        <f t="shared" si="90"/>
        <v/>
      </c>
      <c r="AO129" s="50"/>
      <c r="AP129" s="53">
        <f t="shared" si="84"/>
        <v>0</v>
      </c>
      <c r="AQ129" s="53"/>
      <c r="AR129" s="119"/>
      <c r="AS129" s="56">
        <f t="shared" si="91"/>
        <v>0</v>
      </c>
      <c r="AT129" s="298"/>
      <c r="AU129" s="298">
        <f t="shared" si="74"/>
        <v>0</v>
      </c>
      <c r="AV129" s="357" t="str">
        <f t="shared" si="76"/>
        <v/>
      </c>
      <c r="AW129" s="18"/>
      <c r="AX129" s="18" t="str">
        <f>IF(AS129=0,"",SUMIFS($AS$8:AS129, $BH$8:BH129, BH129))</f>
        <v/>
      </c>
      <c r="AY129" s="57" t="str">
        <f t="shared" ca="1" si="93"/>
        <v>no drilling completed</v>
      </c>
      <c r="AZ129" s="15" t="str">
        <f t="shared" ca="1" si="85"/>
        <v>LINK</v>
      </c>
      <c r="BB129" s="14" t="s">
        <v>211</v>
      </c>
      <c r="BC129" t="str">
        <f t="shared" si="86"/>
        <v>25</v>
      </c>
      <c r="BD129" t="str">
        <f t="shared" si="71"/>
        <v>09</v>
      </c>
      <c r="BE129" s="98" t="str">
        <f t="shared" si="72"/>
        <v>05</v>
      </c>
      <c r="BF129" t="str">
        <f t="shared" si="87"/>
        <v>N</v>
      </c>
      <c r="BG129" t="str">
        <f t="shared" si="89"/>
        <v>https://www.coreplan.io/app/ddh1-drilling/speewah-mining-speewah-fluorite-project-wa/plods/1663-250905N</v>
      </c>
      <c r="BH129" t="str">
        <f t="shared" si="88"/>
        <v>2025-09</v>
      </c>
    </row>
    <row r="130" spans="1:60">
      <c r="A130" s="510" t="e">
        <f>VLOOKUP(F130,'Tenement Lookup'!A:BH,60,FALSE)</f>
        <v>#N/A</v>
      </c>
      <c r="C130" s="152" t="str">
        <f t="shared" si="95"/>
        <v/>
      </c>
      <c r="D130" s="1">
        <f t="shared" si="68"/>
        <v>45905.21</v>
      </c>
      <c r="E130" t="s">
        <v>171</v>
      </c>
      <c r="H130" s="4"/>
      <c r="I130" s="4"/>
      <c r="J130" s="5" t="str">
        <f t="shared" si="96"/>
        <v/>
      </c>
      <c r="K130" s="21"/>
      <c r="L130" s="28"/>
      <c r="M130" s="28">
        <f t="shared" si="92"/>
        <v>0</v>
      </c>
      <c r="N130" s="30"/>
      <c r="O130" s="26"/>
      <c r="P130" s="31">
        <f t="shared" si="80"/>
        <v>0</v>
      </c>
      <c r="Q130" s="21"/>
      <c r="R130" s="28"/>
      <c r="S130" s="22">
        <f t="shared" si="81"/>
        <v>0</v>
      </c>
      <c r="T130" s="26"/>
      <c r="U130" s="26"/>
      <c r="V130" s="31">
        <f t="shared" si="82"/>
        <v>0</v>
      </c>
      <c r="W130" s="26">
        <f t="shared" si="94"/>
        <v>0</v>
      </c>
      <c r="X130" s="36">
        <f t="shared" si="97"/>
        <v>0</v>
      </c>
      <c r="Y130" s="37" t="str">
        <f t="shared" si="83"/>
        <v/>
      </c>
      <c r="Z130" s="38"/>
      <c r="AA130" s="38"/>
      <c r="AB130" s="38"/>
      <c r="AC130" s="38"/>
      <c r="AD130" s="157">
        <f t="shared" si="75"/>
        <v>0</v>
      </c>
      <c r="AE130" s="34"/>
      <c r="AF130" s="35"/>
      <c r="AG130" s="40"/>
      <c r="AH130" s="44"/>
      <c r="AI130" s="13"/>
      <c r="AJ130" s="46"/>
      <c r="AK130" s="45"/>
      <c r="AL130" s="23"/>
      <c r="AM130" s="138"/>
      <c r="AN130" s="25" t="str">
        <f t="shared" si="90"/>
        <v/>
      </c>
      <c r="AO130" s="50"/>
      <c r="AP130" s="53">
        <f t="shared" si="84"/>
        <v>0</v>
      </c>
      <c r="AQ130" s="53"/>
      <c r="AR130" s="119"/>
      <c r="AS130" s="56">
        <f t="shared" si="91"/>
        <v>0</v>
      </c>
      <c r="AT130" s="298"/>
      <c r="AU130" s="298">
        <f t="shared" si="74"/>
        <v>0</v>
      </c>
      <c r="AV130" s="357" t="str">
        <f t="shared" si="76"/>
        <v/>
      </c>
      <c r="AW130" s="18"/>
      <c r="AX130" s="18" t="str">
        <f>IF(AS130=0,"",SUMIFS($AS$8:AS130, $BH$8:BH130, BH130))</f>
        <v/>
      </c>
      <c r="AY130" s="57" t="str">
        <f t="shared" ca="1" si="93"/>
        <v>no drilling completed</v>
      </c>
      <c r="AZ130" s="15" t="str">
        <f t="shared" ca="1" si="85"/>
        <v>LINK</v>
      </c>
      <c r="BB130" s="14" t="s">
        <v>211</v>
      </c>
      <c r="BC130" t="str">
        <f t="shared" si="86"/>
        <v>25</v>
      </c>
      <c r="BD130" t="str">
        <f t="shared" si="71"/>
        <v>09</v>
      </c>
      <c r="BE130" s="98" t="str">
        <f t="shared" si="72"/>
        <v>06</v>
      </c>
      <c r="BF130" t="str">
        <f t="shared" si="87"/>
        <v>D</v>
      </c>
      <c r="BG130" t="str">
        <f t="shared" si="89"/>
        <v>https://www.coreplan.io/app/ddh1-drilling/speewah-mining-speewah-fluorite-project-wa/plods/1663-250906D</v>
      </c>
      <c r="BH130" t="str">
        <f t="shared" si="88"/>
        <v>2025-09</v>
      </c>
    </row>
    <row r="131" spans="1:60">
      <c r="A131" s="510" t="e">
        <f>VLOOKUP(F131,'Tenement Lookup'!A:BH,60,FALSE)</f>
        <v>#N/A</v>
      </c>
      <c r="C131" s="152" t="str">
        <f t="shared" si="95"/>
        <v/>
      </c>
      <c r="D131" s="1">
        <f t="shared" si="68"/>
        <v>45905.71</v>
      </c>
      <c r="E131" t="s">
        <v>172</v>
      </c>
      <c r="H131" s="4"/>
      <c r="I131" s="4"/>
      <c r="J131" s="5" t="str">
        <f t="shared" si="96"/>
        <v/>
      </c>
      <c r="K131" s="21"/>
      <c r="L131" s="28"/>
      <c r="M131" s="28">
        <f t="shared" si="92"/>
        <v>0</v>
      </c>
      <c r="N131" s="30"/>
      <c r="O131" s="26"/>
      <c r="P131" s="31">
        <f t="shared" si="80"/>
        <v>0</v>
      </c>
      <c r="Q131" s="21"/>
      <c r="R131" s="28"/>
      <c r="S131" s="22">
        <f t="shared" si="81"/>
        <v>0</v>
      </c>
      <c r="T131" s="26"/>
      <c r="U131" s="26"/>
      <c r="V131" s="31">
        <f t="shared" si="82"/>
        <v>0</v>
      </c>
      <c r="W131" s="26">
        <f t="shared" si="94"/>
        <v>0</v>
      </c>
      <c r="X131" s="36">
        <f t="shared" si="97"/>
        <v>0</v>
      </c>
      <c r="Y131" s="37" t="str">
        <f t="shared" si="83"/>
        <v/>
      </c>
      <c r="Z131" s="38"/>
      <c r="AA131" s="38"/>
      <c r="AB131" s="38"/>
      <c r="AC131" s="38"/>
      <c r="AD131" s="157">
        <f t="shared" si="75"/>
        <v>0</v>
      </c>
      <c r="AE131" s="34"/>
      <c r="AF131" s="35"/>
      <c r="AG131" s="40"/>
      <c r="AH131" s="44"/>
      <c r="AI131" s="13"/>
      <c r="AJ131" s="46"/>
      <c r="AK131" s="45"/>
      <c r="AL131" s="23"/>
      <c r="AM131" s="138"/>
      <c r="AN131" s="25" t="str">
        <f t="shared" si="90"/>
        <v/>
      </c>
      <c r="AO131" s="50"/>
      <c r="AP131" s="53">
        <f t="shared" si="84"/>
        <v>0</v>
      </c>
      <c r="AQ131" s="53"/>
      <c r="AR131" s="119"/>
      <c r="AS131" s="56">
        <f t="shared" si="91"/>
        <v>0</v>
      </c>
      <c r="AT131" s="298"/>
      <c r="AU131" s="298">
        <f t="shared" si="74"/>
        <v>0</v>
      </c>
      <c r="AV131" s="357" t="str">
        <f t="shared" si="76"/>
        <v/>
      </c>
      <c r="AW131" s="18"/>
      <c r="AX131" s="18" t="str">
        <f>IF(AS131=0,"",SUMIFS($AS$8:AS131, $BH$8:BH131, BH131))</f>
        <v/>
      </c>
      <c r="AY131" s="57" t="str">
        <f t="shared" ca="1" si="93"/>
        <v>no drilling completed</v>
      </c>
      <c r="AZ131" s="15" t="str">
        <f t="shared" ca="1" si="85"/>
        <v>LINK</v>
      </c>
      <c r="BB131" s="14" t="s">
        <v>211</v>
      </c>
      <c r="BC131" t="str">
        <f t="shared" si="86"/>
        <v>25</v>
      </c>
      <c r="BD131" t="str">
        <f t="shared" si="71"/>
        <v>09</v>
      </c>
      <c r="BE131" s="98" t="str">
        <f t="shared" si="72"/>
        <v>06</v>
      </c>
      <c r="BF131" t="str">
        <f t="shared" si="87"/>
        <v>N</v>
      </c>
      <c r="BG131" t="str">
        <f t="shared" si="89"/>
        <v>https://www.coreplan.io/app/ddh1-drilling/speewah-mining-speewah-fluorite-project-wa/plods/1663-250906N</v>
      </c>
      <c r="BH131" t="str">
        <f t="shared" si="88"/>
        <v>2025-09</v>
      </c>
    </row>
    <row r="132" spans="1:60">
      <c r="A132" s="510" t="e">
        <f>VLOOKUP(F132,'Tenement Lookup'!A:BH,60,FALSE)</f>
        <v>#N/A</v>
      </c>
      <c r="C132" s="152" t="str">
        <f t="shared" ref="C132:C163" si="98">IFERROR(IF(FIND("MET",F132),"MET",IF(FIND("GT",F132),"GT",)),"")</f>
        <v/>
      </c>
      <c r="D132" s="1">
        <f t="shared" ref="D132:D195" si="99">D130+1</f>
        <v>45906.21</v>
      </c>
      <c r="E132" t="s">
        <v>171</v>
      </c>
      <c r="H132" s="4"/>
      <c r="I132" s="4"/>
      <c r="J132" s="5" t="str">
        <f t="shared" si="96"/>
        <v/>
      </c>
      <c r="K132" s="21"/>
      <c r="L132" s="28"/>
      <c r="M132" s="28">
        <f t="shared" si="92"/>
        <v>0</v>
      </c>
      <c r="N132" s="30"/>
      <c r="O132" s="26"/>
      <c r="P132" s="31">
        <f t="shared" si="80"/>
        <v>0</v>
      </c>
      <c r="Q132" s="21"/>
      <c r="R132" s="28"/>
      <c r="S132" s="22">
        <f t="shared" si="81"/>
        <v>0</v>
      </c>
      <c r="T132" s="26"/>
      <c r="U132" s="26"/>
      <c r="V132" s="31">
        <f t="shared" si="82"/>
        <v>0</v>
      </c>
      <c r="W132" s="26">
        <f t="shared" si="94"/>
        <v>0</v>
      </c>
      <c r="X132" s="36">
        <f t="shared" si="97"/>
        <v>0</v>
      </c>
      <c r="Y132" s="37" t="str">
        <f t="shared" si="83"/>
        <v/>
      </c>
      <c r="Z132" s="38"/>
      <c r="AA132" s="38"/>
      <c r="AB132" s="38"/>
      <c r="AC132" s="38"/>
      <c r="AD132" s="157">
        <f t="shared" si="75"/>
        <v>0</v>
      </c>
      <c r="AE132" s="34"/>
      <c r="AF132" s="35"/>
      <c r="AG132" s="40"/>
      <c r="AH132" s="44"/>
      <c r="AI132" s="13"/>
      <c r="AJ132" s="46"/>
      <c r="AK132" s="45"/>
      <c r="AL132" s="23"/>
      <c r="AM132" s="138"/>
      <c r="AN132" s="25" t="str">
        <f t="shared" si="90"/>
        <v/>
      </c>
      <c r="AO132" s="50"/>
      <c r="AP132" s="53">
        <f t="shared" si="84"/>
        <v>0</v>
      </c>
      <c r="AQ132" s="53"/>
      <c r="AR132" s="119"/>
      <c r="AS132" s="56">
        <f t="shared" ref="AS132:AS163" si="100">SUM(Y132,AP132,AR132,J132)+AD132</f>
        <v>0</v>
      </c>
      <c r="AT132" s="298"/>
      <c r="AU132" s="298">
        <f t="shared" si="74"/>
        <v>0</v>
      </c>
      <c r="AV132" s="357" t="str">
        <f t="shared" si="76"/>
        <v/>
      </c>
      <c r="AW132" s="18"/>
      <c r="AX132" s="18" t="str">
        <f>IF(AS132=0,"",SUMIFS($AS$8:AS132, $BH$8:BH132, BH132))</f>
        <v/>
      </c>
      <c r="AY132" s="57" t="str">
        <f t="shared" ca="1" si="93"/>
        <v>no drilling completed</v>
      </c>
      <c r="AZ132" s="15" t="str">
        <f t="shared" ca="1" si="85"/>
        <v>LINK</v>
      </c>
      <c r="BB132" s="14" t="s">
        <v>211</v>
      </c>
      <c r="BC132" t="str">
        <f t="shared" si="86"/>
        <v>25</v>
      </c>
      <c r="BD132" t="str">
        <f t="shared" si="71"/>
        <v>09</v>
      </c>
      <c r="BE132" s="98" t="str">
        <f t="shared" si="72"/>
        <v>07</v>
      </c>
      <c r="BF132" t="str">
        <f t="shared" si="87"/>
        <v>D</v>
      </c>
      <c r="BG132" t="str">
        <f t="shared" si="89"/>
        <v>https://www.coreplan.io/app/ddh1-drilling/speewah-mining-speewah-fluorite-project-wa/plods/1663-250907D</v>
      </c>
      <c r="BH132" t="str">
        <f t="shared" si="88"/>
        <v>2025-09</v>
      </c>
    </row>
    <row r="133" spans="1:60">
      <c r="A133" s="510" t="e">
        <f>VLOOKUP(F133,'Tenement Lookup'!A:BH,60,FALSE)</f>
        <v>#N/A</v>
      </c>
      <c r="C133" s="152" t="str">
        <f t="shared" si="98"/>
        <v/>
      </c>
      <c r="D133" s="1">
        <f t="shared" si="99"/>
        <v>45906.71</v>
      </c>
      <c r="E133" t="s">
        <v>172</v>
      </c>
      <c r="H133" s="4"/>
      <c r="I133" s="4"/>
      <c r="J133" s="5" t="str">
        <f t="shared" si="96"/>
        <v/>
      </c>
      <c r="K133" s="21"/>
      <c r="L133" s="28"/>
      <c r="M133" s="28">
        <f t="shared" si="92"/>
        <v>0</v>
      </c>
      <c r="N133" s="30"/>
      <c r="O133" s="26"/>
      <c r="P133" s="31">
        <f t="shared" si="80"/>
        <v>0</v>
      </c>
      <c r="Q133" s="21"/>
      <c r="R133" s="28"/>
      <c r="S133" s="22">
        <f t="shared" si="81"/>
        <v>0</v>
      </c>
      <c r="T133" s="26"/>
      <c r="U133" s="26"/>
      <c r="V133" s="31">
        <f t="shared" si="82"/>
        <v>0</v>
      </c>
      <c r="W133" s="26">
        <f t="shared" si="94"/>
        <v>0</v>
      </c>
      <c r="X133" s="36">
        <f t="shared" si="97"/>
        <v>0</v>
      </c>
      <c r="Y133" s="37" t="str">
        <f t="shared" si="83"/>
        <v/>
      </c>
      <c r="Z133" s="38"/>
      <c r="AA133" s="38"/>
      <c r="AB133" s="38"/>
      <c r="AC133" s="38"/>
      <c r="AD133" s="157">
        <f t="shared" si="75"/>
        <v>0</v>
      </c>
      <c r="AE133" s="34"/>
      <c r="AF133" s="35"/>
      <c r="AG133" s="40"/>
      <c r="AH133" s="44"/>
      <c r="AI133" s="13"/>
      <c r="AJ133" s="46"/>
      <c r="AK133" s="45"/>
      <c r="AL133" s="23"/>
      <c r="AM133" s="138"/>
      <c r="AN133" s="25" t="str">
        <f t="shared" si="90"/>
        <v/>
      </c>
      <c r="AO133" s="50"/>
      <c r="AP133" s="53">
        <f t="shared" si="84"/>
        <v>0</v>
      </c>
      <c r="AQ133" s="53"/>
      <c r="AR133" s="119"/>
      <c r="AS133" s="56">
        <f t="shared" si="100"/>
        <v>0</v>
      </c>
      <c r="AT133" s="298"/>
      <c r="AU133" s="298">
        <f t="shared" si="74"/>
        <v>0</v>
      </c>
      <c r="AV133" s="357" t="str">
        <f t="shared" si="76"/>
        <v/>
      </c>
      <c r="AW133" s="18"/>
      <c r="AX133" s="18" t="str">
        <f>IF(AS133=0,"",SUMIFS($AS$8:AS133, $BH$8:BH133, BH133))</f>
        <v/>
      </c>
      <c r="AY133" s="57" t="str">
        <f t="shared" ca="1" si="93"/>
        <v>no drilling completed</v>
      </c>
      <c r="AZ133" s="15" t="str">
        <f t="shared" ca="1" si="85"/>
        <v>LINK</v>
      </c>
      <c r="BB133" s="14" t="s">
        <v>211</v>
      </c>
      <c r="BC133" t="str">
        <f t="shared" si="86"/>
        <v>25</v>
      </c>
      <c r="BD133" t="str">
        <f t="shared" si="71"/>
        <v>09</v>
      </c>
      <c r="BE133" s="98" t="str">
        <f t="shared" si="72"/>
        <v>07</v>
      </c>
      <c r="BF133" t="str">
        <f t="shared" si="87"/>
        <v>N</v>
      </c>
      <c r="BG133" t="str">
        <f t="shared" si="89"/>
        <v>https://www.coreplan.io/app/ddh1-drilling/speewah-mining-speewah-fluorite-project-wa/plods/1663-250907N</v>
      </c>
      <c r="BH133" t="str">
        <f t="shared" si="88"/>
        <v>2025-09</v>
      </c>
    </row>
    <row r="134" spans="1:60">
      <c r="A134" s="510" t="e">
        <f>VLOOKUP(F134,'Tenement Lookup'!A:BH,60,FALSE)</f>
        <v>#N/A</v>
      </c>
      <c r="C134" s="152" t="str">
        <f t="shared" si="98"/>
        <v/>
      </c>
      <c r="D134" s="1">
        <f t="shared" si="99"/>
        <v>45907.21</v>
      </c>
      <c r="E134" t="s">
        <v>171</v>
      </c>
      <c r="H134" s="4"/>
      <c r="I134" s="4"/>
      <c r="J134" s="5" t="str">
        <f t="shared" si="96"/>
        <v/>
      </c>
      <c r="K134" s="21"/>
      <c r="L134" s="28"/>
      <c r="M134" s="28">
        <f t="shared" si="92"/>
        <v>0</v>
      </c>
      <c r="N134" s="30"/>
      <c r="O134" s="26"/>
      <c r="P134" s="31">
        <f t="shared" si="80"/>
        <v>0</v>
      </c>
      <c r="Q134" s="21"/>
      <c r="R134" s="28"/>
      <c r="S134" s="22">
        <f t="shared" si="81"/>
        <v>0</v>
      </c>
      <c r="T134" s="26"/>
      <c r="U134" s="26"/>
      <c r="V134" s="31">
        <f t="shared" si="82"/>
        <v>0</v>
      </c>
      <c r="W134" s="26">
        <f t="shared" si="94"/>
        <v>0</v>
      </c>
      <c r="X134" s="36">
        <f t="shared" si="97"/>
        <v>0</v>
      </c>
      <c r="Y134" s="37" t="str">
        <f t="shared" si="83"/>
        <v/>
      </c>
      <c r="Z134" s="38"/>
      <c r="AA134" s="38"/>
      <c r="AB134" s="38"/>
      <c r="AC134" s="38"/>
      <c r="AD134" s="157">
        <f t="shared" si="75"/>
        <v>0</v>
      </c>
      <c r="AE134" s="34"/>
      <c r="AF134" s="35"/>
      <c r="AG134" s="40"/>
      <c r="AH134" s="44"/>
      <c r="AI134" s="13"/>
      <c r="AJ134" s="46"/>
      <c r="AK134" s="45"/>
      <c r="AL134" s="23"/>
      <c r="AM134" s="138"/>
      <c r="AN134" s="25" t="str">
        <f t="shared" si="90"/>
        <v/>
      </c>
      <c r="AO134" s="50"/>
      <c r="AP134" s="53">
        <f t="shared" si="84"/>
        <v>0</v>
      </c>
      <c r="AQ134" s="53"/>
      <c r="AR134" s="119"/>
      <c r="AS134" s="56">
        <f t="shared" si="100"/>
        <v>0</v>
      </c>
      <c r="AT134" s="298"/>
      <c r="AU134" s="298">
        <f t="shared" si="74"/>
        <v>0</v>
      </c>
      <c r="AV134" s="357" t="str">
        <f t="shared" si="76"/>
        <v/>
      </c>
      <c r="AW134" s="18"/>
      <c r="AX134" s="18" t="str">
        <f>IF(AS134=0,"",SUMIFS($AS$8:AS134, $BH$8:BH134, BH134))</f>
        <v/>
      </c>
      <c r="AY134" s="57" t="str">
        <f t="shared" ca="1" si="93"/>
        <v>no drilling completed</v>
      </c>
      <c r="AZ134" s="15" t="str">
        <f t="shared" ca="1" si="85"/>
        <v>LINK</v>
      </c>
      <c r="BB134" s="14" t="s">
        <v>211</v>
      </c>
      <c r="BC134" t="str">
        <f t="shared" si="86"/>
        <v>25</v>
      </c>
      <c r="BD134" t="str">
        <f t="shared" ref="BD134:BD197" si="101">IF(LEN(MONTH(D136))=1,_xlfn.TEXTJOIN(,,"0",MONTH(D136)),MONTH(D136))</f>
        <v>09</v>
      </c>
      <c r="BE134" s="98" t="str">
        <f t="shared" ref="BE134:BE197" si="102">IF(LEN(DAY(D136))=1,_xlfn.TEXTJOIN(,,"0",DAY(D136)),DAY(D136))</f>
        <v>08</v>
      </c>
      <c r="BF134" t="str">
        <f t="shared" si="87"/>
        <v>D</v>
      </c>
      <c r="BG134" t="str">
        <f t="shared" si="89"/>
        <v>https://www.coreplan.io/app/ddh1-drilling/speewah-mining-speewah-fluorite-project-wa/plods/1663-250908D</v>
      </c>
      <c r="BH134" t="str">
        <f t="shared" si="88"/>
        <v>2025-09</v>
      </c>
    </row>
    <row r="135" spans="1:60">
      <c r="A135" s="510" t="e">
        <f>VLOOKUP(F135,'Tenement Lookup'!A:BH,60,FALSE)</f>
        <v>#N/A</v>
      </c>
      <c r="C135" s="152" t="str">
        <f t="shared" si="98"/>
        <v/>
      </c>
      <c r="D135" s="1">
        <f t="shared" si="99"/>
        <v>45907.71</v>
      </c>
      <c r="E135" t="s">
        <v>172</v>
      </c>
      <c r="H135" s="4"/>
      <c r="I135" s="4"/>
      <c r="J135" s="5" t="str">
        <f t="shared" si="96"/>
        <v/>
      </c>
      <c r="K135" s="21"/>
      <c r="L135" s="28"/>
      <c r="M135" s="28">
        <f t="shared" si="92"/>
        <v>0</v>
      </c>
      <c r="N135" s="30"/>
      <c r="O135" s="26"/>
      <c r="P135" s="31">
        <f t="shared" si="80"/>
        <v>0</v>
      </c>
      <c r="Q135" s="21"/>
      <c r="R135" s="28"/>
      <c r="S135" s="22">
        <f t="shared" si="81"/>
        <v>0</v>
      </c>
      <c r="T135" s="26"/>
      <c r="U135" s="26"/>
      <c r="V135" s="31">
        <f t="shared" si="82"/>
        <v>0</v>
      </c>
      <c r="W135" s="26">
        <f t="shared" si="94"/>
        <v>0</v>
      </c>
      <c r="X135" s="36">
        <f t="shared" si="97"/>
        <v>0</v>
      </c>
      <c r="Y135" s="37" t="str">
        <f t="shared" si="83"/>
        <v/>
      </c>
      <c r="Z135" s="38"/>
      <c r="AA135" s="38"/>
      <c r="AB135" s="38"/>
      <c r="AC135" s="38"/>
      <c r="AD135" s="157">
        <f t="shared" si="75"/>
        <v>0</v>
      </c>
      <c r="AE135" s="34"/>
      <c r="AF135" s="35"/>
      <c r="AG135" s="40"/>
      <c r="AH135" s="44"/>
      <c r="AI135" s="13"/>
      <c r="AJ135" s="46"/>
      <c r="AK135" s="45"/>
      <c r="AL135" s="23"/>
      <c r="AM135" s="138"/>
      <c r="AN135" s="25" t="str">
        <f t="shared" si="90"/>
        <v/>
      </c>
      <c r="AO135" s="50"/>
      <c r="AP135" s="53">
        <f t="shared" si="84"/>
        <v>0</v>
      </c>
      <c r="AQ135" s="53"/>
      <c r="AR135" s="119"/>
      <c r="AS135" s="56">
        <f t="shared" si="100"/>
        <v>0</v>
      </c>
      <c r="AT135" s="298"/>
      <c r="AU135" s="298">
        <f t="shared" si="74"/>
        <v>0</v>
      </c>
      <c r="AV135" s="357" t="str">
        <f t="shared" si="76"/>
        <v/>
      </c>
      <c r="AW135" s="18"/>
      <c r="AX135" s="18" t="str">
        <f>IF(AS135=0,"",SUMIFS($AS$8:AS135, $BH$8:BH135, BH135))</f>
        <v/>
      </c>
      <c r="AY135" s="57" t="str">
        <f t="shared" ca="1" si="93"/>
        <v>no drilling completed</v>
      </c>
      <c r="AZ135" s="15" t="str">
        <f t="shared" ca="1" si="85"/>
        <v>LINK</v>
      </c>
      <c r="BB135" s="14" t="s">
        <v>211</v>
      </c>
      <c r="BC135" t="str">
        <f t="shared" si="86"/>
        <v>25</v>
      </c>
      <c r="BD135" t="str">
        <f t="shared" si="101"/>
        <v>09</v>
      </c>
      <c r="BE135" s="98" t="str">
        <f t="shared" si="102"/>
        <v>08</v>
      </c>
      <c r="BF135" t="str">
        <f t="shared" si="87"/>
        <v>N</v>
      </c>
      <c r="BG135" t="str">
        <f t="shared" si="89"/>
        <v>https://www.coreplan.io/app/ddh1-drilling/speewah-mining-speewah-fluorite-project-wa/plods/1663-250908N</v>
      </c>
      <c r="BH135" t="str">
        <f t="shared" si="88"/>
        <v>2025-09</v>
      </c>
    </row>
    <row r="136" spans="1:60">
      <c r="A136" s="510" t="e">
        <f>VLOOKUP(F136,'Tenement Lookup'!A:BH,60,FALSE)</f>
        <v>#N/A</v>
      </c>
      <c r="C136" s="152" t="str">
        <f t="shared" si="98"/>
        <v/>
      </c>
      <c r="D136" s="1">
        <f t="shared" si="99"/>
        <v>45908.21</v>
      </c>
      <c r="E136" t="s">
        <v>171</v>
      </c>
      <c r="H136" s="4"/>
      <c r="I136" s="4"/>
      <c r="J136" s="5" t="str">
        <f t="shared" si="96"/>
        <v/>
      </c>
      <c r="K136" s="21"/>
      <c r="L136" s="28"/>
      <c r="M136" s="28">
        <f t="shared" si="92"/>
        <v>0</v>
      </c>
      <c r="N136" s="30"/>
      <c r="O136" s="26"/>
      <c r="P136" s="31">
        <f t="shared" si="80"/>
        <v>0</v>
      </c>
      <c r="Q136" s="21"/>
      <c r="R136" s="28"/>
      <c r="S136" s="22">
        <f t="shared" si="81"/>
        <v>0</v>
      </c>
      <c r="T136" s="26"/>
      <c r="U136" s="26"/>
      <c r="V136" s="31">
        <f t="shared" si="82"/>
        <v>0</v>
      </c>
      <c r="W136" s="26">
        <f t="shared" si="94"/>
        <v>0</v>
      </c>
      <c r="X136" s="36">
        <f t="shared" si="97"/>
        <v>0</v>
      </c>
      <c r="Y136" s="37" t="str">
        <f t="shared" si="83"/>
        <v/>
      </c>
      <c r="Z136" s="38"/>
      <c r="AA136" s="38"/>
      <c r="AB136" s="38"/>
      <c r="AC136" s="38"/>
      <c r="AD136" s="157">
        <f t="shared" si="75"/>
        <v>0</v>
      </c>
      <c r="AE136" s="34"/>
      <c r="AF136" s="35"/>
      <c r="AG136" s="40"/>
      <c r="AH136" s="44"/>
      <c r="AI136" s="13"/>
      <c r="AJ136" s="46"/>
      <c r="AK136" s="45"/>
      <c r="AL136" s="23"/>
      <c r="AM136" s="138"/>
      <c r="AN136" s="25" t="str">
        <f t="shared" si="90"/>
        <v/>
      </c>
      <c r="AO136" s="50"/>
      <c r="AP136" s="53">
        <f t="shared" si="84"/>
        <v>0</v>
      </c>
      <c r="AQ136" s="53"/>
      <c r="AR136" s="119"/>
      <c r="AS136" s="56">
        <f t="shared" si="100"/>
        <v>0</v>
      </c>
      <c r="AT136" s="298"/>
      <c r="AU136" s="298">
        <f t="shared" si="74"/>
        <v>0</v>
      </c>
      <c r="AV136" s="357" t="str">
        <f t="shared" si="76"/>
        <v/>
      </c>
      <c r="AW136" s="18"/>
      <c r="AX136" s="18" t="str">
        <f>IF(AS136=0,"",SUMIFS($AS$8:AS136, $BH$8:BH136, BH136))</f>
        <v/>
      </c>
      <c r="AY136" s="57" t="str">
        <f t="shared" ca="1" si="93"/>
        <v>no drilling completed</v>
      </c>
      <c r="AZ136" s="15" t="str">
        <f t="shared" ca="1" si="85"/>
        <v>LINK</v>
      </c>
      <c r="BB136" s="14" t="s">
        <v>211</v>
      </c>
      <c r="BC136" t="str">
        <f t="shared" si="86"/>
        <v>25</v>
      </c>
      <c r="BD136" t="str">
        <f t="shared" si="101"/>
        <v>09</v>
      </c>
      <c r="BE136" s="98" t="str">
        <f t="shared" si="102"/>
        <v>09</v>
      </c>
      <c r="BF136" t="str">
        <f t="shared" si="87"/>
        <v>D</v>
      </c>
      <c r="BG136" t="str">
        <f t="shared" si="89"/>
        <v>https://www.coreplan.io/app/ddh1-drilling/speewah-mining-speewah-fluorite-project-wa/plods/1663-250909D</v>
      </c>
      <c r="BH136" t="str">
        <f t="shared" si="88"/>
        <v>2025-09</v>
      </c>
    </row>
    <row r="137" spans="1:60">
      <c r="A137" s="510" t="e">
        <f>VLOOKUP(F137,'Tenement Lookup'!A:BH,60,FALSE)</f>
        <v>#N/A</v>
      </c>
      <c r="C137" s="152" t="str">
        <f t="shared" si="98"/>
        <v/>
      </c>
      <c r="D137" s="1">
        <f t="shared" si="99"/>
        <v>45908.71</v>
      </c>
      <c r="E137" t="s">
        <v>172</v>
      </c>
      <c r="H137" s="4"/>
      <c r="I137" s="4"/>
      <c r="J137" s="5" t="str">
        <f t="shared" si="96"/>
        <v/>
      </c>
      <c r="K137" s="21"/>
      <c r="L137" s="28"/>
      <c r="M137" s="28">
        <f t="shared" si="92"/>
        <v>0</v>
      </c>
      <c r="N137" s="30"/>
      <c r="O137" s="26"/>
      <c r="P137" s="31">
        <f t="shared" si="80"/>
        <v>0</v>
      </c>
      <c r="Q137" s="21"/>
      <c r="R137" s="28"/>
      <c r="S137" s="22">
        <f t="shared" si="81"/>
        <v>0</v>
      </c>
      <c r="T137" s="26"/>
      <c r="U137" s="26"/>
      <c r="V137" s="31">
        <f t="shared" si="82"/>
        <v>0</v>
      </c>
      <c r="W137" s="26">
        <f t="shared" si="94"/>
        <v>0</v>
      </c>
      <c r="X137" s="36">
        <f t="shared" si="97"/>
        <v>0</v>
      </c>
      <c r="Y137" s="37" t="str">
        <f t="shared" si="83"/>
        <v/>
      </c>
      <c r="Z137" s="38"/>
      <c r="AA137" s="38"/>
      <c r="AB137" s="38"/>
      <c r="AC137" s="38"/>
      <c r="AD137" s="157">
        <f t="shared" si="75"/>
        <v>0</v>
      </c>
      <c r="AE137" s="34"/>
      <c r="AF137" s="35"/>
      <c r="AG137" s="40"/>
      <c r="AH137" s="44"/>
      <c r="AI137" s="13"/>
      <c r="AJ137" s="46"/>
      <c r="AK137" s="45"/>
      <c r="AL137" s="23"/>
      <c r="AM137" s="138"/>
      <c r="AN137" s="25" t="str">
        <f t="shared" si="90"/>
        <v/>
      </c>
      <c r="AO137" s="50"/>
      <c r="AP137" s="53">
        <f t="shared" si="84"/>
        <v>0</v>
      </c>
      <c r="AQ137" s="53"/>
      <c r="AR137" s="119"/>
      <c r="AS137" s="56">
        <f t="shared" si="100"/>
        <v>0</v>
      </c>
      <c r="AT137" s="298"/>
      <c r="AU137" s="298">
        <f t="shared" ref="AU137:AU200" si="103">SUM(AR137,AD137,Y137,J137)</f>
        <v>0</v>
      </c>
      <c r="AV137" s="357" t="str">
        <f t="shared" si="76"/>
        <v/>
      </c>
      <c r="AW137" s="18"/>
      <c r="AX137" s="18" t="str">
        <f>IF(AS137=0,"",SUMIFS($AS$8:AS137, $BH$8:BH137, BH137))</f>
        <v/>
      </c>
      <c r="AY137" s="57" t="str">
        <f t="shared" ca="1" si="93"/>
        <v>no drilling completed</v>
      </c>
      <c r="AZ137" s="15" t="str">
        <f t="shared" ca="1" si="85"/>
        <v>LINK</v>
      </c>
      <c r="BB137" s="14" t="s">
        <v>211</v>
      </c>
      <c r="BC137" t="str">
        <f t="shared" si="86"/>
        <v>25</v>
      </c>
      <c r="BD137" t="str">
        <f t="shared" si="101"/>
        <v>09</v>
      </c>
      <c r="BE137" s="98" t="str">
        <f t="shared" si="102"/>
        <v>09</v>
      </c>
      <c r="BF137" t="str">
        <f t="shared" si="87"/>
        <v>N</v>
      </c>
      <c r="BG137" t="str">
        <f t="shared" si="89"/>
        <v>https://www.coreplan.io/app/ddh1-drilling/speewah-mining-speewah-fluorite-project-wa/plods/1663-250909N</v>
      </c>
      <c r="BH137" t="str">
        <f t="shared" si="88"/>
        <v>2025-09</v>
      </c>
    </row>
    <row r="138" spans="1:60">
      <c r="A138" s="510" t="e">
        <f>VLOOKUP(F138,'Tenement Lookup'!A:BH,60,FALSE)</f>
        <v>#N/A</v>
      </c>
      <c r="C138" s="152" t="str">
        <f t="shared" si="98"/>
        <v/>
      </c>
      <c r="D138" s="1">
        <f t="shared" si="99"/>
        <v>45909.21</v>
      </c>
      <c r="E138" t="s">
        <v>171</v>
      </c>
      <c r="H138" s="4"/>
      <c r="I138" s="4"/>
      <c r="J138" s="5" t="str">
        <f t="shared" si="96"/>
        <v/>
      </c>
      <c r="K138" s="21"/>
      <c r="L138" s="28"/>
      <c r="M138" s="28">
        <f t="shared" si="92"/>
        <v>0</v>
      </c>
      <c r="N138" s="30"/>
      <c r="O138" s="26"/>
      <c r="P138" s="31">
        <f t="shared" si="80"/>
        <v>0</v>
      </c>
      <c r="Q138" s="21"/>
      <c r="R138" s="28"/>
      <c r="S138" s="22">
        <f t="shared" si="81"/>
        <v>0</v>
      </c>
      <c r="T138" s="26"/>
      <c r="U138" s="26"/>
      <c r="V138" s="31">
        <f t="shared" si="82"/>
        <v>0</v>
      </c>
      <c r="W138" s="26">
        <f t="shared" si="94"/>
        <v>0</v>
      </c>
      <c r="X138" s="36">
        <f t="shared" si="97"/>
        <v>0</v>
      </c>
      <c r="Y138" s="37" t="str">
        <f t="shared" si="83"/>
        <v/>
      </c>
      <c r="Z138" s="38"/>
      <c r="AA138" s="38"/>
      <c r="AB138" s="38"/>
      <c r="AC138" s="38"/>
      <c r="AD138" s="157">
        <f t="shared" si="75"/>
        <v>0</v>
      </c>
      <c r="AE138" s="34"/>
      <c r="AF138" s="35"/>
      <c r="AG138" s="40"/>
      <c r="AH138" s="44"/>
      <c r="AI138" s="13"/>
      <c r="AJ138" s="46"/>
      <c r="AK138" s="45"/>
      <c r="AL138" s="23"/>
      <c r="AM138" s="138"/>
      <c r="AN138" s="25" t="str">
        <f t="shared" si="90"/>
        <v/>
      </c>
      <c r="AO138" s="50"/>
      <c r="AP138" s="53">
        <f t="shared" si="84"/>
        <v>0</v>
      </c>
      <c r="AQ138" s="53"/>
      <c r="AR138" s="119"/>
      <c r="AS138" s="56">
        <f t="shared" si="100"/>
        <v>0</v>
      </c>
      <c r="AT138" s="298"/>
      <c r="AU138" s="298">
        <f t="shared" si="103"/>
        <v>0</v>
      </c>
      <c r="AV138" s="357" t="str">
        <f t="shared" si="76"/>
        <v/>
      </c>
      <c r="AW138" s="18"/>
      <c r="AX138" s="18" t="str">
        <f>IF(AS138=0,"",SUMIFS($AS$8:AS138, $BH$8:BH138, BH138))</f>
        <v/>
      </c>
      <c r="AY138" s="57" t="str">
        <f t="shared" ca="1" si="93"/>
        <v>no drilling completed</v>
      </c>
      <c r="AZ138" s="15" t="str">
        <f t="shared" ca="1" si="85"/>
        <v>LINK</v>
      </c>
      <c r="BB138" s="14" t="s">
        <v>211</v>
      </c>
      <c r="BC138" t="str">
        <f t="shared" si="86"/>
        <v>25</v>
      </c>
      <c r="BD138" t="str">
        <f t="shared" si="101"/>
        <v>09</v>
      </c>
      <c r="BE138" s="98">
        <f t="shared" si="102"/>
        <v>10</v>
      </c>
      <c r="BF138" t="str">
        <f t="shared" si="87"/>
        <v>D</v>
      </c>
      <c r="BG138" t="str">
        <f t="shared" si="89"/>
        <v>https://www.coreplan.io/app/ddh1-drilling/speewah-mining-speewah-fluorite-project-wa/plods/1663-250910D</v>
      </c>
      <c r="BH138" t="str">
        <f t="shared" si="88"/>
        <v>2025-09</v>
      </c>
    </row>
    <row r="139" spans="1:60">
      <c r="A139" s="510" t="e">
        <f>VLOOKUP(F139,'Tenement Lookup'!A:BH,60,FALSE)</f>
        <v>#N/A</v>
      </c>
      <c r="C139" s="152" t="str">
        <f t="shared" si="98"/>
        <v/>
      </c>
      <c r="D139" s="1">
        <f t="shared" si="99"/>
        <v>45909.71</v>
      </c>
      <c r="E139" t="s">
        <v>172</v>
      </c>
      <c r="H139" s="4"/>
      <c r="I139" s="4"/>
      <c r="J139" s="5" t="str">
        <f t="shared" si="96"/>
        <v/>
      </c>
      <c r="K139" s="21"/>
      <c r="L139" s="28"/>
      <c r="M139" s="28">
        <f t="shared" si="92"/>
        <v>0</v>
      </c>
      <c r="N139" s="30"/>
      <c r="O139" s="26"/>
      <c r="P139" s="31">
        <f t="shared" si="80"/>
        <v>0</v>
      </c>
      <c r="Q139" s="21"/>
      <c r="R139" s="28"/>
      <c r="S139" s="22">
        <f t="shared" si="81"/>
        <v>0</v>
      </c>
      <c r="T139" s="26"/>
      <c r="U139" s="26"/>
      <c r="V139" s="31">
        <f t="shared" si="82"/>
        <v>0</v>
      </c>
      <c r="W139" s="26">
        <f t="shared" si="94"/>
        <v>0</v>
      </c>
      <c r="X139" s="36">
        <f t="shared" si="97"/>
        <v>0</v>
      </c>
      <c r="Y139" s="37" t="str">
        <f t="shared" si="83"/>
        <v/>
      </c>
      <c r="Z139" s="38"/>
      <c r="AA139" s="38"/>
      <c r="AB139" s="38"/>
      <c r="AC139" s="38"/>
      <c r="AD139" s="157">
        <f t="shared" ref="AD139:AD202" si="104">SUMPRODUCT(Z139:AB139,$Z$2:$AB$2)</f>
        <v>0</v>
      </c>
      <c r="AE139" s="34"/>
      <c r="AF139" s="35"/>
      <c r="AG139" s="40"/>
      <c r="AH139" s="44"/>
      <c r="AI139" s="13"/>
      <c r="AJ139" s="46"/>
      <c r="AK139" s="45"/>
      <c r="AL139" s="23"/>
      <c r="AM139" s="138"/>
      <c r="AN139" s="25" t="str">
        <f t="shared" si="90"/>
        <v/>
      </c>
      <c r="AO139" s="50"/>
      <c r="AP139" s="53">
        <f t="shared" si="84"/>
        <v>0</v>
      </c>
      <c r="AQ139" s="53"/>
      <c r="AR139" s="119"/>
      <c r="AS139" s="56">
        <f t="shared" si="100"/>
        <v>0</v>
      </c>
      <c r="AT139" s="298"/>
      <c r="AU139" s="298">
        <f t="shared" si="103"/>
        <v>0</v>
      </c>
      <c r="AV139" s="357" t="str">
        <f t="shared" ref="AV139:AV202" si="105">IFERROR((AS139-AU139)/AS139,"")</f>
        <v/>
      </c>
      <c r="AW139" s="18"/>
      <c r="AX139" s="18" t="str">
        <f>IF(AS139=0,"",SUMIFS($AS$8:AS139, $BH$8:BH139, BH139))</f>
        <v/>
      </c>
      <c r="AY139" s="57" t="str">
        <f t="shared" ca="1" si="93"/>
        <v>no drilling completed</v>
      </c>
      <c r="AZ139" s="15" t="str">
        <f t="shared" ca="1" si="85"/>
        <v>LINK</v>
      </c>
      <c r="BB139" s="14" t="s">
        <v>211</v>
      </c>
      <c r="BC139" t="str">
        <f t="shared" si="86"/>
        <v>25</v>
      </c>
      <c r="BD139" t="str">
        <f t="shared" si="101"/>
        <v>09</v>
      </c>
      <c r="BE139" s="98">
        <f t="shared" si="102"/>
        <v>10</v>
      </c>
      <c r="BF139" t="str">
        <f t="shared" si="87"/>
        <v>N</v>
      </c>
      <c r="BG139" t="str">
        <f t="shared" si="89"/>
        <v>https://www.coreplan.io/app/ddh1-drilling/speewah-mining-speewah-fluorite-project-wa/plods/1663-250910N</v>
      </c>
      <c r="BH139" t="str">
        <f t="shared" si="88"/>
        <v>2025-09</v>
      </c>
    </row>
    <row r="140" spans="1:60">
      <c r="A140" s="510" t="e">
        <f>VLOOKUP(F140,'Tenement Lookup'!A:BH,60,FALSE)</f>
        <v>#N/A</v>
      </c>
      <c r="C140" s="152" t="str">
        <f t="shared" si="98"/>
        <v/>
      </c>
      <c r="D140" s="1">
        <f t="shared" si="99"/>
        <v>45910.21</v>
      </c>
      <c r="E140" t="s">
        <v>171</v>
      </c>
      <c r="H140" s="4"/>
      <c r="I140" s="4"/>
      <c r="J140" s="5" t="str">
        <f t="shared" si="96"/>
        <v/>
      </c>
      <c r="K140" s="21"/>
      <c r="L140" s="28"/>
      <c r="M140" s="28">
        <f t="shared" si="92"/>
        <v>0</v>
      </c>
      <c r="N140" s="30"/>
      <c r="O140" s="26"/>
      <c r="P140" s="31">
        <f t="shared" si="80"/>
        <v>0</v>
      </c>
      <c r="Q140" s="21"/>
      <c r="R140" s="28"/>
      <c r="S140" s="22">
        <f t="shared" si="81"/>
        <v>0</v>
      </c>
      <c r="T140" s="26"/>
      <c r="U140" s="26"/>
      <c r="V140" s="31">
        <f t="shared" si="82"/>
        <v>0</v>
      </c>
      <c r="W140" s="26">
        <f t="shared" si="94"/>
        <v>0</v>
      </c>
      <c r="X140" s="36">
        <f t="shared" si="97"/>
        <v>0</v>
      </c>
      <c r="Y140" s="37" t="str">
        <f t="shared" si="83"/>
        <v/>
      </c>
      <c r="Z140" s="38"/>
      <c r="AA140" s="38"/>
      <c r="AB140" s="38"/>
      <c r="AC140" s="38"/>
      <c r="AD140" s="157">
        <f t="shared" si="104"/>
        <v>0</v>
      </c>
      <c r="AE140" s="34"/>
      <c r="AF140" s="35"/>
      <c r="AG140" s="40"/>
      <c r="AH140" s="44"/>
      <c r="AI140" s="13"/>
      <c r="AJ140" s="46"/>
      <c r="AK140" s="45"/>
      <c r="AL140" s="23"/>
      <c r="AM140" s="138"/>
      <c r="AN140" s="25" t="str">
        <f t="shared" si="90"/>
        <v/>
      </c>
      <c r="AO140" s="50"/>
      <c r="AP140" s="53">
        <f t="shared" si="84"/>
        <v>0</v>
      </c>
      <c r="AQ140" s="53"/>
      <c r="AR140" s="119"/>
      <c r="AS140" s="56">
        <f t="shared" si="100"/>
        <v>0</v>
      </c>
      <c r="AT140" s="298"/>
      <c r="AU140" s="298">
        <f t="shared" si="103"/>
        <v>0</v>
      </c>
      <c r="AV140" s="357" t="str">
        <f t="shared" si="105"/>
        <v/>
      </c>
      <c r="AW140" s="18"/>
      <c r="AX140" s="18" t="str">
        <f>IF(AS140=0,"",SUMIFS($AS$8:AS140, $BH$8:BH140, BH140))</f>
        <v/>
      </c>
      <c r="AY140" s="57" t="str">
        <f t="shared" ca="1" si="93"/>
        <v>no drilling completed</v>
      </c>
      <c r="AZ140" s="15" t="str">
        <f t="shared" ca="1" si="85"/>
        <v>LINK</v>
      </c>
      <c r="BB140" s="14" t="s">
        <v>211</v>
      </c>
      <c r="BC140" t="str">
        <f t="shared" si="86"/>
        <v>25</v>
      </c>
      <c r="BD140" t="str">
        <f t="shared" si="101"/>
        <v>09</v>
      </c>
      <c r="BE140" s="98">
        <f t="shared" si="102"/>
        <v>11</v>
      </c>
      <c r="BF140" t="str">
        <f t="shared" si="87"/>
        <v>D</v>
      </c>
      <c r="BG140" t="str">
        <f t="shared" si="89"/>
        <v>https://www.coreplan.io/app/ddh1-drilling/speewah-mining-speewah-fluorite-project-wa/plods/1663-250911D</v>
      </c>
      <c r="BH140" t="str">
        <f t="shared" si="88"/>
        <v>2025-09</v>
      </c>
    </row>
    <row r="141" spans="1:60">
      <c r="A141" s="510" t="e">
        <f>VLOOKUP(F141,'Tenement Lookup'!A:BH,60,FALSE)</f>
        <v>#N/A</v>
      </c>
      <c r="C141" s="152" t="str">
        <f t="shared" si="98"/>
        <v/>
      </c>
      <c r="D141" s="1">
        <f t="shared" si="99"/>
        <v>45910.71</v>
      </c>
      <c r="E141" t="s">
        <v>172</v>
      </c>
      <c r="H141" s="4"/>
      <c r="I141" s="4"/>
      <c r="J141" s="5" t="str">
        <f t="shared" si="96"/>
        <v/>
      </c>
      <c r="K141" s="21"/>
      <c r="L141" s="28"/>
      <c r="M141" s="28">
        <f t="shared" si="92"/>
        <v>0</v>
      </c>
      <c r="N141" s="30"/>
      <c r="O141" s="26"/>
      <c r="P141" s="31">
        <f t="shared" si="80"/>
        <v>0</v>
      </c>
      <c r="Q141" s="21"/>
      <c r="R141" s="28"/>
      <c r="S141" s="22">
        <f t="shared" si="81"/>
        <v>0</v>
      </c>
      <c r="T141" s="26"/>
      <c r="U141" s="26"/>
      <c r="V141" s="31">
        <f t="shared" si="82"/>
        <v>0</v>
      </c>
      <c r="W141" s="26">
        <f t="shared" si="94"/>
        <v>0</v>
      </c>
      <c r="X141" s="36">
        <f t="shared" si="97"/>
        <v>0</v>
      </c>
      <c r="Y141" s="37" t="str">
        <f t="shared" si="83"/>
        <v/>
      </c>
      <c r="Z141" s="38"/>
      <c r="AA141" s="38"/>
      <c r="AB141" s="38"/>
      <c r="AC141" s="38"/>
      <c r="AD141" s="157">
        <f t="shared" si="104"/>
        <v>0</v>
      </c>
      <c r="AE141" s="34"/>
      <c r="AF141" s="35"/>
      <c r="AG141" s="40"/>
      <c r="AH141" s="44"/>
      <c r="AI141" s="13"/>
      <c r="AJ141" s="46"/>
      <c r="AK141" s="45"/>
      <c r="AL141" s="23"/>
      <c r="AM141" s="138"/>
      <c r="AN141" s="25" t="str">
        <f t="shared" si="90"/>
        <v/>
      </c>
      <c r="AO141" s="50"/>
      <c r="AP141" s="53">
        <f t="shared" si="84"/>
        <v>0</v>
      </c>
      <c r="AQ141" s="53"/>
      <c r="AR141" s="119"/>
      <c r="AS141" s="56">
        <f t="shared" si="100"/>
        <v>0</v>
      </c>
      <c r="AT141" s="298"/>
      <c r="AU141" s="298">
        <f t="shared" si="103"/>
        <v>0</v>
      </c>
      <c r="AV141" s="357" t="str">
        <f t="shared" si="105"/>
        <v/>
      </c>
      <c r="AW141" s="18"/>
      <c r="AX141" s="18" t="str">
        <f>IF(AS141=0,"",SUMIFS($AS$8:AS141, $BH$8:BH141, BH141))</f>
        <v/>
      </c>
      <c r="AY141" s="57" t="str">
        <f t="shared" ca="1" si="93"/>
        <v>no drilling completed</v>
      </c>
      <c r="AZ141" s="15" t="str">
        <f t="shared" ca="1" si="85"/>
        <v>LINK</v>
      </c>
      <c r="BB141" s="14" t="s">
        <v>211</v>
      </c>
      <c r="BC141" t="str">
        <f t="shared" si="86"/>
        <v>25</v>
      </c>
      <c r="BD141" t="str">
        <f t="shared" si="101"/>
        <v>09</v>
      </c>
      <c r="BE141" s="98">
        <f t="shared" si="102"/>
        <v>11</v>
      </c>
      <c r="BF141" t="str">
        <f t="shared" si="87"/>
        <v>N</v>
      </c>
      <c r="BG141" t="str">
        <f t="shared" si="89"/>
        <v>https://www.coreplan.io/app/ddh1-drilling/speewah-mining-speewah-fluorite-project-wa/plods/1663-250911N</v>
      </c>
      <c r="BH141" t="str">
        <f t="shared" si="88"/>
        <v>2025-09</v>
      </c>
    </row>
    <row r="142" spans="1:60">
      <c r="A142" s="510" t="e">
        <f>VLOOKUP(F142,'Tenement Lookup'!A:BH,60,FALSE)</f>
        <v>#N/A</v>
      </c>
      <c r="C142" s="152" t="str">
        <f t="shared" si="98"/>
        <v/>
      </c>
      <c r="D142" s="1">
        <f t="shared" si="99"/>
        <v>45911.21</v>
      </c>
      <c r="E142" t="s">
        <v>171</v>
      </c>
      <c r="H142" s="4"/>
      <c r="I142" s="4"/>
      <c r="J142" s="5" t="str">
        <f t="shared" si="96"/>
        <v/>
      </c>
      <c r="K142" s="21"/>
      <c r="L142" s="28"/>
      <c r="M142" s="28">
        <f t="shared" si="92"/>
        <v>0</v>
      </c>
      <c r="N142" s="30"/>
      <c r="O142" s="26"/>
      <c r="P142" s="31">
        <f t="shared" si="80"/>
        <v>0</v>
      </c>
      <c r="Q142" s="21"/>
      <c r="R142" s="28"/>
      <c r="S142" s="22">
        <f t="shared" si="81"/>
        <v>0</v>
      </c>
      <c r="T142" s="26"/>
      <c r="U142" s="26"/>
      <c r="V142" s="31">
        <f t="shared" si="82"/>
        <v>0</v>
      </c>
      <c r="W142" s="26">
        <f t="shared" si="94"/>
        <v>0</v>
      </c>
      <c r="X142" s="36">
        <f t="shared" si="97"/>
        <v>0</v>
      </c>
      <c r="Y142" s="37" t="str">
        <f t="shared" si="83"/>
        <v/>
      </c>
      <c r="Z142" s="38"/>
      <c r="AA142" s="38"/>
      <c r="AB142" s="38"/>
      <c r="AC142" s="38"/>
      <c r="AD142" s="157">
        <f t="shared" si="104"/>
        <v>0</v>
      </c>
      <c r="AE142" s="34"/>
      <c r="AF142" s="35"/>
      <c r="AG142" s="40"/>
      <c r="AH142" s="44"/>
      <c r="AI142" s="13"/>
      <c r="AJ142" s="46"/>
      <c r="AK142" s="45"/>
      <c r="AL142" s="23"/>
      <c r="AM142" s="138"/>
      <c r="AN142" s="25" t="str">
        <f t="shared" si="90"/>
        <v/>
      </c>
      <c r="AO142" s="50"/>
      <c r="AP142" s="53">
        <f t="shared" si="84"/>
        <v>0</v>
      </c>
      <c r="AQ142" s="53"/>
      <c r="AR142" s="119"/>
      <c r="AS142" s="56">
        <f t="shared" si="100"/>
        <v>0</v>
      </c>
      <c r="AT142" s="298"/>
      <c r="AU142" s="298">
        <f t="shared" si="103"/>
        <v>0</v>
      </c>
      <c r="AV142" s="357" t="str">
        <f t="shared" si="105"/>
        <v/>
      </c>
      <c r="AW142" s="18"/>
      <c r="AX142" s="18" t="str">
        <f>IF(AS142=0,"",SUMIFS($AS$8:AS142, $BH$8:BH142, BH142))</f>
        <v/>
      </c>
      <c r="AY142" s="57" t="str">
        <f t="shared" ca="1" si="93"/>
        <v>no drilling completed</v>
      </c>
      <c r="AZ142" s="15" t="str">
        <f t="shared" ca="1" si="85"/>
        <v>LINK</v>
      </c>
      <c r="BB142" s="14" t="s">
        <v>211</v>
      </c>
      <c r="BC142" t="str">
        <f t="shared" si="86"/>
        <v>25</v>
      </c>
      <c r="BD142" t="str">
        <f t="shared" si="101"/>
        <v>09</v>
      </c>
      <c r="BE142" s="98">
        <f t="shared" si="102"/>
        <v>12</v>
      </c>
      <c r="BF142" t="str">
        <f t="shared" si="87"/>
        <v>D</v>
      </c>
      <c r="BG142" t="str">
        <f t="shared" si="89"/>
        <v>https://www.coreplan.io/app/ddh1-drilling/speewah-mining-speewah-fluorite-project-wa/plods/1663-250912D</v>
      </c>
      <c r="BH142" t="str">
        <f t="shared" si="88"/>
        <v>2025-09</v>
      </c>
    </row>
    <row r="143" spans="1:60">
      <c r="A143" s="510" t="e">
        <f>VLOOKUP(F143,'Tenement Lookup'!A:BH,60,FALSE)</f>
        <v>#N/A</v>
      </c>
      <c r="C143" s="152" t="str">
        <f t="shared" si="98"/>
        <v/>
      </c>
      <c r="D143" s="1">
        <f t="shared" si="99"/>
        <v>45911.71</v>
      </c>
      <c r="E143" t="s">
        <v>172</v>
      </c>
      <c r="H143" s="4"/>
      <c r="I143" s="4"/>
      <c r="J143" s="5" t="str">
        <f t="shared" si="96"/>
        <v/>
      </c>
      <c r="K143" s="21"/>
      <c r="L143" s="28"/>
      <c r="M143" s="28">
        <f t="shared" si="92"/>
        <v>0</v>
      </c>
      <c r="N143" s="30"/>
      <c r="O143" s="26"/>
      <c r="P143" s="31">
        <f t="shared" si="80"/>
        <v>0</v>
      </c>
      <c r="Q143" s="21"/>
      <c r="R143" s="28"/>
      <c r="S143" s="22">
        <f t="shared" si="81"/>
        <v>0</v>
      </c>
      <c r="T143" s="26"/>
      <c r="U143" s="26"/>
      <c r="V143" s="31">
        <f t="shared" si="82"/>
        <v>0</v>
      </c>
      <c r="W143" s="26">
        <f t="shared" si="94"/>
        <v>0</v>
      </c>
      <c r="X143" s="36">
        <f t="shared" si="97"/>
        <v>0</v>
      </c>
      <c r="Y143" s="37" t="str">
        <f t="shared" si="83"/>
        <v/>
      </c>
      <c r="Z143" s="38"/>
      <c r="AA143" s="38"/>
      <c r="AB143" s="38"/>
      <c r="AC143" s="38"/>
      <c r="AD143" s="157">
        <f t="shared" si="104"/>
        <v>0</v>
      </c>
      <c r="AE143" s="34"/>
      <c r="AF143" s="35"/>
      <c r="AG143" s="40"/>
      <c r="AH143" s="44"/>
      <c r="AI143" s="13"/>
      <c r="AJ143" s="46"/>
      <c r="AK143" s="45"/>
      <c r="AL143" s="23"/>
      <c r="AM143" s="138"/>
      <c r="AN143" s="25" t="str">
        <f t="shared" si="90"/>
        <v/>
      </c>
      <c r="AO143" s="50"/>
      <c r="AP143" s="53">
        <f t="shared" si="84"/>
        <v>0</v>
      </c>
      <c r="AQ143" s="53"/>
      <c r="AR143" s="119"/>
      <c r="AS143" s="56">
        <f t="shared" si="100"/>
        <v>0</v>
      </c>
      <c r="AT143" s="298"/>
      <c r="AU143" s="298">
        <f t="shared" si="103"/>
        <v>0</v>
      </c>
      <c r="AV143" s="357" t="str">
        <f t="shared" si="105"/>
        <v/>
      </c>
      <c r="AW143" s="18"/>
      <c r="AX143" s="18" t="str">
        <f>IF(AS143=0,"",SUMIFS($AS$8:AS143, $BH$8:BH143, BH143))</f>
        <v/>
      </c>
      <c r="AY143" s="57" t="str">
        <f t="shared" ca="1" si="93"/>
        <v>no drilling completed</v>
      </c>
      <c r="AZ143" s="15" t="str">
        <f t="shared" ca="1" si="85"/>
        <v>LINK</v>
      </c>
      <c r="BB143" s="14" t="s">
        <v>211</v>
      </c>
      <c r="BC143" t="str">
        <f t="shared" si="86"/>
        <v>25</v>
      </c>
      <c r="BD143" t="str">
        <f t="shared" si="101"/>
        <v>09</v>
      </c>
      <c r="BE143" s="98">
        <f t="shared" si="102"/>
        <v>12</v>
      </c>
      <c r="BF143" t="str">
        <f t="shared" si="87"/>
        <v>N</v>
      </c>
      <c r="BG143" t="str">
        <f t="shared" si="89"/>
        <v>https://www.coreplan.io/app/ddh1-drilling/speewah-mining-speewah-fluorite-project-wa/plods/1663-250912N</v>
      </c>
      <c r="BH143" t="str">
        <f t="shared" si="88"/>
        <v>2025-09</v>
      </c>
    </row>
    <row r="144" spans="1:60">
      <c r="A144" s="510" t="e">
        <f>VLOOKUP(F144,'Tenement Lookup'!A:BH,60,FALSE)</f>
        <v>#N/A</v>
      </c>
      <c r="C144" s="152" t="str">
        <f t="shared" si="98"/>
        <v/>
      </c>
      <c r="D144" s="1">
        <f t="shared" si="99"/>
        <v>45912.21</v>
      </c>
      <c r="E144" t="s">
        <v>171</v>
      </c>
      <c r="H144" s="4"/>
      <c r="I144" s="4"/>
      <c r="J144" s="5" t="str">
        <f t="shared" si="96"/>
        <v/>
      </c>
      <c r="K144" s="21"/>
      <c r="L144" s="28"/>
      <c r="M144" s="28">
        <f t="shared" si="92"/>
        <v>0</v>
      </c>
      <c r="N144" s="30"/>
      <c r="O144" s="26"/>
      <c r="P144" s="31">
        <f t="shared" si="80"/>
        <v>0</v>
      </c>
      <c r="Q144" s="21"/>
      <c r="R144" s="28"/>
      <c r="S144" s="22">
        <f t="shared" si="81"/>
        <v>0</v>
      </c>
      <c r="T144" s="26"/>
      <c r="U144" s="26"/>
      <c r="V144" s="31">
        <f t="shared" si="82"/>
        <v>0</v>
      </c>
      <c r="W144" s="26">
        <f t="shared" si="94"/>
        <v>0</v>
      </c>
      <c r="X144" s="36">
        <f t="shared" si="97"/>
        <v>0</v>
      </c>
      <c r="Y144" s="37" t="str">
        <f t="shared" si="83"/>
        <v/>
      </c>
      <c r="Z144" s="38"/>
      <c r="AA144" s="38"/>
      <c r="AB144" s="38"/>
      <c r="AC144" s="38"/>
      <c r="AD144" s="157">
        <f t="shared" si="104"/>
        <v>0</v>
      </c>
      <c r="AE144" s="34"/>
      <c r="AF144" s="35"/>
      <c r="AG144" s="40"/>
      <c r="AH144" s="44"/>
      <c r="AI144" s="13"/>
      <c r="AJ144" s="46"/>
      <c r="AK144" s="45"/>
      <c r="AL144" s="23"/>
      <c r="AM144" s="138"/>
      <c r="AN144" s="25" t="str">
        <f t="shared" si="90"/>
        <v/>
      </c>
      <c r="AO144" s="50"/>
      <c r="AP144" s="53">
        <f t="shared" si="84"/>
        <v>0</v>
      </c>
      <c r="AQ144" s="53"/>
      <c r="AR144" s="119"/>
      <c r="AS144" s="56">
        <f t="shared" si="100"/>
        <v>0</v>
      </c>
      <c r="AT144" s="298"/>
      <c r="AU144" s="298">
        <f t="shared" si="103"/>
        <v>0</v>
      </c>
      <c r="AV144" s="357" t="str">
        <f t="shared" si="105"/>
        <v/>
      </c>
      <c r="AW144" s="18"/>
      <c r="AX144" s="18" t="str">
        <f>IF(AS144=0,"",SUMIFS($AS$8:AS144, $BH$8:BH144, BH144))</f>
        <v/>
      </c>
      <c r="AY144" s="57" t="str">
        <f t="shared" ca="1" si="93"/>
        <v>no drilling completed</v>
      </c>
      <c r="AZ144" s="15" t="str">
        <f t="shared" ca="1" si="85"/>
        <v>LINK</v>
      </c>
      <c r="BB144" s="14" t="s">
        <v>211</v>
      </c>
      <c r="BC144" t="str">
        <f t="shared" si="86"/>
        <v>25</v>
      </c>
      <c r="BD144" t="str">
        <f t="shared" si="101"/>
        <v>09</v>
      </c>
      <c r="BE144" s="98">
        <f t="shared" si="102"/>
        <v>13</v>
      </c>
      <c r="BF144" t="str">
        <f t="shared" si="87"/>
        <v>D</v>
      </c>
      <c r="BG144" t="str">
        <f t="shared" si="89"/>
        <v>https://www.coreplan.io/app/ddh1-drilling/speewah-mining-speewah-fluorite-project-wa/plods/1663-250913D</v>
      </c>
      <c r="BH144" t="str">
        <f t="shared" si="88"/>
        <v>2025-09</v>
      </c>
    </row>
    <row r="145" spans="1:60">
      <c r="A145" s="510" t="e">
        <f>VLOOKUP(F145,'Tenement Lookup'!A:BH,60,FALSE)</f>
        <v>#N/A</v>
      </c>
      <c r="C145" s="152" t="str">
        <f t="shared" si="98"/>
        <v/>
      </c>
      <c r="D145" s="1">
        <f t="shared" si="99"/>
        <v>45912.71</v>
      </c>
      <c r="E145" t="s">
        <v>172</v>
      </c>
      <c r="H145" s="4"/>
      <c r="I145" s="4"/>
      <c r="J145" s="5" t="str">
        <f t="shared" si="96"/>
        <v/>
      </c>
      <c r="K145" s="21"/>
      <c r="L145" s="28"/>
      <c r="M145" s="28">
        <f t="shared" si="92"/>
        <v>0</v>
      </c>
      <c r="N145" s="30"/>
      <c r="O145" s="26"/>
      <c r="P145" s="31">
        <f t="shared" si="80"/>
        <v>0</v>
      </c>
      <c r="Q145" s="21"/>
      <c r="R145" s="28"/>
      <c r="S145" s="22">
        <f t="shared" si="81"/>
        <v>0</v>
      </c>
      <c r="T145" s="26"/>
      <c r="U145" s="26"/>
      <c r="V145" s="31">
        <f t="shared" si="82"/>
        <v>0</v>
      </c>
      <c r="W145" s="26">
        <f t="shared" si="94"/>
        <v>0</v>
      </c>
      <c r="X145" s="36">
        <f t="shared" si="97"/>
        <v>0</v>
      </c>
      <c r="Y145" s="37" t="str">
        <f t="shared" si="83"/>
        <v/>
      </c>
      <c r="Z145" s="38"/>
      <c r="AA145" s="38"/>
      <c r="AB145" s="38"/>
      <c r="AC145" s="38"/>
      <c r="AD145" s="157">
        <f t="shared" si="104"/>
        <v>0</v>
      </c>
      <c r="AE145" s="34"/>
      <c r="AF145" s="35"/>
      <c r="AG145" s="40"/>
      <c r="AH145" s="44"/>
      <c r="AI145" s="13"/>
      <c r="AJ145" s="46"/>
      <c r="AK145" s="45"/>
      <c r="AL145" s="23"/>
      <c r="AM145" s="138"/>
      <c r="AN145" s="25" t="str">
        <f t="shared" si="90"/>
        <v/>
      </c>
      <c r="AO145" s="50"/>
      <c r="AP145" s="53">
        <f t="shared" si="84"/>
        <v>0</v>
      </c>
      <c r="AQ145" s="53"/>
      <c r="AR145" s="119"/>
      <c r="AS145" s="56">
        <f t="shared" si="100"/>
        <v>0</v>
      </c>
      <c r="AT145" s="298"/>
      <c r="AU145" s="298">
        <f t="shared" si="103"/>
        <v>0</v>
      </c>
      <c r="AV145" s="357" t="str">
        <f t="shared" si="105"/>
        <v/>
      </c>
      <c r="AW145" s="18"/>
      <c r="AX145" s="18" t="str">
        <f>IF(AS145=0,"",SUMIFS($AS$8:AS145, $BH$8:BH145, BH145))</f>
        <v/>
      </c>
      <c r="AY145" s="57" t="str">
        <f t="shared" ca="1" si="93"/>
        <v>no drilling completed</v>
      </c>
      <c r="AZ145" s="15" t="str">
        <f t="shared" ca="1" si="85"/>
        <v>LINK</v>
      </c>
      <c r="BB145" s="14" t="s">
        <v>211</v>
      </c>
      <c r="BC145" t="str">
        <f t="shared" si="86"/>
        <v>25</v>
      </c>
      <c r="BD145" t="str">
        <f t="shared" si="101"/>
        <v>09</v>
      </c>
      <c r="BE145" s="98">
        <f t="shared" si="102"/>
        <v>13</v>
      </c>
      <c r="BF145" t="str">
        <f t="shared" si="87"/>
        <v>N</v>
      </c>
      <c r="BG145" t="str">
        <f t="shared" si="89"/>
        <v>https://www.coreplan.io/app/ddh1-drilling/speewah-mining-speewah-fluorite-project-wa/plods/1663-250913N</v>
      </c>
      <c r="BH145" t="str">
        <f t="shared" si="88"/>
        <v>2025-09</v>
      </c>
    </row>
    <row r="146" spans="1:60">
      <c r="A146" s="510" t="e">
        <f>VLOOKUP(F146,'Tenement Lookup'!A:BH,60,FALSE)</f>
        <v>#N/A</v>
      </c>
      <c r="C146" s="152" t="str">
        <f t="shared" si="98"/>
        <v/>
      </c>
      <c r="D146" s="1">
        <f t="shared" si="99"/>
        <v>45913.21</v>
      </c>
      <c r="E146" t="s">
        <v>171</v>
      </c>
      <c r="H146" s="4"/>
      <c r="I146" s="4"/>
      <c r="J146" s="5" t="str">
        <f t="shared" si="96"/>
        <v/>
      </c>
      <c r="K146" s="21"/>
      <c r="L146" s="28"/>
      <c r="M146" s="28">
        <f t="shared" si="92"/>
        <v>0</v>
      </c>
      <c r="N146" s="30"/>
      <c r="O146" s="26"/>
      <c r="P146" s="31">
        <f t="shared" si="80"/>
        <v>0</v>
      </c>
      <c r="Q146" s="21"/>
      <c r="R146" s="28"/>
      <c r="S146" s="22">
        <f t="shared" si="81"/>
        <v>0</v>
      </c>
      <c r="T146" s="26"/>
      <c r="U146" s="26"/>
      <c r="V146" s="31">
        <f t="shared" si="82"/>
        <v>0</v>
      </c>
      <c r="W146" s="26">
        <f t="shared" si="94"/>
        <v>0</v>
      </c>
      <c r="X146" s="36">
        <f t="shared" si="97"/>
        <v>0</v>
      </c>
      <c r="Y146" s="37" t="str">
        <f t="shared" si="83"/>
        <v/>
      </c>
      <c r="Z146" s="38"/>
      <c r="AA146" s="38"/>
      <c r="AB146" s="38"/>
      <c r="AC146" s="38"/>
      <c r="AD146" s="157">
        <f t="shared" si="104"/>
        <v>0</v>
      </c>
      <c r="AE146" s="34"/>
      <c r="AF146" s="35"/>
      <c r="AG146" s="40"/>
      <c r="AH146" s="44"/>
      <c r="AI146" s="13"/>
      <c r="AJ146" s="46"/>
      <c r="AK146" s="45"/>
      <c r="AL146" s="23"/>
      <c r="AM146" s="138"/>
      <c r="AN146" s="25" t="str">
        <f t="shared" si="90"/>
        <v/>
      </c>
      <c r="AO146" s="50"/>
      <c r="AP146" s="53">
        <f t="shared" si="84"/>
        <v>0</v>
      </c>
      <c r="AQ146" s="53"/>
      <c r="AR146" s="119"/>
      <c r="AS146" s="56">
        <f t="shared" si="100"/>
        <v>0</v>
      </c>
      <c r="AT146" s="298"/>
      <c r="AU146" s="298">
        <f t="shared" si="103"/>
        <v>0</v>
      </c>
      <c r="AV146" s="357" t="str">
        <f t="shared" si="105"/>
        <v/>
      </c>
      <c r="AW146" s="18"/>
      <c r="AX146" s="18" t="str">
        <f>IF(AS146=0,"",SUMIFS($AS$8:AS146, $BH$8:BH146, BH146))</f>
        <v/>
      </c>
      <c r="AY146" s="57" t="str">
        <f t="shared" ca="1" si="93"/>
        <v>no drilling completed</v>
      </c>
      <c r="AZ146" s="15" t="str">
        <f t="shared" ca="1" si="85"/>
        <v>LINK</v>
      </c>
      <c r="BB146" s="14" t="s">
        <v>211</v>
      </c>
      <c r="BC146" t="str">
        <f t="shared" si="86"/>
        <v>25</v>
      </c>
      <c r="BD146" t="str">
        <f t="shared" si="101"/>
        <v>09</v>
      </c>
      <c r="BE146" s="98">
        <f t="shared" si="102"/>
        <v>14</v>
      </c>
      <c r="BF146" t="str">
        <f t="shared" si="87"/>
        <v>D</v>
      </c>
      <c r="BG146" t="str">
        <f t="shared" si="89"/>
        <v>https://www.coreplan.io/app/ddh1-drilling/speewah-mining-speewah-fluorite-project-wa/plods/1663-250914D</v>
      </c>
      <c r="BH146" t="str">
        <f t="shared" si="88"/>
        <v>2025-09</v>
      </c>
    </row>
    <row r="147" spans="1:60">
      <c r="A147" s="510" t="e">
        <f>VLOOKUP(F147,'Tenement Lookup'!A:BH,60,FALSE)</f>
        <v>#N/A</v>
      </c>
      <c r="C147" s="152" t="str">
        <f t="shared" si="98"/>
        <v/>
      </c>
      <c r="D147" s="1">
        <f t="shared" si="99"/>
        <v>45913.71</v>
      </c>
      <c r="E147" t="s">
        <v>172</v>
      </c>
      <c r="H147" s="4"/>
      <c r="I147" s="4"/>
      <c r="J147" s="5" t="str">
        <f t="shared" si="96"/>
        <v/>
      </c>
      <c r="K147" s="21"/>
      <c r="L147" s="28"/>
      <c r="M147" s="28">
        <f t="shared" si="92"/>
        <v>0</v>
      </c>
      <c r="N147" s="30"/>
      <c r="O147" s="26"/>
      <c r="P147" s="31">
        <f t="shared" si="80"/>
        <v>0</v>
      </c>
      <c r="Q147" s="21"/>
      <c r="R147" s="28"/>
      <c r="S147" s="22">
        <f t="shared" si="81"/>
        <v>0</v>
      </c>
      <c r="T147" s="26"/>
      <c r="U147" s="26"/>
      <c r="V147" s="31">
        <f t="shared" si="82"/>
        <v>0</v>
      </c>
      <c r="W147" s="26">
        <f t="shared" si="94"/>
        <v>0</v>
      </c>
      <c r="X147" s="36">
        <f t="shared" si="97"/>
        <v>0</v>
      </c>
      <c r="Y147" s="37" t="str">
        <f t="shared" si="83"/>
        <v/>
      </c>
      <c r="Z147" s="38"/>
      <c r="AA147" s="38"/>
      <c r="AB147" s="38"/>
      <c r="AC147" s="38"/>
      <c r="AD147" s="157">
        <f t="shared" si="104"/>
        <v>0</v>
      </c>
      <c r="AE147" s="34"/>
      <c r="AF147" s="35"/>
      <c r="AG147" s="40"/>
      <c r="AH147" s="44"/>
      <c r="AI147" s="13"/>
      <c r="AJ147" s="46"/>
      <c r="AK147" s="45"/>
      <c r="AL147" s="23"/>
      <c r="AM147" s="138"/>
      <c r="AN147" s="25" t="str">
        <f t="shared" si="90"/>
        <v/>
      </c>
      <c r="AO147" s="50"/>
      <c r="AP147" s="53">
        <f t="shared" si="84"/>
        <v>0</v>
      </c>
      <c r="AQ147" s="53"/>
      <c r="AR147" s="119"/>
      <c r="AS147" s="56">
        <f t="shared" si="100"/>
        <v>0</v>
      </c>
      <c r="AT147" s="298"/>
      <c r="AU147" s="298">
        <f t="shared" si="103"/>
        <v>0</v>
      </c>
      <c r="AV147" s="357" t="str">
        <f t="shared" si="105"/>
        <v/>
      </c>
      <c r="AW147" s="18"/>
      <c r="AX147" s="18" t="str">
        <f>IF(AS147=0,"",SUMIFS($AS$8:AS147, $BH$8:BH147, BH147))</f>
        <v/>
      </c>
      <c r="AY147" s="57" t="str">
        <f t="shared" ca="1" si="93"/>
        <v>no drilling completed</v>
      </c>
      <c r="AZ147" s="15" t="str">
        <f t="shared" ca="1" si="85"/>
        <v>LINK</v>
      </c>
      <c r="BB147" s="14" t="s">
        <v>211</v>
      </c>
      <c r="BC147" t="str">
        <f t="shared" si="86"/>
        <v>25</v>
      </c>
      <c r="BD147" t="str">
        <f t="shared" si="101"/>
        <v>09</v>
      </c>
      <c r="BE147" s="98">
        <f t="shared" si="102"/>
        <v>14</v>
      </c>
      <c r="BF147" t="str">
        <f t="shared" si="87"/>
        <v>N</v>
      </c>
      <c r="BG147" t="str">
        <f t="shared" si="89"/>
        <v>https://www.coreplan.io/app/ddh1-drilling/speewah-mining-speewah-fluorite-project-wa/plods/1663-250914N</v>
      </c>
      <c r="BH147" t="str">
        <f t="shared" si="88"/>
        <v>2025-09</v>
      </c>
    </row>
    <row r="148" spans="1:60">
      <c r="A148" s="510" t="e">
        <f>VLOOKUP(F148,'Tenement Lookup'!A:BH,60,FALSE)</f>
        <v>#N/A</v>
      </c>
      <c r="C148" s="152" t="str">
        <f t="shared" si="98"/>
        <v/>
      </c>
      <c r="D148" s="1">
        <f t="shared" si="99"/>
        <v>45914.21</v>
      </c>
      <c r="E148" t="s">
        <v>171</v>
      </c>
      <c r="H148" s="4"/>
      <c r="I148" s="4"/>
      <c r="J148" s="5" t="str">
        <f t="shared" si="96"/>
        <v/>
      </c>
      <c r="K148" s="21"/>
      <c r="L148" s="28"/>
      <c r="M148" s="28">
        <f t="shared" si="92"/>
        <v>0</v>
      </c>
      <c r="N148" s="30"/>
      <c r="O148" s="26"/>
      <c r="P148" s="31">
        <f t="shared" si="80"/>
        <v>0</v>
      </c>
      <c r="Q148" s="21"/>
      <c r="R148" s="28"/>
      <c r="S148" s="22">
        <f t="shared" si="81"/>
        <v>0</v>
      </c>
      <c r="T148" s="26"/>
      <c r="U148" s="26"/>
      <c r="V148" s="31">
        <f t="shared" si="82"/>
        <v>0</v>
      </c>
      <c r="W148" s="26">
        <f t="shared" ref="W148:W179" si="106">IFERROR(M148+P148+S148+V148,"")</f>
        <v>0</v>
      </c>
      <c r="X148" s="36">
        <f t="shared" si="97"/>
        <v>0</v>
      </c>
      <c r="Y148" s="37" t="str">
        <f t="shared" si="83"/>
        <v/>
      </c>
      <c r="Z148" s="38"/>
      <c r="AA148" s="38"/>
      <c r="AB148" s="38"/>
      <c r="AC148" s="38"/>
      <c r="AD148" s="157">
        <f t="shared" si="104"/>
        <v>0</v>
      </c>
      <c r="AE148" s="34"/>
      <c r="AF148" s="35"/>
      <c r="AG148" s="40"/>
      <c r="AH148" s="44"/>
      <c r="AI148" s="13"/>
      <c r="AJ148" s="46"/>
      <c r="AK148" s="45"/>
      <c r="AL148" s="23"/>
      <c r="AM148" s="138"/>
      <c r="AN148" s="25" t="str">
        <f t="shared" si="90"/>
        <v/>
      </c>
      <c r="AO148" s="50"/>
      <c r="AP148" s="53">
        <f t="shared" si="84"/>
        <v>0</v>
      </c>
      <c r="AQ148" s="53"/>
      <c r="AR148" s="119"/>
      <c r="AS148" s="56">
        <f t="shared" si="100"/>
        <v>0</v>
      </c>
      <c r="AT148" s="298"/>
      <c r="AU148" s="298">
        <f t="shared" si="103"/>
        <v>0</v>
      </c>
      <c r="AV148" s="357" t="str">
        <f t="shared" si="105"/>
        <v/>
      </c>
      <c r="AW148" s="18"/>
      <c r="AX148" s="18" t="str">
        <f>IF(AS148=0,"",SUMIFS($AS$8:AS148, $BH$8:BH148, BH148))</f>
        <v/>
      </c>
      <c r="AY148" s="57" t="str">
        <f t="shared" ca="1" si="93"/>
        <v>no drilling completed</v>
      </c>
      <c r="AZ148" s="15" t="str">
        <f t="shared" ca="1" si="85"/>
        <v>LINK</v>
      </c>
      <c r="BB148" s="14" t="s">
        <v>211</v>
      </c>
      <c r="BC148" t="str">
        <f t="shared" si="86"/>
        <v>25</v>
      </c>
      <c r="BD148" t="str">
        <f t="shared" si="101"/>
        <v>09</v>
      </c>
      <c r="BE148" s="98">
        <f t="shared" si="102"/>
        <v>15</v>
      </c>
      <c r="BF148" t="str">
        <f t="shared" si="87"/>
        <v>D</v>
      </c>
      <c r="BG148" t="str">
        <f t="shared" si="89"/>
        <v>https://www.coreplan.io/app/ddh1-drilling/speewah-mining-speewah-fluorite-project-wa/plods/1663-250915D</v>
      </c>
      <c r="BH148" t="str">
        <f t="shared" si="88"/>
        <v>2025-09</v>
      </c>
    </row>
    <row r="149" spans="1:60">
      <c r="A149" s="510" t="e">
        <f>VLOOKUP(F149,'Tenement Lookup'!A:BH,60,FALSE)</f>
        <v>#N/A</v>
      </c>
      <c r="C149" s="152" t="str">
        <f t="shared" si="98"/>
        <v/>
      </c>
      <c r="D149" s="1">
        <f t="shared" si="99"/>
        <v>45914.71</v>
      </c>
      <c r="E149" t="s">
        <v>172</v>
      </c>
      <c r="H149" s="4"/>
      <c r="I149" s="4"/>
      <c r="J149" s="5" t="str">
        <f t="shared" si="96"/>
        <v/>
      </c>
      <c r="K149" s="21"/>
      <c r="L149" s="28"/>
      <c r="M149" s="28">
        <f t="shared" si="92"/>
        <v>0</v>
      </c>
      <c r="N149" s="30"/>
      <c r="O149" s="26"/>
      <c r="P149" s="31">
        <f t="shared" si="80"/>
        <v>0</v>
      </c>
      <c r="Q149" s="21"/>
      <c r="R149" s="28"/>
      <c r="S149" s="22">
        <f t="shared" si="81"/>
        <v>0</v>
      </c>
      <c r="T149" s="26"/>
      <c r="U149" s="26"/>
      <c r="V149" s="31">
        <f t="shared" si="82"/>
        <v>0</v>
      </c>
      <c r="W149" s="26">
        <f t="shared" si="106"/>
        <v>0</v>
      </c>
      <c r="X149" s="36">
        <f t="shared" si="97"/>
        <v>0</v>
      </c>
      <c r="Y149" s="37" t="str">
        <f t="shared" si="83"/>
        <v/>
      </c>
      <c r="Z149" s="38"/>
      <c r="AA149" s="38"/>
      <c r="AB149" s="38"/>
      <c r="AC149" s="38"/>
      <c r="AD149" s="157">
        <f t="shared" si="104"/>
        <v>0</v>
      </c>
      <c r="AE149" s="34"/>
      <c r="AF149" s="35"/>
      <c r="AG149" s="40"/>
      <c r="AH149" s="44"/>
      <c r="AI149" s="13"/>
      <c r="AJ149" s="46"/>
      <c r="AK149" s="45"/>
      <c r="AL149" s="23"/>
      <c r="AM149" s="138"/>
      <c r="AN149" s="25" t="str">
        <f t="shared" si="90"/>
        <v/>
      </c>
      <c r="AO149" s="50"/>
      <c r="AP149" s="53">
        <f t="shared" si="84"/>
        <v>0</v>
      </c>
      <c r="AQ149" s="53"/>
      <c r="AR149" s="119"/>
      <c r="AS149" s="56">
        <f t="shared" si="100"/>
        <v>0</v>
      </c>
      <c r="AT149" s="298"/>
      <c r="AU149" s="298">
        <f t="shared" si="103"/>
        <v>0</v>
      </c>
      <c r="AV149" s="357" t="str">
        <f t="shared" si="105"/>
        <v/>
      </c>
      <c r="AW149" s="18"/>
      <c r="AX149" s="18" t="str">
        <f>IF(AS149=0,"",SUMIFS($AS$8:AS149, $BH$8:BH149, BH149))</f>
        <v/>
      </c>
      <c r="AY149" s="57" t="str">
        <f t="shared" ca="1" si="93"/>
        <v>no drilling completed</v>
      </c>
      <c r="AZ149" s="15" t="str">
        <f t="shared" ca="1" si="85"/>
        <v>LINK</v>
      </c>
      <c r="BB149" s="14" t="s">
        <v>211</v>
      </c>
      <c r="BC149" t="str">
        <f t="shared" si="86"/>
        <v>25</v>
      </c>
      <c r="BD149" t="str">
        <f t="shared" si="101"/>
        <v>09</v>
      </c>
      <c r="BE149" s="98">
        <f t="shared" si="102"/>
        <v>15</v>
      </c>
      <c r="BF149" t="str">
        <f t="shared" si="87"/>
        <v>N</v>
      </c>
      <c r="BG149" t="str">
        <f t="shared" si="89"/>
        <v>https://www.coreplan.io/app/ddh1-drilling/speewah-mining-speewah-fluorite-project-wa/plods/1663-250915N</v>
      </c>
      <c r="BH149" t="str">
        <f t="shared" si="88"/>
        <v>2025-09</v>
      </c>
    </row>
    <row r="150" spans="1:60">
      <c r="A150" s="510" t="e">
        <f>VLOOKUP(F150,'Tenement Lookup'!A:BH,60,FALSE)</f>
        <v>#N/A</v>
      </c>
      <c r="C150" s="152" t="str">
        <f t="shared" si="98"/>
        <v/>
      </c>
      <c r="D150" s="1">
        <f t="shared" si="99"/>
        <v>45915.21</v>
      </c>
      <c r="E150" t="s">
        <v>171</v>
      </c>
      <c r="H150" s="4"/>
      <c r="I150" s="4"/>
      <c r="J150" s="5" t="str">
        <f t="shared" si="96"/>
        <v/>
      </c>
      <c r="K150" s="21"/>
      <c r="L150" s="28"/>
      <c r="M150" s="28">
        <f t="shared" si="92"/>
        <v>0</v>
      </c>
      <c r="N150" s="30"/>
      <c r="O150" s="26"/>
      <c r="P150" s="31">
        <f t="shared" si="80"/>
        <v>0</v>
      </c>
      <c r="Q150" s="21"/>
      <c r="R150" s="28"/>
      <c r="S150" s="22">
        <f t="shared" si="81"/>
        <v>0</v>
      </c>
      <c r="T150" s="26"/>
      <c r="U150" s="26"/>
      <c r="V150" s="31">
        <f t="shared" si="82"/>
        <v>0</v>
      </c>
      <c r="W150" s="26">
        <f t="shared" si="106"/>
        <v>0</v>
      </c>
      <c r="X150" s="36">
        <f t="shared" si="97"/>
        <v>0</v>
      </c>
      <c r="Y150" s="37" t="str">
        <f t="shared" si="83"/>
        <v/>
      </c>
      <c r="Z150" s="38"/>
      <c r="AA150" s="38"/>
      <c r="AB150" s="38"/>
      <c r="AC150" s="38"/>
      <c r="AD150" s="157">
        <f t="shared" si="104"/>
        <v>0</v>
      </c>
      <c r="AE150" s="34"/>
      <c r="AF150" s="35"/>
      <c r="AG150" s="40"/>
      <c r="AH150" s="44"/>
      <c r="AI150" s="13"/>
      <c r="AJ150" s="46"/>
      <c r="AK150" s="45"/>
      <c r="AL150" s="23"/>
      <c r="AM150" s="138"/>
      <c r="AN150" s="25" t="str">
        <f t="shared" si="90"/>
        <v/>
      </c>
      <c r="AO150" s="50"/>
      <c r="AP150" s="53">
        <f t="shared" si="84"/>
        <v>0</v>
      </c>
      <c r="AQ150" s="53"/>
      <c r="AR150" s="119"/>
      <c r="AS150" s="56">
        <f t="shared" si="100"/>
        <v>0</v>
      </c>
      <c r="AT150" s="298"/>
      <c r="AU150" s="298">
        <f t="shared" si="103"/>
        <v>0</v>
      </c>
      <c r="AV150" s="357" t="str">
        <f t="shared" si="105"/>
        <v/>
      </c>
      <c r="AW150" s="18"/>
      <c r="AX150" s="18" t="str">
        <f>IF(AS150=0,"",SUMIFS($AS$8:AS150, $BH$8:BH150, BH150))</f>
        <v/>
      </c>
      <c r="AY150" s="57" t="str">
        <f t="shared" ca="1" si="93"/>
        <v>no drilling completed</v>
      </c>
      <c r="AZ150" s="15" t="str">
        <f t="shared" ca="1" si="85"/>
        <v>LINK</v>
      </c>
      <c r="BB150" s="14" t="s">
        <v>211</v>
      </c>
      <c r="BC150" t="str">
        <f t="shared" si="86"/>
        <v>25</v>
      </c>
      <c r="BD150" t="str">
        <f t="shared" si="101"/>
        <v>09</v>
      </c>
      <c r="BE150" s="98">
        <f t="shared" si="102"/>
        <v>16</v>
      </c>
      <c r="BF150" t="str">
        <f t="shared" si="87"/>
        <v>D</v>
      </c>
      <c r="BG150" t="str">
        <f t="shared" si="89"/>
        <v>https://www.coreplan.io/app/ddh1-drilling/speewah-mining-speewah-fluorite-project-wa/plods/1663-250916D</v>
      </c>
      <c r="BH150" t="str">
        <f t="shared" si="88"/>
        <v>2025-09</v>
      </c>
    </row>
    <row r="151" spans="1:60">
      <c r="A151" s="510" t="e">
        <f>VLOOKUP(F151,'Tenement Lookup'!A:BH,60,FALSE)</f>
        <v>#N/A</v>
      </c>
      <c r="C151" s="152" t="str">
        <f t="shared" si="98"/>
        <v/>
      </c>
      <c r="D151" s="1">
        <f t="shared" si="99"/>
        <v>45915.71</v>
      </c>
      <c r="E151" t="s">
        <v>172</v>
      </c>
      <c r="H151" s="4"/>
      <c r="I151" s="4"/>
      <c r="J151" s="5" t="str">
        <f t="shared" si="96"/>
        <v/>
      </c>
      <c r="K151" s="21"/>
      <c r="L151" s="28"/>
      <c r="M151" s="28">
        <f t="shared" si="92"/>
        <v>0</v>
      </c>
      <c r="N151" s="30"/>
      <c r="O151" s="26"/>
      <c r="P151" s="31">
        <f t="shared" si="80"/>
        <v>0</v>
      </c>
      <c r="Q151" s="21"/>
      <c r="R151" s="28"/>
      <c r="S151" s="22">
        <f t="shared" si="81"/>
        <v>0</v>
      </c>
      <c r="T151" s="26"/>
      <c r="U151" s="26"/>
      <c r="V151" s="31">
        <f t="shared" si="82"/>
        <v>0</v>
      </c>
      <c r="W151" s="26">
        <f t="shared" si="106"/>
        <v>0</v>
      </c>
      <c r="X151" s="36">
        <f t="shared" si="97"/>
        <v>0</v>
      </c>
      <c r="Y151" s="37" t="str">
        <f t="shared" si="83"/>
        <v/>
      </c>
      <c r="Z151" s="38"/>
      <c r="AA151" s="38"/>
      <c r="AB151" s="38"/>
      <c r="AC151" s="38"/>
      <c r="AD151" s="157">
        <f t="shared" si="104"/>
        <v>0</v>
      </c>
      <c r="AE151" s="34"/>
      <c r="AF151" s="35"/>
      <c r="AG151" s="40"/>
      <c r="AH151" s="44"/>
      <c r="AI151" s="13"/>
      <c r="AJ151" s="46"/>
      <c r="AK151" s="45"/>
      <c r="AL151" s="23"/>
      <c r="AM151" s="138"/>
      <c r="AN151" s="25" t="str">
        <f t="shared" si="90"/>
        <v/>
      </c>
      <c r="AO151" s="50"/>
      <c r="AP151" s="53">
        <f t="shared" si="84"/>
        <v>0</v>
      </c>
      <c r="AQ151" s="53"/>
      <c r="AR151" s="119"/>
      <c r="AS151" s="56">
        <f t="shared" si="100"/>
        <v>0</v>
      </c>
      <c r="AT151" s="298"/>
      <c r="AU151" s="298">
        <f t="shared" si="103"/>
        <v>0</v>
      </c>
      <c r="AV151" s="357" t="str">
        <f t="shared" si="105"/>
        <v/>
      </c>
      <c r="AW151" s="18"/>
      <c r="AX151" s="18" t="str">
        <f>IF(AS151=0,"",SUMIFS($AS$8:AS151, $BH$8:BH151, BH151))</f>
        <v/>
      </c>
      <c r="AY151" s="57" t="str">
        <f t="shared" ca="1" si="93"/>
        <v>no drilling completed</v>
      </c>
      <c r="AZ151" s="15" t="str">
        <f t="shared" ca="1" si="85"/>
        <v>LINK</v>
      </c>
      <c r="BB151" s="14" t="s">
        <v>211</v>
      </c>
      <c r="BC151" t="str">
        <f t="shared" si="86"/>
        <v>25</v>
      </c>
      <c r="BD151" t="str">
        <f t="shared" si="101"/>
        <v>09</v>
      </c>
      <c r="BE151" s="98">
        <f t="shared" si="102"/>
        <v>16</v>
      </c>
      <c r="BF151" t="str">
        <f t="shared" si="87"/>
        <v>N</v>
      </c>
      <c r="BG151" t="str">
        <f t="shared" si="89"/>
        <v>https://www.coreplan.io/app/ddh1-drilling/speewah-mining-speewah-fluorite-project-wa/plods/1663-250916N</v>
      </c>
      <c r="BH151" t="str">
        <f t="shared" si="88"/>
        <v>2025-09</v>
      </c>
    </row>
    <row r="152" spans="1:60">
      <c r="A152" s="510" t="e">
        <f>VLOOKUP(F152,'Tenement Lookup'!A:BH,60,FALSE)</f>
        <v>#N/A</v>
      </c>
      <c r="C152" s="152" t="str">
        <f t="shared" si="98"/>
        <v/>
      </c>
      <c r="D152" s="1">
        <f t="shared" si="99"/>
        <v>45916.21</v>
      </c>
      <c r="E152" t="s">
        <v>171</v>
      </c>
      <c r="H152" s="4"/>
      <c r="I152" s="4"/>
      <c r="J152" s="5" t="str">
        <f t="shared" si="96"/>
        <v/>
      </c>
      <c r="K152" s="21"/>
      <c r="L152" s="28"/>
      <c r="M152" s="28">
        <f t="shared" si="92"/>
        <v>0</v>
      </c>
      <c r="N152" s="30"/>
      <c r="O152" s="26"/>
      <c r="P152" s="31">
        <f t="shared" si="80"/>
        <v>0</v>
      </c>
      <c r="Q152" s="21"/>
      <c r="R152" s="28"/>
      <c r="S152" s="22">
        <f t="shared" si="81"/>
        <v>0</v>
      </c>
      <c r="T152" s="26"/>
      <c r="U152" s="26"/>
      <c r="V152" s="31">
        <f t="shared" si="82"/>
        <v>0</v>
      </c>
      <c r="W152" s="26">
        <f t="shared" si="106"/>
        <v>0</v>
      </c>
      <c r="X152" s="36">
        <f t="shared" si="97"/>
        <v>0</v>
      </c>
      <c r="Y152" s="37" t="str">
        <f t="shared" si="83"/>
        <v/>
      </c>
      <c r="Z152" s="38"/>
      <c r="AA152" s="38"/>
      <c r="AB152" s="38"/>
      <c r="AC152" s="38"/>
      <c r="AD152" s="157">
        <f t="shared" si="104"/>
        <v>0</v>
      </c>
      <c r="AE152" s="34"/>
      <c r="AF152" s="35"/>
      <c r="AG152" s="40"/>
      <c r="AH152" s="44"/>
      <c r="AI152" s="13"/>
      <c r="AJ152" s="46"/>
      <c r="AK152" s="45"/>
      <c r="AL152" s="23"/>
      <c r="AM152" s="138"/>
      <c r="AN152" s="25" t="str">
        <f t="shared" si="90"/>
        <v/>
      </c>
      <c r="AO152" s="50"/>
      <c r="AP152" s="53">
        <f t="shared" si="84"/>
        <v>0</v>
      </c>
      <c r="AQ152" s="53"/>
      <c r="AR152" s="119"/>
      <c r="AS152" s="56">
        <f t="shared" si="100"/>
        <v>0</v>
      </c>
      <c r="AT152" s="298"/>
      <c r="AU152" s="298">
        <f t="shared" si="103"/>
        <v>0</v>
      </c>
      <c r="AV152" s="357" t="str">
        <f t="shared" si="105"/>
        <v/>
      </c>
      <c r="AW152" s="18"/>
      <c r="AX152" s="18" t="str">
        <f>IF(AS152=0,"",SUMIFS($AS$8:AS152, $BH$8:BH152, BH152))</f>
        <v/>
      </c>
      <c r="AY152" s="57" t="str">
        <f t="shared" ca="1" si="93"/>
        <v>no drilling completed</v>
      </c>
      <c r="AZ152" s="15" t="str">
        <f t="shared" ca="1" si="85"/>
        <v>LINK</v>
      </c>
      <c r="BB152" s="14" t="s">
        <v>211</v>
      </c>
      <c r="BC152" t="str">
        <f t="shared" si="86"/>
        <v>25</v>
      </c>
      <c r="BD152" t="str">
        <f t="shared" si="101"/>
        <v>09</v>
      </c>
      <c r="BE152" s="98">
        <f t="shared" si="102"/>
        <v>17</v>
      </c>
      <c r="BF152" t="str">
        <f t="shared" si="87"/>
        <v>D</v>
      </c>
      <c r="BG152" t="str">
        <f t="shared" si="89"/>
        <v>https://www.coreplan.io/app/ddh1-drilling/speewah-mining-speewah-fluorite-project-wa/plods/1663-250917D</v>
      </c>
      <c r="BH152" t="str">
        <f t="shared" si="88"/>
        <v>2025-09</v>
      </c>
    </row>
    <row r="153" spans="1:60">
      <c r="A153" s="510" t="e">
        <f>VLOOKUP(F153,'Tenement Lookup'!A:BH,60,FALSE)</f>
        <v>#N/A</v>
      </c>
      <c r="C153" s="152" t="str">
        <f t="shared" si="98"/>
        <v/>
      </c>
      <c r="D153" s="1">
        <f t="shared" si="99"/>
        <v>45916.71</v>
      </c>
      <c r="E153" t="s">
        <v>172</v>
      </c>
      <c r="H153" s="4"/>
      <c r="I153" s="4"/>
      <c r="J153" s="5" t="str">
        <f t="shared" si="96"/>
        <v/>
      </c>
      <c r="K153" s="21"/>
      <c r="L153" s="28"/>
      <c r="M153" s="28">
        <f t="shared" si="92"/>
        <v>0</v>
      </c>
      <c r="N153" s="30"/>
      <c r="O153" s="26"/>
      <c r="P153" s="31">
        <f t="shared" si="80"/>
        <v>0</v>
      </c>
      <c r="Q153" s="21"/>
      <c r="R153" s="28"/>
      <c r="S153" s="22">
        <f t="shared" si="81"/>
        <v>0</v>
      </c>
      <c r="T153" s="26"/>
      <c r="U153" s="26"/>
      <c r="V153" s="31">
        <f t="shared" si="82"/>
        <v>0</v>
      </c>
      <c r="W153" s="26">
        <f t="shared" si="106"/>
        <v>0</v>
      </c>
      <c r="X153" s="36">
        <f t="shared" si="97"/>
        <v>0</v>
      </c>
      <c r="Y153" s="37" t="str">
        <f t="shared" si="83"/>
        <v/>
      </c>
      <c r="Z153" s="38"/>
      <c r="AA153" s="38"/>
      <c r="AB153" s="38"/>
      <c r="AC153" s="38"/>
      <c r="AD153" s="157">
        <f t="shared" si="104"/>
        <v>0</v>
      </c>
      <c r="AE153" s="34"/>
      <c r="AF153" s="35"/>
      <c r="AG153" s="40"/>
      <c r="AH153" s="44"/>
      <c r="AI153" s="13"/>
      <c r="AJ153" s="46"/>
      <c r="AK153" s="45"/>
      <c r="AL153" s="23"/>
      <c r="AM153" s="138"/>
      <c r="AN153" s="25" t="str">
        <f t="shared" si="90"/>
        <v/>
      </c>
      <c r="AO153" s="50"/>
      <c r="AP153" s="53">
        <f t="shared" si="84"/>
        <v>0</v>
      </c>
      <c r="AQ153" s="53"/>
      <c r="AR153" s="119"/>
      <c r="AS153" s="56">
        <f t="shared" si="100"/>
        <v>0</v>
      </c>
      <c r="AT153" s="298"/>
      <c r="AU153" s="298">
        <f t="shared" si="103"/>
        <v>0</v>
      </c>
      <c r="AV153" s="357" t="str">
        <f t="shared" si="105"/>
        <v/>
      </c>
      <c r="AW153" s="18"/>
      <c r="AX153" s="18" t="str">
        <f>IF(AS153=0,"",SUMIFS($AS$8:AS153, $BH$8:BH153, BH153))</f>
        <v/>
      </c>
      <c r="AY153" s="57" t="str">
        <f t="shared" ca="1" si="93"/>
        <v>no drilling completed</v>
      </c>
      <c r="AZ153" s="15" t="str">
        <f t="shared" ca="1" si="85"/>
        <v>LINK</v>
      </c>
      <c r="BB153" s="14" t="s">
        <v>211</v>
      </c>
      <c r="BC153" t="str">
        <f t="shared" si="86"/>
        <v>25</v>
      </c>
      <c r="BD153" t="str">
        <f t="shared" si="101"/>
        <v>09</v>
      </c>
      <c r="BE153" s="98">
        <f t="shared" si="102"/>
        <v>17</v>
      </c>
      <c r="BF153" t="str">
        <f t="shared" si="87"/>
        <v>N</v>
      </c>
      <c r="BG153" t="str">
        <f t="shared" si="89"/>
        <v>https://www.coreplan.io/app/ddh1-drilling/speewah-mining-speewah-fluorite-project-wa/plods/1663-250917N</v>
      </c>
      <c r="BH153" t="str">
        <f t="shared" si="88"/>
        <v>2025-09</v>
      </c>
    </row>
    <row r="154" spans="1:60">
      <c r="A154" s="510" t="e">
        <f>VLOOKUP(F154,'Tenement Lookup'!A:BH,60,FALSE)</f>
        <v>#N/A</v>
      </c>
      <c r="C154" s="152" t="str">
        <f t="shared" si="98"/>
        <v/>
      </c>
      <c r="D154" s="1">
        <f t="shared" si="99"/>
        <v>45917.21</v>
      </c>
      <c r="E154" t="s">
        <v>171</v>
      </c>
      <c r="H154" s="4"/>
      <c r="I154" s="4"/>
      <c r="J154" s="5" t="str">
        <f t="shared" si="96"/>
        <v/>
      </c>
      <c r="K154" s="21"/>
      <c r="L154" s="28"/>
      <c r="M154" s="28">
        <f t="shared" si="92"/>
        <v>0</v>
      </c>
      <c r="N154" s="30"/>
      <c r="O154" s="26"/>
      <c r="P154" s="31">
        <f t="shared" ref="P154:P190" si="107">IF(ISBLANK(N154),,O154-N154)</f>
        <v>0</v>
      </c>
      <c r="Q154" s="21"/>
      <c r="R154" s="28"/>
      <c r="S154" s="22">
        <f t="shared" ref="S154:S190" si="108">IF(ISBLANK(Q154),,R154-Q154)</f>
        <v>0</v>
      </c>
      <c r="T154" s="26"/>
      <c r="U154" s="26"/>
      <c r="V154" s="31">
        <f t="shared" ref="V154:V190" si="109">IF(ISBLANK(T154),,U154-T154)</f>
        <v>0</v>
      </c>
      <c r="W154" s="26">
        <f t="shared" si="106"/>
        <v>0</v>
      </c>
      <c r="X154" s="36">
        <f t="shared" si="97"/>
        <v>0</v>
      </c>
      <c r="Y154" s="37" t="str">
        <f t="shared" ref="Y154:Y217" si="110">IF(F154&lt;&gt;"",IF(X154&lt;(AE154*$AE$2),(AE154*$AE$2),X154),"")</f>
        <v/>
      </c>
      <c r="Z154" s="38"/>
      <c r="AA154" s="38"/>
      <c r="AB154" s="38"/>
      <c r="AC154" s="38"/>
      <c r="AD154" s="157">
        <f t="shared" si="104"/>
        <v>0</v>
      </c>
      <c r="AE154" s="34"/>
      <c r="AF154" s="35"/>
      <c r="AG154" s="40"/>
      <c r="AH154" s="44"/>
      <c r="AI154" s="13"/>
      <c r="AJ154" s="46"/>
      <c r="AK154" s="45"/>
      <c r="AL154" s="23"/>
      <c r="AM154" s="138"/>
      <c r="AN154" s="25" t="str">
        <f t="shared" si="90"/>
        <v/>
      </c>
      <c r="AO154" s="50"/>
      <c r="AP154" s="53">
        <f t="shared" ref="AP154:AP190" si="111">(AF154*$AF$2)+(AH154*$AH$2)+(AI154*$AI$2)</f>
        <v>0</v>
      </c>
      <c r="AQ154" s="53"/>
      <c r="AR154" s="119"/>
      <c r="AS154" s="56">
        <f t="shared" si="100"/>
        <v>0</v>
      </c>
      <c r="AT154" s="298"/>
      <c r="AU154" s="298">
        <f t="shared" si="103"/>
        <v>0</v>
      </c>
      <c r="AV154" s="357" t="str">
        <f t="shared" si="105"/>
        <v/>
      </c>
      <c r="AW154" s="18"/>
      <c r="AX154" s="18" t="str">
        <f>IF(AS154=0,"",SUMIFS($AS$8:AS154, $BH$8:BH154, BH154))</f>
        <v/>
      </c>
      <c r="AY154" s="57" t="str">
        <f t="shared" ca="1" si="93"/>
        <v>no drilling completed</v>
      </c>
      <c r="AZ154" s="15" t="str">
        <f t="shared" ref="AZ154:AZ190" ca="1" si="112">IF(D154&lt;TODAY(),HYPERLINK(BG154,"LINK"),"")</f>
        <v>LINK</v>
      </c>
      <c r="BB154" s="14" t="s">
        <v>211</v>
      </c>
      <c r="BC154" t="str">
        <f t="shared" ref="BC154:BC190" si="113">RIGHT(YEAR(D154),2)</f>
        <v>25</v>
      </c>
      <c r="BD154" t="str">
        <f t="shared" si="101"/>
        <v>09</v>
      </c>
      <c r="BE154" s="98">
        <f t="shared" si="102"/>
        <v>18</v>
      </c>
      <c r="BF154" t="str">
        <f t="shared" ref="BF154:BF190" si="114">LEFT(E154,1)</f>
        <v>D</v>
      </c>
      <c r="BG154" t="str">
        <f t="shared" si="89"/>
        <v>https://www.coreplan.io/app/ddh1-drilling/speewah-mining-speewah-fluorite-project-wa/plods/1663-250918D</v>
      </c>
      <c r="BH154" t="str">
        <f t="shared" ref="BH154:BH190" si="115">TEXT(D154, "yyyy-mm")</f>
        <v>2025-09</v>
      </c>
    </row>
    <row r="155" spans="1:60">
      <c r="A155" s="510" t="e">
        <f>VLOOKUP(F155,'Tenement Lookup'!A:BH,60,FALSE)</f>
        <v>#N/A</v>
      </c>
      <c r="C155" s="152" t="str">
        <f t="shared" si="98"/>
        <v/>
      </c>
      <c r="D155" s="1">
        <f t="shared" si="99"/>
        <v>45917.71</v>
      </c>
      <c r="E155" t="s">
        <v>172</v>
      </c>
      <c r="H155" s="4"/>
      <c r="I155" s="4"/>
      <c r="J155" s="5" t="str">
        <f t="shared" si="96"/>
        <v/>
      </c>
      <c r="K155" s="21"/>
      <c r="L155" s="28"/>
      <c r="M155" s="28">
        <f t="shared" si="92"/>
        <v>0</v>
      </c>
      <c r="N155" s="30"/>
      <c r="O155" s="26"/>
      <c r="P155" s="31">
        <f t="shared" si="107"/>
        <v>0</v>
      </c>
      <c r="Q155" s="21"/>
      <c r="R155" s="28"/>
      <c r="S155" s="22">
        <f t="shared" si="108"/>
        <v>0</v>
      </c>
      <c r="T155" s="26"/>
      <c r="U155" s="26"/>
      <c r="V155" s="31">
        <f t="shared" si="109"/>
        <v>0</v>
      </c>
      <c r="W155" s="26">
        <f t="shared" si="106"/>
        <v>0</v>
      </c>
      <c r="X155" s="36">
        <f t="shared" si="97"/>
        <v>0</v>
      </c>
      <c r="Y155" s="37" t="str">
        <f t="shared" si="110"/>
        <v/>
      </c>
      <c r="Z155" s="38"/>
      <c r="AA155" s="38"/>
      <c r="AB155" s="38"/>
      <c r="AC155" s="38"/>
      <c r="AD155" s="157">
        <f t="shared" si="104"/>
        <v>0</v>
      </c>
      <c r="AE155" s="34"/>
      <c r="AF155" s="35"/>
      <c r="AG155" s="40"/>
      <c r="AH155" s="44"/>
      <c r="AI155" s="13"/>
      <c r="AJ155" s="46"/>
      <c r="AK155" s="45"/>
      <c r="AL155" s="23"/>
      <c r="AM155" s="138"/>
      <c r="AN155" s="25" t="str">
        <f t="shared" si="90"/>
        <v/>
      </c>
      <c r="AO155" s="50"/>
      <c r="AP155" s="53">
        <f t="shared" si="111"/>
        <v>0</v>
      </c>
      <c r="AQ155" s="53"/>
      <c r="AR155" s="119"/>
      <c r="AS155" s="56">
        <f t="shared" si="100"/>
        <v>0</v>
      </c>
      <c r="AT155" s="298"/>
      <c r="AU155" s="298">
        <f t="shared" si="103"/>
        <v>0</v>
      </c>
      <c r="AV155" s="357" t="str">
        <f t="shared" si="105"/>
        <v/>
      </c>
      <c r="AW155" s="18"/>
      <c r="AX155" s="18" t="str">
        <f>IF(AS155=0,"",SUMIFS($AS$8:AS155, $BH$8:BH155, BH155))</f>
        <v/>
      </c>
      <c r="AY155" s="57" t="str">
        <f t="shared" ca="1" si="93"/>
        <v>no drilling completed</v>
      </c>
      <c r="AZ155" s="15" t="str">
        <f t="shared" ca="1" si="112"/>
        <v>LINK</v>
      </c>
      <c r="BB155" s="14" t="s">
        <v>211</v>
      </c>
      <c r="BC155" t="str">
        <f t="shared" si="113"/>
        <v>25</v>
      </c>
      <c r="BD155" t="str">
        <f t="shared" si="101"/>
        <v>09</v>
      </c>
      <c r="BE155" s="98">
        <f t="shared" si="102"/>
        <v>18</v>
      </c>
      <c r="BF155" t="str">
        <f t="shared" si="114"/>
        <v>N</v>
      </c>
      <c r="BG155" t="str">
        <f t="shared" ref="BG155:BG190" si="116">CONCATENATE(BB155,BC155,BD155,BE155,BF155)</f>
        <v>https://www.coreplan.io/app/ddh1-drilling/speewah-mining-speewah-fluorite-project-wa/plods/1663-250918N</v>
      </c>
      <c r="BH155" t="str">
        <f t="shared" si="115"/>
        <v>2025-09</v>
      </c>
    </row>
    <row r="156" spans="1:60">
      <c r="A156" s="510" t="e">
        <f>VLOOKUP(F156,'Tenement Lookup'!A:BH,60,FALSE)</f>
        <v>#N/A</v>
      </c>
      <c r="C156" s="152" t="str">
        <f t="shared" si="98"/>
        <v/>
      </c>
      <c r="D156" s="1">
        <f t="shared" si="99"/>
        <v>45918.21</v>
      </c>
      <c r="E156" t="s">
        <v>171</v>
      </c>
      <c r="H156" s="4"/>
      <c r="I156" s="4"/>
      <c r="J156" s="5" t="str">
        <f t="shared" si="96"/>
        <v/>
      </c>
      <c r="K156" s="21"/>
      <c r="L156" s="28"/>
      <c r="M156" s="28">
        <f t="shared" si="92"/>
        <v>0</v>
      </c>
      <c r="N156" s="30"/>
      <c r="O156" s="26"/>
      <c r="P156" s="31">
        <f t="shared" si="107"/>
        <v>0</v>
      </c>
      <c r="Q156" s="21"/>
      <c r="R156" s="28"/>
      <c r="S156" s="22">
        <f t="shared" si="108"/>
        <v>0</v>
      </c>
      <c r="T156" s="26"/>
      <c r="U156" s="26"/>
      <c r="V156" s="31">
        <f t="shared" si="109"/>
        <v>0</v>
      </c>
      <c r="W156" s="26">
        <f t="shared" si="106"/>
        <v>0</v>
      </c>
      <c r="X156" s="36">
        <f t="shared" si="97"/>
        <v>0</v>
      </c>
      <c r="Y156" s="37" t="str">
        <f t="shared" si="110"/>
        <v/>
      </c>
      <c r="Z156" s="38"/>
      <c r="AA156" s="38"/>
      <c r="AB156" s="38"/>
      <c r="AC156" s="38"/>
      <c r="AD156" s="157">
        <f t="shared" si="104"/>
        <v>0</v>
      </c>
      <c r="AE156" s="34"/>
      <c r="AF156" s="35"/>
      <c r="AG156" s="40"/>
      <c r="AH156" s="44"/>
      <c r="AI156" s="13"/>
      <c r="AJ156" s="46"/>
      <c r="AK156" s="45"/>
      <c r="AL156" s="23"/>
      <c r="AM156" s="138"/>
      <c r="AN156" s="25" t="str">
        <f t="shared" si="90"/>
        <v/>
      </c>
      <c r="AO156" s="50"/>
      <c r="AP156" s="53">
        <f t="shared" si="111"/>
        <v>0</v>
      </c>
      <c r="AQ156" s="53"/>
      <c r="AR156" s="119"/>
      <c r="AS156" s="56">
        <f t="shared" si="100"/>
        <v>0</v>
      </c>
      <c r="AT156" s="298"/>
      <c r="AU156" s="298">
        <f t="shared" si="103"/>
        <v>0</v>
      </c>
      <c r="AV156" s="357" t="str">
        <f t="shared" si="105"/>
        <v/>
      </c>
      <c r="AW156" s="18"/>
      <c r="AX156" s="18" t="str">
        <f>IF(AS156=0,"",SUMIFS($AS$8:AS156, $BH$8:BH156, BH156))</f>
        <v/>
      </c>
      <c r="AY156" s="57" t="str">
        <f t="shared" ca="1" si="93"/>
        <v>no drilling completed</v>
      </c>
      <c r="AZ156" s="15" t="str">
        <f t="shared" ca="1" si="112"/>
        <v>LINK</v>
      </c>
      <c r="BB156" s="14" t="s">
        <v>211</v>
      </c>
      <c r="BC156" t="str">
        <f t="shared" si="113"/>
        <v>25</v>
      </c>
      <c r="BD156" t="str">
        <f t="shared" si="101"/>
        <v>09</v>
      </c>
      <c r="BE156" s="98">
        <f t="shared" si="102"/>
        <v>19</v>
      </c>
      <c r="BF156" t="str">
        <f t="shared" si="114"/>
        <v>D</v>
      </c>
      <c r="BG156" t="str">
        <f t="shared" si="116"/>
        <v>https://www.coreplan.io/app/ddh1-drilling/speewah-mining-speewah-fluorite-project-wa/plods/1663-250919D</v>
      </c>
      <c r="BH156" t="str">
        <f t="shared" si="115"/>
        <v>2025-09</v>
      </c>
    </row>
    <row r="157" spans="1:60">
      <c r="A157" s="510" t="e">
        <f>VLOOKUP(F157,'Tenement Lookup'!A:BH,60,FALSE)</f>
        <v>#N/A</v>
      </c>
      <c r="C157" s="152" t="str">
        <f t="shared" si="98"/>
        <v/>
      </c>
      <c r="D157" s="1">
        <f t="shared" si="99"/>
        <v>45918.71</v>
      </c>
      <c r="E157" t="s">
        <v>172</v>
      </c>
      <c r="H157" s="4"/>
      <c r="I157" s="4"/>
      <c r="J157" s="5" t="str">
        <f t="shared" si="96"/>
        <v/>
      </c>
      <c r="K157" s="21"/>
      <c r="L157" s="28"/>
      <c r="M157" s="28">
        <f t="shared" si="92"/>
        <v>0</v>
      </c>
      <c r="N157" s="30"/>
      <c r="O157" s="26"/>
      <c r="P157" s="31">
        <f t="shared" si="107"/>
        <v>0</v>
      </c>
      <c r="Q157" s="21"/>
      <c r="R157" s="28"/>
      <c r="S157" s="22">
        <f t="shared" si="108"/>
        <v>0</v>
      </c>
      <c r="T157" s="26"/>
      <c r="U157" s="26"/>
      <c r="V157" s="31">
        <f t="shared" si="109"/>
        <v>0</v>
      </c>
      <c r="W157" s="26">
        <f t="shared" si="106"/>
        <v>0</v>
      </c>
      <c r="X157" s="36">
        <f t="shared" si="97"/>
        <v>0</v>
      </c>
      <c r="Y157" s="37" t="str">
        <f t="shared" si="110"/>
        <v/>
      </c>
      <c r="Z157" s="38"/>
      <c r="AA157" s="38"/>
      <c r="AB157" s="38"/>
      <c r="AC157" s="38"/>
      <c r="AD157" s="157">
        <f t="shared" si="104"/>
        <v>0</v>
      </c>
      <c r="AE157" s="34"/>
      <c r="AF157" s="35"/>
      <c r="AG157" s="40"/>
      <c r="AH157" s="44"/>
      <c r="AI157" s="13"/>
      <c r="AJ157" s="46"/>
      <c r="AK157" s="45"/>
      <c r="AL157" s="23"/>
      <c r="AM157" s="138"/>
      <c r="AN157" s="25" t="str">
        <f t="shared" si="90"/>
        <v/>
      </c>
      <c r="AO157" s="50"/>
      <c r="AP157" s="53">
        <f t="shared" si="111"/>
        <v>0</v>
      </c>
      <c r="AQ157" s="53"/>
      <c r="AR157" s="119"/>
      <c r="AS157" s="56">
        <f t="shared" si="100"/>
        <v>0</v>
      </c>
      <c r="AT157" s="298"/>
      <c r="AU157" s="298">
        <f t="shared" si="103"/>
        <v>0</v>
      </c>
      <c r="AV157" s="357" t="str">
        <f t="shared" si="105"/>
        <v/>
      </c>
      <c r="AW157" s="18"/>
      <c r="AX157" s="18" t="str">
        <f>IF(AS157=0,"",SUMIFS($AS$8:AS157, $BH$8:BH157, BH157))</f>
        <v/>
      </c>
      <c r="AY157" s="57" t="str">
        <f t="shared" ca="1" si="93"/>
        <v>no drilling completed</v>
      </c>
      <c r="AZ157" s="15" t="str">
        <f t="shared" ca="1" si="112"/>
        <v>LINK</v>
      </c>
      <c r="BB157" s="14" t="s">
        <v>211</v>
      </c>
      <c r="BC157" t="str">
        <f t="shared" si="113"/>
        <v>25</v>
      </c>
      <c r="BD157" t="str">
        <f t="shared" si="101"/>
        <v>09</v>
      </c>
      <c r="BE157" s="98">
        <f t="shared" si="102"/>
        <v>19</v>
      </c>
      <c r="BF157" t="str">
        <f t="shared" si="114"/>
        <v>N</v>
      </c>
      <c r="BG157" t="str">
        <f t="shared" si="116"/>
        <v>https://www.coreplan.io/app/ddh1-drilling/speewah-mining-speewah-fluorite-project-wa/plods/1663-250919N</v>
      </c>
      <c r="BH157" t="str">
        <f t="shared" si="115"/>
        <v>2025-09</v>
      </c>
    </row>
    <row r="158" spans="1:60">
      <c r="A158" s="510" t="e">
        <f>VLOOKUP(F158,'Tenement Lookup'!A:BH,60,FALSE)</f>
        <v>#N/A</v>
      </c>
      <c r="C158" s="152" t="str">
        <f t="shared" si="98"/>
        <v/>
      </c>
      <c r="D158" s="1">
        <f t="shared" si="99"/>
        <v>45919.21</v>
      </c>
      <c r="E158" t="s">
        <v>171</v>
      </c>
      <c r="H158" s="4"/>
      <c r="I158" s="4"/>
      <c r="J158" s="5" t="str">
        <f t="shared" si="96"/>
        <v/>
      </c>
      <c r="K158" s="21"/>
      <c r="L158" s="28"/>
      <c r="M158" s="28">
        <f t="shared" si="92"/>
        <v>0</v>
      </c>
      <c r="N158" s="30"/>
      <c r="O158" s="26"/>
      <c r="P158" s="31">
        <f t="shared" si="107"/>
        <v>0</v>
      </c>
      <c r="Q158" s="21"/>
      <c r="R158" s="28"/>
      <c r="S158" s="22">
        <f t="shared" si="108"/>
        <v>0</v>
      </c>
      <c r="T158" s="26"/>
      <c r="U158" s="26"/>
      <c r="V158" s="31">
        <f t="shared" si="109"/>
        <v>0</v>
      </c>
      <c r="W158" s="26">
        <f t="shared" si="106"/>
        <v>0</v>
      </c>
      <c r="X158" s="36">
        <f t="shared" si="97"/>
        <v>0</v>
      </c>
      <c r="Y158" s="37" t="str">
        <f t="shared" si="110"/>
        <v/>
      </c>
      <c r="Z158" s="38"/>
      <c r="AA158" s="38"/>
      <c r="AB158" s="38"/>
      <c r="AC158" s="38"/>
      <c r="AD158" s="157">
        <f t="shared" si="104"/>
        <v>0</v>
      </c>
      <c r="AE158" s="34"/>
      <c r="AF158" s="35"/>
      <c r="AG158" s="40"/>
      <c r="AH158" s="44"/>
      <c r="AI158" s="13"/>
      <c r="AJ158" s="46"/>
      <c r="AK158" s="45"/>
      <c r="AL158" s="23"/>
      <c r="AM158" s="138"/>
      <c r="AN158" s="25" t="str">
        <f t="shared" si="90"/>
        <v/>
      </c>
      <c r="AO158" s="50"/>
      <c r="AP158" s="53">
        <f t="shared" si="111"/>
        <v>0</v>
      </c>
      <c r="AQ158" s="53"/>
      <c r="AR158" s="119"/>
      <c r="AS158" s="56">
        <f t="shared" si="100"/>
        <v>0</v>
      </c>
      <c r="AT158" s="298"/>
      <c r="AU158" s="298">
        <f t="shared" si="103"/>
        <v>0</v>
      </c>
      <c r="AV158" s="357" t="str">
        <f t="shared" si="105"/>
        <v/>
      </c>
      <c r="AW158" s="18"/>
      <c r="AX158" s="18" t="str">
        <f>IF(AS158=0,"",SUMIFS($AS$8:AS158, $BH$8:BH158, BH158))</f>
        <v/>
      </c>
      <c r="AY158" s="57" t="str">
        <f t="shared" ca="1" si="93"/>
        <v>no drilling completed</v>
      </c>
      <c r="AZ158" s="15" t="str">
        <f t="shared" ca="1" si="112"/>
        <v>LINK</v>
      </c>
      <c r="BB158" s="14" t="s">
        <v>211</v>
      </c>
      <c r="BC158" t="str">
        <f t="shared" si="113"/>
        <v>25</v>
      </c>
      <c r="BD158" t="str">
        <f t="shared" si="101"/>
        <v>09</v>
      </c>
      <c r="BE158" s="98">
        <f t="shared" si="102"/>
        <v>20</v>
      </c>
      <c r="BF158" t="str">
        <f t="shared" si="114"/>
        <v>D</v>
      </c>
      <c r="BG158" t="str">
        <f t="shared" si="116"/>
        <v>https://www.coreplan.io/app/ddh1-drilling/speewah-mining-speewah-fluorite-project-wa/plods/1663-250920D</v>
      </c>
      <c r="BH158" t="str">
        <f t="shared" si="115"/>
        <v>2025-09</v>
      </c>
    </row>
    <row r="159" spans="1:60">
      <c r="A159" s="510" t="e">
        <f>VLOOKUP(F159,'Tenement Lookup'!A:BH,60,FALSE)</f>
        <v>#N/A</v>
      </c>
      <c r="C159" s="152" t="str">
        <f t="shared" si="98"/>
        <v/>
      </c>
      <c r="D159" s="1">
        <f t="shared" si="99"/>
        <v>45919.71</v>
      </c>
      <c r="E159" t="s">
        <v>172</v>
      </c>
      <c r="H159" s="4"/>
      <c r="I159" s="4"/>
      <c r="J159" s="5" t="str">
        <f t="shared" si="96"/>
        <v/>
      </c>
      <c r="K159" s="21"/>
      <c r="L159" s="28"/>
      <c r="M159" s="28">
        <f t="shared" si="92"/>
        <v>0</v>
      </c>
      <c r="N159" s="30"/>
      <c r="O159" s="26"/>
      <c r="P159" s="31">
        <f t="shared" si="107"/>
        <v>0</v>
      </c>
      <c r="Q159" s="21"/>
      <c r="R159" s="28"/>
      <c r="S159" s="22">
        <f t="shared" si="108"/>
        <v>0</v>
      </c>
      <c r="T159" s="26"/>
      <c r="U159" s="26"/>
      <c r="V159" s="31">
        <f t="shared" si="109"/>
        <v>0</v>
      </c>
      <c r="W159" s="26">
        <f t="shared" si="106"/>
        <v>0</v>
      </c>
      <c r="X159" s="36">
        <f t="shared" si="97"/>
        <v>0</v>
      </c>
      <c r="Y159" s="37" t="str">
        <f t="shared" si="110"/>
        <v/>
      </c>
      <c r="Z159" s="38"/>
      <c r="AA159" s="38"/>
      <c r="AB159" s="38"/>
      <c r="AC159" s="38"/>
      <c r="AD159" s="157">
        <f t="shared" si="104"/>
        <v>0</v>
      </c>
      <c r="AE159" s="34"/>
      <c r="AF159" s="35"/>
      <c r="AG159" s="40"/>
      <c r="AH159" s="44"/>
      <c r="AI159" s="13"/>
      <c r="AJ159" s="46"/>
      <c r="AK159" s="45"/>
      <c r="AL159" s="23"/>
      <c r="AM159" s="138"/>
      <c r="AN159" s="25" t="str">
        <f t="shared" si="90"/>
        <v/>
      </c>
      <c r="AO159" s="50"/>
      <c r="AP159" s="53">
        <f t="shared" si="111"/>
        <v>0</v>
      </c>
      <c r="AQ159" s="53"/>
      <c r="AR159" s="119"/>
      <c r="AS159" s="56">
        <f t="shared" si="100"/>
        <v>0</v>
      </c>
      <c r="AT159" s="298"/>
      <c r="AU159" s="298">
        <f t="shared" si="103"/>
        <v>0</v>
      </c>
      <c r="AV159" s="357" t="str">
        <f t="shared" si="105"/>
        <v/>
      </c>
      <c r="AW159" s="18"/>
      <c r="AX159" s="18" t="str">
        <f>IF(AS159=0,"",SUMIFS($AS$8:AS159, $BH$8:BH159, BH159))</f>
        <v/>
      </c>
      <c r="AY159" s="57" t="str">
        <f t="shared" ca="1" si="93"/>
        <v>no drilling completed</v>
      </c>
      <c r="AZ159" s="15" t="str">
        <f t="shared" ca="1" si="112"/>
        <v>LINK</v>
      </c>
      <c r="BB159" s="14" t="s">
        <v>211</v>
      </c>
      <c r="BC159" t="str">
        <f t="shared" si="113"/>
        <v>25</v>
      </c>
      <c r="BD159" t="str">
        <f t="shared" si="101"/>
        <v>09</v>
      </c>
      <c r="BE159" s="98">
        <f t="shared" si="102"/>
        <v>20</v>
      </c>
      <c r="BF159" t="str">
        <f t="shared" si="114"/>
        <v>N</v>
      </c>
      <c r="BG159" t="str">
        <f t="shared" si="116"/>
        <v>https://www.coreplan.io/app/ddh1-drilling/speewah-mining-speewah-fluorite-project-wa/plods/1663-250920N</v>
      </c>
      <c r="BH159" t="str">
        <f t="shared" si="115"/>
        <v>2025-09</v>
      </c>
    </row>
    <row r="160" spans="1:60">
      <c r="A160" s="510" t="e">
        <f>VLOOKUP(F160,'Tenement Lookup'!A:BH,60,FALSE)</f>
        <v>#N/A</v>
      </c>
      <c r="C160" s="152" t="str">
        <f t="shared" si="98"/>
        <v/>
      </c>
      <c r="D160" s="1">
        <f t="shared" si="99"/>
        <v>45920.21</v>
      </c>
      <c r="E160" t="s">
        <v>171</v>
      </c>
      <c r="H160" s="4"/>
      <c r="I160" s="4"/>
      <c r="J160" s="5" t="str">
        <f t="shared" si="96"/>
        <v/>
      </c>
      <c r="K160" s="21"/>
      <c r="L160" s="28"/>
      <c r="M160" s="28">
        <f t="shared" si="92"/>
        <v>0</v>
      </c>
      <c r="N160" s="30"/>
      <c r="O160" s="26"/>
      <c r="P160" s="31">
        <f t="shared" si="107"/>
        <v>0</v>
      </c>
      <c r="Q160" s="21"/>
      <c r="R160" s="28"/>
      <c r="S160" s="22">
        <f t="shared" si="108"/>
        <v>0</v>
      </c>
      <c r="T160" s="26"/>
      <c r="U160" s="26"/>
      <c r="V160" s="31">
        <f t="shared" si="109"/>
        <v>0</v>
      </c>
      <c r="W160" s="26">
        <f t="shared" si="106"/>
        <v>0</v>
      </c>
      <c r="X160" s="36">
        <f t="shared" si="97"/>
        <v>0</v>
      </c>
      <c r="Y160" s="37" t="str">
        <f t="shared" si="110"/>
        <v/>
      </c>
      <c r="Z160" s="38"/>
      <c r="AA160" s="38"/>
      <c r="AB160" s="38"/>
      <c r="AC160" s="38"/>
      <c r="AD160" s="157">
        <f t="shared" si="104"/>
        <v>0</v>
      </c>
      <c r="AE160" s="34"/>
      <c r="AF160" s="35"/>
      <c r="AG160" s="40"/>
      <c r="AH160" s="44"/>
      <c r="AI160" s="13"/>
      <c r="AJ160" s="46"/>
      <c r="AK160" s="45"/>
      <c r="AL160" s="23"/>
      <c r="AM160" s="138"/>
      <c r="AN160" s="25" t="str">
        <f t="shared" ref="AN160:AN190" si="117">IF(ISBLANK(AE160),"",SUM(AE160:AF160,AH160:AL160))</f>
        <v/>
      </c>
      <c r="AO160" s="50"/>
      <c r="AP160" s="53">
        <f t="shared" si="111"/>
        <v>0</v>
      </c>
      <c r="AQ160" s="53"/>
      <c r="AR160" s="119"/>
      <c r="AS160" s="56">
        <f t="shared" si="100"/>
        <v>0</v>
      </c>
      <c r="AT160" s="298"/>
      <c r="AU160" s="298">
        <f t="shared" si="103"/>
        <v>0</v>
      </c>
      <c r="AV160" s="357" t="str">
        <f t="shared" si="105"/>
        <v/>
      </c>
      <c r="AW160" s="18"/>
      <c r="AX160" s="18" t="str">
        <f>IF(AS160=0,"",SUMIFS($AS$8:AS160, $BH$8:BH160, BH160))</f>
        <v/>
      </c>
      <c r="AY160" s="57" t="str">
        <f t="shared" ca="1" si="93"/>
        <v>no drilling completed</v>
      </c>
      <c r="AZ160" s="15" t="str">
        <f t="shared" ca="1" si="112"/>
        <v>LINK</v>
      </c>
      <c r="BB160" s="14" t="s">
        <v>211</v>
      </c>
      <c r="BC160" t="str">
        <f t="shared" si="113"/>
        <v>25</v>
      </c>
      <c r="BD160" t="str">
        <f t="shared" si="101"/>
        <v>09</v>
      </c>
      <c r="BE160" s="98">
        <f t="shared" si="102"/>
        <v>21</v>
      </c>
      <c r="BF160" t="str">
        <f t="shared" si="114"/>
        <v>D</v>
      </c>
      <c r="BG160" t="str">
        <f t="shared" si="116"/>
        <v>https://www.coreplan.io/app/ddh1-drilling/speewah-mining-speewah-fluorite-project-wa/plods/1663-250921D</v>
      </c>
      <c r="BH160" t="str">
        <f t="shared" si="115"/>
        <v>2025-09</v>
      </c>
    </row>
    <row r="161" spans="1:60">
      <c r="A161" s="510" t="e">
        <f>VLOOKUP(F161,'Tenement Lookup'!A:BH,60,FALSE)</f>
        <v>#N/A</v>
      </c>
      <c r="C161" s="152" t="str">
        <f t="shared" si="98"/>
        <v/>
      </c>
      <c r="D161" s="1">
        <f t="shared" si="99"/>
        <v>45920.71</v>
      </c>
      <c r="E161" t="s">
        <v>172</v>
      </c>
      <c r="H161" s="4"/>
      <c r="I161" s="4"/>
      <c r="J161" s="5" t="str">
        <f t="shared" si="96"/>
        <v/>
      </c>
      <c r="K161" s="21"/>
      <c r="L161" s="28"/>
      <c r="M161" s="28">
        <f t="shared" si="92"/>
        <v>0</v>
      </c>
      <c r="N161" s="30"/>
      <c r="O161" s="26"/>
      <c r="P161" s="31">
        <f t="shared" si="107"/>
        <v>0</v>
      </c>
      <c r="Q161" s="21"/>
      <c r="R161" s="28"/>
      <c r="S161" s="22">
        <f t="shared" si="108"/>
        <v>0</v>
      </c>
      <c r="T161" s="26"/>
      <c r="U161" s="26"/>
      <c r="V161" s="31">
        <f t="shared" si="109"/>
        <v>0</v>
      </c>
      <c r="W161" s="26">
        <f t="shared" si="106"/>
        <v>0</v>
      </c>
      <c r="X161" s="36">
        <f t="shared" si="97"/>
        <v>0</v>
      </c>
      <c r="Y161" s="37" t="str">
        <f t="shared" si="110"/>
        <v/>
      </c>
      <c r="Z161" s="38"/>
      <c r="AA161" s="38"/>
      <c r="AB161" s="38"/>
      <c r="AC161" s="38"/>
      <c r="AD161" s="157">
        <f t="shared" si="104"/>
        <v>0</v>
      </c>
      <c r="AE161" s="34"/>
      <c r="AF161" s="35"/>
      <c r="AG161" s="40"/>
      <c r="AH161" s="44"/>
      <c r="AI161" s="13"/>
      <c r="AJ161" s="46"/>
      <c r="AK161" s="45"/>
      <c r="AL161" s="23"/>
      <c r="AM161" s="138"/>
      <c r="AN161" s="25" t="str">
        <f t="shared" si="117"/>
        <v/>
      </c>
      <c r="AO161" s="50"/>
      <c r="AP161" s="53">
        <f t="shared" si="111"/>
        <v>0</v>
      </c>
      <c r="AQ161" s="53"/>
      <c r="AR161" s="119"/>
      <c r="AS161" s="56">
        <f t="shared" si="100"/>
        <v>0</v>
      </c>
      <c r="AT161" s="298"/>
      <c r="AU161" s="298">
        <f t="shared" si="103"/>
        <v>0</v>
      </c>
      <c r="AV161" s="357" t="str">
        <f t="shared" si="105"/>
        <v/>
      </c>
      <c r="AW161" s="18"/>
      <c r="AX161" s="18" t="str">
        <f>IF(AS161=0,"",SUMIFS($AS$8:AS161, $BH$8:BH161, BH161))</f>
        <v/>
      </c>
      <c r="AY161" s="57" t="str">
        <f t="shared" ca="1" si="93"/>
        <v>no drilling completed</v>
      </c>
      <c r="AZ161" s="15" t="str">
        <f t="shared" ca="1" si="112"/>
        <v>LINK</v>
      </c>
      <c r="BB161" s="14" t="s">
        <v>211</v>
      </c>
      <c r="BC161" t="str">
        <f t="shared" si="113"/>
        <v>25</v>
      </c>
      <c r="BD161" t="str">
        <f t="shared" si="101"/>
        <v>09</v>
      </c>
      <c r="BE161" s="98">
        <f t="shared" si="102"/>
        <v>21</v>
      </c>
      <c r="BF161" t="str">
        <f t="shared" si="114"/>
        <v>N</v>
      </c>
      <c r="BG161" t="str">
        <f t="shared" si="116"/>
        <v>https://www.coreplan.io/app/ddh1-drilling/speewah-mining-speewah-fluorite-project-wa/plods/1663-250921N</v>
      </c>
      <c r="BH161" t="str">
        <f t="shared" si="115"/>
        <v>2025-09</v>
      </c>
    </row>
    <row r="162" spans="1:60">
      <c r="A162" s="510" t="e">
        <f>VLOOKUP(F162,'Tenement Lookup'!A:BH,60,FALSE)</f>
        <v>#N/A</v>
      </c>
      <c r="C162" s="152" t="str">
        <f t="shared" si="98"/>
        <v/>
      </c>
      <c r="D162" s="1">
        <f t="shared" si="99"/>
        <v>45921.21</v>
      </c>
      <c r="E162" t="s">
        <v>171</v>
      </c>
      <c r="H162" s="4"/>
      <c r="I162" s="4"/>
      <c r="J162" s="5" t="str">
        <f t="shared" si="96"/>
        <v/>
      </c>
      <c r="K162" s="21"/>
      <c r="L162" s="28"/>
      <c r="M162" s="28">
        <f t="shared" si="92"/>
        <v>0</v>
      </c>
      <c r="N162" s="30"/>
      <c r="O162" s="26"/>
      <c r="P162" s="31">
        <f t="shared" si="107"/>
        <v>0</v>
      </c>
      <c r="Q162" s="21"/>
      <c r="R162" s="28"/>
      <c r="S162" s="22">
        <f t="shared" si="108"/>
        <v>0</v>
      </c>
      <c r="T162" s="26"/>
      <c r="U162" s="26"/>
      <c r="V162" s="31">
        <f t="shared" si="109"/>
        <v>0</v>
      </c>
      <c r="W162" s="26">
        <f t="shared" si="106"/>
        <v>0</v>
      </c>
      <c r="X162" s="36">
        <f t="shared" si="97"/>
        <v>0</v>
      </c>
      <c r="Y162" s="37" t="str">
        <f t="shared" si="110"/>
        <v/>
      </c>
      <c r="Z162" s="38"/>
      <c r="AA162" s="38"/>
      <c r="AB162" s="38"/>
      <c r="AC162" s="38"/>
      <c r="AD162" s="157">
        <f t="shared" si="104"/>
        <v>0</v>
      </c>
      <c r="AE162" s="34"/>
      <c r="AF162" s="35"/>
      <c r="AG162" s="40"/>
      <c r="AH162" s="44"/>
      <c r="AI162" s="13"/>
      <c r="AJ162" s="46"/>
      <c r="AK162" s="45"/>
      <c r="AL162" s="23"/>
      <c r="AM162" s="138"/>
      <c r="AN162" s="25" t="str">
        <f t="shared" si="117"/>
        <v/>
      </c>
      <c r="AO162" s="50"/>
      <c r="AP162" s="53">
        <f t="shared" si="111"/>
        <v>0</v>
      </c>
      <c r="AQ162" s="53"/>
      <c r="AR162" s="119"/>
      <c r="AS162" s="56">
        <f t="shared" si="100"/>
        <v>0</v>
      </c>
      <c r="AT162" s="298"/>
      <c r="AU162" s="298">
        <f t="shared" si="103"/>
        <v>0</v>
      </c>
      <c r="AV162" s="357" t="str">
        <f t="shared" si="105"/>
        <v/>
      </c>
      <c r="AW162" s="18"/>
      <c r="AX162" s="18" t="str">
        <f>IF(AS162=0,"",SUMIFS($AS$8:AS162, $BH$8:BH162, BH162))</f>
        <v/>
      </c>
      <c r="AY162" s="57" t="str">
        <f t="shared" ca="1" si="93"/>
        <v>no drilling completed</v>
      </c>
      <c r="AZ162" s="15" t="str">
        <f t="shared" ca="1" si="112"/>
        <v>LINK</v>
      </c>
      <c r="BB162" s="14" t="s">
        <v>211</v>
      </c>
      <c r="BC162" t="str">
        <f t="shared" si="113"/>
        <v>25</v>
      </c>
      <c r="BD162" t="str">
        <f t="shared" si="101"/>
        <v>09</v>
      </c>
      <c r="BE162" s="98">
        <f t="shared" si="102"/>
        <v>22</v>
      </c>
      <c r="BF162" t="str">
        <f t="shared" si="114"/>
        <v>D</v>
      </c>
      <c r="BG162" t="str">
        <f t="shared" si="116"/>
        <v>https://www.coreplan.io/app/ddh1-drilling/speewah-mining-speewah-fluorite-project-wa/plods/1663-250922D</v>
      </c>
      <c r="BH162" t="str">
        <f t="shared" si="115"/>
        <v>2025-09</v>
      </c>
    </row>
    <row r="163" spans="1:60">
      <c r="A163" s="510" t="e">
        <f>VLOOKUP(F163,'Tenement Lookup'!A:BH,60,FALSE)</f>
        <v>#N/A</v>
      </c>
      <c r="C163" s="152" t="str">
        <f t="shared" si="98"/>
        <v/>
      </c>
      <c r="D163" s="1">
        <f t="shared" si="99"/>
        <v>45921.71</v>
      </c>
      <c r="E163" t="s">
        <v>172</v>
      </c>
      <c r="H163" s="4"/>
      <c r="I163" s="4"/>
      <c r="J163" s="5" t="str">
        <f t="shared" si="96"/>
        <v/>
      </c>
      <c r="K163" s="21"/>
      <c r="L163" s="28"/>
      <c r="M163" s="28">
        <f t="shared" si="92"/>
        <v>0</v>
      </c>
      <c r="N163" s="30"/>
      <c r="O163" s="26"/>
      <c r="P163" s="31">
        <f t="shared" si="107"/>
        <v>0</v>
      </c>
      <c r="Q163" s="21"/>
      <c r="R163" s="28"/>
      <c r="S163" s="22">
        <f t="shared" si="108"/>
        <v>0</v>
      </c>
      <c r="T163" s="26"/>
      <c r="U163" s="26"/>
      <c r="V163" s="31">
        <f t="shared" si="109"/>
        <v>0</v>
      </c>
      <c r="W163" s="26">
        <f t="shared" si="106"/>
        <v>0</v>
      </c>
      <c r="X163" s="36">
        <f t="shared" si="97"/>
        <v>0</v>
      </c>
      <c r="Y163" s="37" t="str">
        <f t="shared" si="110"/>
        <v/>
      </c>
      <c r="Z163" s="38"/>
      <c r="AA163" s="38"/>
      <c r="AB163" s="38"/>
      <c r="AC163" s="38"/>
      <c r="AD163" s="157">
        <f t="shared" si="104"/>
        <v>0</v>
      </c>
      <c r="AE163" s="34"/>
      <c r="AF163" s="35"/>
      <c r="AG163" s="40"/>
      <c r="AH163" s="44"/>
      <c r="AI163" s="13"/>
      <c r="AJ163" s="46"/>
      <c r="AK163" s="45"/>
      <c r="AL163" s="23"/>
      <c r="AM163" s="138"/>
      <c r="AN163" s="25" t="str">
        <f t="shared" si="117"/>
        <v/>
      </c>
      <c r="AO163" s="50"/>
      <c r="AP163" s="53">
        <f t="shared" si="111"/>
        <v>0</v>
      </c>
      <c r="AQ163" s="53"/>
      <c r="AR163" s="119"/>
      <c r="AS163" s="56">
        <f t="shared" si="100"/>
        <v>0</v>
      </c>
      <c r="AT163" s="298"/>
      <c r="AU163" s="298">
        <f t="shared" si="103"/>
        <v>0</v>
      </c>
      <c r="AV163" s="357" t="str">
        <f t="shared" si="105"/>
        <v/>
      </c>
      <c r="AW163" s="18"/>
      <c r="AX163" s="18" t="str">
        <f>IF(AS163=0,"",SUMIFS($AS$8:AS163, $BH$8:BH163, BH163))</f>
        <v/>
      </c>
      <c r="AY163" s="57" t="str">
        <f t="shared" ca="1" si="93"/>
        <v>no drilling completed</v>
      </c>
      <c r="AZ163" s="15" t="str">
        <f t="shared" ca="1" si="112"/>
        <v>LINK</v>
      </c>
      <c r="BB163" s="14" t="s">
        <v>211</v>
      </c>
      <c r="BC163" t="str">
        <f t="shared" si="113"/>
        <v>25</v>
      </c>
      <c r="BD163" t="str">
        <f t="shared" si="101"/>
        <v>09</v>
      </c>
      <c r="BE163" s="98">
        <f t="shared" si="102"/>
        <v>22</v>
      </c>
      <c r="BF163" t="str">
        <f t="shared" si="114"/>
        <v>N</v>
      </c>
      <c r="BG163" t="str">
        <f t="shared" si="116"/>
        <v>https://www.coreplan.io/app/ddh1-drilling/speewah-mining-speewah-fluorite-project-wa/plods/1663-250922N</v>
      </c>
      <c r="BH163" t="str">
        <f t="shared" si="115"/>
        <v>2025-09</v>
      </c>
    </row>
    <row r="164" spans="1:60">
      <c r="A164" s="510" t="e">
        <f>VLOOKUP(F164,'Tenement Lookup'!A:BH,60,FALSE)</f>
        <v>#N/A</v>
      </c>
      <c r="C164" s="152" t="str">
        <f t="shared" ref="C164:C195" si="118">IFERROR(IF(FIND("MET",F164),"MET",IF(FIND("GT",F164),"GT",)),"")</f>
        <v/>
      </c>
      <c r="D164" s="1">
        <f t="shared" si="99"/>
        <v>45922.21</v>
      </c>
      <c r="E164" t="s">
        <v>171</v>
      </c>
      <c r="H164" s="4"/>
      <c r="I164" s="4"/>
      <c r="J164" s="5" t="str">
        <f t="shared" si="96"/>
        <v/>
      </c>
      <c r="K164" s="21"/>
      <c r="L164" s="28"/>
      <c r="M164" s="28">
        <f t="shared" si="92"/>
        <v>0</v>
      </c>
      <c r="N164" s="30"/>
      <c r="O164" s="26"/>
      <c r="P164" s="31">
        <f t="shared" si="107"/>
        <v>0</v>
      </c>
      <c r="Q164" s="21"/>
      <c r="R164" s="28"/>
      <c r="S164" s="22">
        <f t="shared" si="108"/>
        <v>0</v>
      </c>
      <c r="T164" s="26"/>
      <c r="U164" s="26"/>
      <c r="V164" s="31">
        <f t="shared" si="109"/>
        <v>0</v>
      </c>
      <c r="W164" s="26">
        <f t="shared" si="106"/>
        <v>0</v>
      </c>
      <c r="X164" s="36">
        <f t="shared" si="97"/>
        <v>0</v>
      </c>
      <c r="Y164" s="37" t="str">
        <f t="shared" si="110"/>
        <v/>
      </c>
      <c r="Z164" s="38"/>
      <c r="AA164" s="38"/>
      <c r="AB164" s="38"/>
      <c r="AC164" s="38"/>
      <c r="AD164" s="157">
        <f t="shared" si="104"/>
        <v>0</v>
      </c>
      <c r="AE164" s="34"/>
      <c r="AF164" s="35"/>
      <c r="AG164" s="40"/>
      <c r="AH164" s="44"/>
      <c r="AI164" s="13"/>
      <c r="AJ164" s="46"/>
      <c r="AK164" s="45"/>
      <c r="AL164" s="23"/>
      <c r="AM164" s="138"/>
      <c r="AN164" s="25" t="str">
        <f t="shared" si="117"/>
        <v/>
      </c>
      <c r="AO164" s="50"/>
      <c r="AP164" s="53">
        <f t="shared" si="111"/>
        <v>0</v>
      </c>
      <c r="AQ164" s="53"/>
      <c r="AR164" s="119"/>
      <c r="AS164" s="56">
        <f t="shared" ref="AS164:AS190" si="119">SUM(Y164,AP164,AR164,J164)+AD164</f>
        <v>0</v>
      </c>
      <c r="AT164" s="298"/>
      <c r="AU164" s="298">
        <f t="shared" si="103"/>
        <v>0</v>
      </c>
      <c r="AV164" s="357" t="str">
        <f t="shared" si="105"/>
        <v/>
      </c>
      <c r="AW164" s="18"/>
      <c r="AX164" s="18" t="str">
        <f>IF(AS164=0,"",SUMIFS($AS$8:AS164, $BH$8:BH164, BH164))</f>
        <v/>
      </c>
      <c r="AY164" s="57" t="str">
        <f t="shared" ca="1" si="93"/>
        <v>no drilling completed</v>
      </c>
      <c r="AZ164" s="15" t="str">
        <f t="shared" ca="1" si="112"/>
        <v>LINK</v>
      </c>
      <c r="BB164" s="14" t="s">
        <v>211</v>
      </c>
      <c r="BC164" t="str">
        <f t="shared" si="113"/>
        <v>25</v>
      </c>
      <c r="BD164" t="str">
        <f t="shared" si="101"/>
        <v>09</v>
      </c>
      <c r="BE164" s="98">
        <f t="shared" si="102"/>
        <v>23</v>
      </c>
      <c r="BF164" t="str">
        <f t="shared" si="114"/>
        <v>D</v>
      </c>
      <c r="BG164" t="str">
        <f t="shared" si="116"/>
        <v>https://www.coreplan.io/app/ddh1-drilling/speewah-mining-speewah-fluorite-project-wa/plods/1663-250923D</v>
      </c>
      <c r="BH164" t="str">
        <f t="shared" si="115"/>
        <v>2025-09</v>
      </c>
    </row>
    <row r="165" spans="1:60">
      <c r="A165" s="510" t="e">
        <f>VLOOKUP(F165,'Tenement Lookup'!A:BH,60,FALSE)</f>
        <v>#N/A</v>
      </c>
      <c r="C165" s="152" t="str">
        <f t="shared" si="118"/>
        <v/>
      </c>
      <c r="D165" s="1">
        <f t="shared" si="99"/>
        <v>45922.71</v>
      </c>
      <c r="E165" t="s">
        <v>172</v>
      </c>
      <c r="H165" s="4"/>
      <c r="I165" s="4"/>
      <c r="J165" s="5" t="str">
        <f t="shared" si="96"/>
        <v/>
      </c>
      <c r="K165" s="21"/>
      <c r="L165" s="28"/>
      <c r="M165" s="28">
        <f t="shared" si="92"/>
        <v>0</v>
      </c>
      <c r="N165" s="30"/>
      <c r="O165" s="26"/>
      <c r="P165" s="31">
        <f t="shared" si="107"/>
        <v>0</v>
      </c>
      <c r="Q165" s="21"/>
      <c r="R165" s="28"/>
      <c r="S165" s="22">
        <f t="shared" si="108"/>
        <v>0</v>
      </c>
      <c r="T165" s="26"/>
      <c r="U165" s="26"/>
      <c r="V165" s="31">
        <f t="shared" si="109"/>
        <v>0</v>
      </c>
      <c r="W165" s="26">
        <f t="shared" si="106"/>
        <v>0</v>
      </c>
      <c r="X165" s="36">
        <f t="shared" si="97"/>
        <v>0</v>
      </c>
      <c r="Y165" s="37" t="str">
        <f t="shared" si="110"/>
        <v/>
      </c>
      <c r="Z165" s="38"/>
      <c r="AA165" s="38"/>
      <c r="AB165" s="38"/>
      <c r="AC165" s="38"/>
      <c r="AD165" s="157">
        <f t="shared" si="104"/>
        <v>0</v>
      </c>
      <c r="AE165" s="34"/>
      <c r="AF165" s="35"/>
      <c r="AG165" s="40"/>
      <c r="AH165" s="44"/>
      <c r="AI165" s="13"/>
      <c r="AJ165" s="46"/>
      <c r="AK165" s="45"/>
      <c r="AL165" s="23"/>
      <c r="AM165" s="138"/>
      <c r="AN165" s="25" t="str">
        <f t="shared" si="117"/>
        <v/>
      </c>
      <c r="AO165" s="50"/>
      <c r="AP165" s="53">
        <f t="shared" si="111"/>
        <v>0</v>
      </c>
      <c r="AQ165" s="53"/>
      <c r="AR165" s="119"/>
      <c r="AS165" s="56">
        <f t="shared" si="119"/>
        <v>0</v>
      </c>
      <c r="AT165" s="298"/>
      <c r="AU165" s="298">
        <f t="shared" si="103"/>
        <v>0</v>
      </c>
      <c r="AV165" s="357" t="str">
        <f t="shared" si="105"/>
        <v/>
      </c>
      <c r="AW165" s="18"/>
      <c r="AX165" s="18" t="str">
        <f>IF(AS165=0,"",SUMIFS($AS$8:AS165, $BH$8:BH165, BH165))</f>
        <v/>
      </c>
      <c r="AY165" s="57" t="str">
        <f t="shared" ca="1" si="93"/>
        <v>no drilling completed</v>
      </c>
      <c r="AZ165" s="15" t="str">
        <f t="shared" ca="1" si="112"/>
        <v>LINK</v>
      </c>
      <c r="BB165" s="14" t="s">
        <v>211</v>
      </c>
      <c r="BC165" t="str">
        <f t="shared" si="113"/>
        <v>25</v>
      </c>
      <c r="BD165" t="str">
        <f t="shared" si="101"/>
        <v>09</v>
      </c>
      <c r="BE165" s="98">
        <f t="shared" si="102"/>
        <v>23</v>
      </c>
      <c r="BF165" t="str">
        <f t="shared" si="114"/>
        <v>N</v>
      </c>
      <c r="BG165" t="str">
        <f t="shared" si="116"/>
        <v>https://www.coreplan.io/app/ddh1-drilling/speewah-mining-speewah-fluorite-project-wa/plods/1663-250923N</v>
      </c>
      <c r="BH165" t="str">
        <f t="shared" si="115"/>
        <v>2025-09</v>
      </c>
    </row>
    <row r="166" spans="1:60">
      <c r="A166" s="510" t="e">
        <f>VLOOKUP(F166,'Tenement Lookup'!A:BH,60,FALSE)</f>
        <v>#N/A</v>
      </c>
      <c r="C166" s="152" t="str">
        <f t="shared" si="118"/>
        <v/>
      </c>
      <c r="D166" s="1">
        <f t="shared" si="99"/>
        <v>45923.21</v>
      </c>
      <c r="E166" t="s">
        <v>171</v>
      </c>
      <c r="H166" s="4"/>
      <c r="I166" s="4"/>
      <c r="J166" s="5" t="str">
        <f t="shared" si="96"/>
        <v/>
      </c>
      <c r="K166" s="21"/>
      <c r="L166" s="28"/>
      <c r="M166" s="28">
        <f t="shared" si="92"/>
        <v>0</v>
      </c>
      <c r="N166" s="30"/>
      <c r="O166" s="26"/>
      <c r="P166" s="31">
        <f t="shared" si="107"/>
        <v>0</v>
      </c>
      <c r="Q166" s="21"/>
      <c r="R166" s="28"/>
      <c r="S166" s="22">
        <f t="shared" si="108"/>
        <v>0</v>
      </c>
      <c r="T166" s="26"/>
      <c r="U166" s="26"/>
      <c r="V166" s="31">
        <f t="shared" si="109"/>
        <v>0</v>
      </c>
      <c r="W166" s="26">
        <f t="shared" si="106"/>
        <v>0</v>
      </c>
      <c r="X166" s="36">
        <f t="shared" si="97"/>
        <v>0</v>
      </c>
      <c r="Y166" s="37" t="str">
        <f t="shared" si="110"/>
        <v/>
      </c>
      <c r="Z166" s="38"/>
      <c r="AA166" s="38"/>
      <c r="AB166" s="38"/>
      <c r="AC166" s="38"/>
      <c r="AD166" s="157">
        <f t="shared" si="104"/>
        <v>0</v>
      </c>
      <c r="AE166" s="34"/>
      <c r="AF166" s="35"/>
      <c r="AG166" s="40"/>
      <c r="AH166" s="44"/>
      <c r="AI166" s="13"/>
      <c r="AJ166" s="46"/>
      <c r="AK166" s="45"/>
      <c r="AL166" s="23"/>
      <c r="AM166" s="138"/>
      <c r="AN166" s="25" t="str">
        <f t="shared" si="117"/>
        <v/>
      </c>
      <c r="AO166" s="50"/>
      <c r="AP166" s="53">
        <f t="shared" si="111"/>
        <v>0</v>
      </c>
      <c r="AQ166" s="53"/>
      <c r="AR166" s="119"/>
      <c r="AS166" s="56">
        <f t="shared" si="119"/>
        <v>0</v>
      </c>
      <c r="AT166" s="298"/>
      <c r="AU166" s="298">
        <f t="shared" si="103"/>
        <v>0</v>
      </c>
      <c r="AV166" s="357" t="str">
        <f t="shared" si="105"/>
        <v/>
      </c>
      <c r="AW166" s="18"/>
      <c r="AX166" s="18" t="str">
        <f>IF(AS166=0,"",SUMIFS($AS$8:AS166, $BH$8:BH166, BH166))</f>
        <v/>
      </c>
      <c r="AY166" s="57" t="str">
        <f t="shared" ca="1" si="93"/>
        <v>no drilling completed</v>
      </c>
      <c r="AZ166" s="15" t="str">
        <f t="shared" ca="1" si="112"/>
        <v>LINK</v>
      </c>
      <c r="BB166" s="14" t="s">
        <v>211</v>
      </c>
      <c r="BC166" t="str">
        <f t="shared" si="113"/>
        <v>25</v>
      </c>
      <c r="BD166" t="str">
        <f t="shared" si="101"/>
        <v>09</v>
      </c>
      <c r="BE166" s="98">
        <f t="shared" si="102"/>
        <v>24</v>
      </c>
      <c r="BF166" t="str">
        <f t="shared" si="114"/>
        <v>D</v>
      </c>
      <c r="BG166" t="str">
        <f t="shared" si="116"/>
        <v>https://www.coreplan.io/app/ddh1-drilling/speewah-mining-speewah-fluorite-project-wa/plods/1663-250924D</v>
      </c>
      <c r="BH166" t="str">
        <f t="shared" si="115"/>
        <v>2025-09</v>
      </c>
    </row>
    <row r="167" spans="1:60">
      <c r="A167" s="510" t="e">
        <f>VLOOKUP(F167,'Tenement Lookup'!A:BH,60,FALSE)</f>
        <v>#N/A</v>
      </c>
      <c r="C167" s="152" t="str">
        <f t="shared" si="118"/>
        <v/>
      </c>
      <c r="D167" s="1">
        <f t="shared" si="99"/>
        <v>45923.71</v>
      </c>
      <c r="E167" t="s">
        <v>172</v>
      </c>
      <c r="H167" s="4"/>
      <c r="I167" s="4"/>
      <c r="J167" s="5" t="str">
        <f t="shared" si="96"/>
        <v/>
      </c>
      <c r="K167" s="21"/>
      <c r="L167" s="28"/>
      <c r="M167" s="28">
        <f t="shared" si="92"/>
        <v>0</v>
      </c>
      <c r="N167" s="30"/>
      <c r="O167" s="26"/>
      <c r="P167" s="31">
        <f t="shared" si="107"/>
        <v>0</v>
      </c>
      <c r="Q167" s="21"/>
      <c r="R167" s="28"/>
      <c r="S167" s="22">
        <f t="shared" si="108"/>
        <v>0</v>
      </c>
      <c r="T167" s="26"/>
      <c r="U167" s="26"/>
      <c r="V167" s="31">
        <f t="shared" si="109"/>
        <v>0</v>
      </c>
      <c r="W167" s="26">
        <f t="shared" si="106"/>
        <v>0</v>
      </c>
      <c r="X167" s="36">
        <f t="shared" si="97"/>
        <v>0</v>
      </c>
      <c r="Y167" s="37" t="str">
        <f t="shared" si="110"/>
        <v/>
      </c>
      <c r="Z167" s="38"/>
      <c r="AA167" s="38"/>
      <c r="AB167" s="38"/>
      <c r="AC167" s="38"/>
      <c r="AD167" s="157">
        <f t="shared" si="104"/>
        <v>0</v>
      </c>
      <c r="AE167" s="34"/>
      <c r="AF167" s="35"/>
      <c r="AG167" s="40"/>
      <c r="AH167" s="44"/>
      <c r="AI167" s="13"/>
      <c r="AJ167" s="46"/>
      <c r="AK167" s="45"/>
      <c r="AL167" s="23"/>
      <c r="AM167" s="138"/>
      <c r="AN167" s="25" t="str">
        <f t="shared" si="117"/>
        <v/>
      </c>
      <c r="AO167" s="50"/>
      <c r="AP167" s="53">
        <f t="shared" si="111"/>
        <v>0</v>
      </c>
      <c r="AQ167" s="53"/>
      <c r="AR167" s="119"/>
      <c r="AS167" s="56">
        <f t="shared" si="119"/>
        <v>0</v>
      </c>
      <c r="AT167" s="298"/>
      <c r="AU167" s="298">
        <f t="shared" si="103"/>
        <v>0</v>
      </c>
      <c r="AV167" s="357" t="str">
        <f t="shared" si="105"/>
        <v/>
      </c>
      <c r="AW167" s="18"/>
      <c r="AX167" s="18" t="str">
        <f>IF(AS167=0,"",SUMIFS($AS$8:AS167, $BH$8:BH167, BH167))</f>
        <v/>
      </c>
      <c r="AY167" s="57" t="str">
        <f t="shared" ca="1" si="93"/>
        <v>no drilling completed</v>
      </c>
      <c r="AZ167" s="15" t="str">
        <f t="shared" ca="1" si="112"/>
        <v>LINK</v>
      </c>
      <c r="BB167" s="14" t="s">
        <v>211</v>
      </c>
      <c r="BC167" t="str">
        <f t="shared" si="113"/>
        <v>25</v>
      </c>
      <c r="BD167" t="str">
        <f t="shared" si="101"/>
        <v>09</v>
      </c>
      <c r="BE167" s="98">
        <f t="shared" si="102"/>
        <v>24</v>
      </c>
      <c r="BF167" t="str">
        <f t="shared" si="114"/>
        <v>N</v>
      </c>
      <c r="BG167" t="str">
        <f t="shared" si="116"/>
        <v>https://www.coreplan.io/app/ddh1-drilling/speewah-mining-speewah-fluorite-project-wa/plods/1663-250924N</v>
      </c>
      <c r="BH167" t="str">
        <f t="shared" si="115"/>
        <v>2025-09</v>
      </c>
    </row>
    <row r="168" spans="1:60">
      <c r="A168" s="510" t="e">
        <f>VLOOKUP(F168,'Tenement Lookup'!A:BH,60,FALSE)</f>
        <v>#N/A</v>
      </c>
      <c r="C168" s="152" t="str">
        <f t="shared" si="118"/>
        <v/>
      </c>
      <c r="D168" s="1">
        <f t="shared" si="99"/>
        <v>45924.21</v>
      </c>
      <c r="E168" t="s">
        <v>171</v>
      </c>
      <c r="H168" s="4"/>
      <c r="I168" s="4"/>
      <c r="J168" s="5" t="str">
        <f t="shared" si="96"/>
        <v/>
      </c>
      <c r="K168" s="21"/>
      <c r="L168" s="28"/>
      <c r="M168" s="28">
        <f t="shared" si="92"/>
        <v>0</v>
      </c>
      <c r="N168" s="30"/>
      <c r="O168" s="26"/>
      <c r="P168" s="31">
        <f t="shared" si="107"/>
        <v>0</v>
      </c>
      <c r="Q168" s="21"/>
      <c r="R168" s="28"/>
      <c r="S168" s="22">
        <f t="shared" si="108"/>
        <v>0</v>
      </c>
      <c r="T168" s="26"/>
      <c r="U168" s="26"/>
      <c r="V168" s="31">
        <f t="shared" si="109"/>
        <v>0</v>
      </c>
      <c r="W168" s="26">
        <f t="shared" si="106"/>
        <v>0</v>
      </c>
      <c r="X168" s="36">
        <f t="shared" si="97"/>
        <v>0</v>
      </c>
      <c r="Y168" s="37" t="str">
        <f t="shared" si="110"/>
        <v/>
      </c>
      <c r="Z168" s="38"/>
      <c r="AA168" s="38"/>
      <c r="AB168" s="38"/>
      <c r="AC168" s="38"/>
      <c r="AD168" s="157">
        <f t="shared" si="104"/>
        <v>0</v>
      </c>
      <c r="AE168" s="34"/>
      <c r="AF168" s="35"/>
      <c r="AG168" s="40"/>
      <c r="AH168" s="44"/>
      <c r="AI168" s="13"/>
      <c r="AJ168" s="46"/>
      <c r="AK168" s="45"/>
      <c r="AL168" s="23"/>
      <c r="AM168" s="138"/>
      <c r="AN168" s="25" t="str">
        <f t="shared" si="117"/>
        <v/>
      </c>
      <c r="AO168" s="50"/>
      <c r="AP168" s="53">
        <f t="shared" si="111"/>
        <v>0</v>
      </c>
      <c r="AQ168" s="53"/>
      <c r="AR168" s="119"/>
      <c r="AS168" s="56">
        <f t="shared" si="119"/>
        <v>0</v>
      </c>
      <c r="AT168" s="298"/>
      <c r="AU168" s="298">
        <f t="shared" si="103"/>
        <v>0</v>
      </c>
      <c r="AV168" s="357" t="str">
        <f t="shared" si="105"/>
        <v/>
      </c>
      <c r="AW168" s="18"/>
      <c r="AX168" s="18" t="str">
        <f>IF(AS168=0,"",SUMIFS($AS$8:AS168, $BH$8:BH168, BH168))</f>
        <v/>
      </c>
      <c r="AY168" s="57" t="str">
        <f t="shared" ca="1" si="93"/>
        <v>no drilling completed</v>
      </c>
      <c r="AZ168" s="15" t="str">
        <f t="shared" ca="1" si="112"/>
        <v>LINK</v>
      </c>
      <c r="BB168" s="14" t="s">
        <v>211</v>
      </c>
      <c r="BC168" t="str">
        <f t="shared" si="113"/>
        <v>25</v>
      </c>
      <c r="BD168" t="str">
        <f t="shared" si="101"/>
        <v>09</v>
      </c>
      <c r="BE168" s="98">
        <f t="shared" si="102"/>
        <v>25</v>
      </c>
      <c r="BF168" t="str">
        <f t="shared" si="114"/>
        <v>D</v>
      </c>
      <c r="BG168" t="str">
        <f t="shared" si="116"/>
        <v>https://www.coreplan.io/app/ddh1-drilling/speewah-mining-speewah-fluorite-project-wa/plods/1663-250925D</v>
      </c>
      <c r="BH168" t="str">
        <f t="shared" si="115"/>
        <v>2025-09</v>
      </c>
    </row>
    <row r="169" spans="1:60">
      <c r="A169" s="510" t="e">
        <f>VLOOKUP(F169,'Tenement Lookup'!A:BH,60,FALSE)</f>
        <v>#N/A</v>
      </c>
      <c r="C169" s="152" t="str">
        <f t="shared" si="118"/>
        <v/>
      </c>
      <c r="D169" s="1">
        <f t="shared" si="99"/>
        <v>45924.71</v>
      </c>
      <c r="E169" t="s">
        <v>172</v>
      </c>
      <c r="H169" s="4"/>
      <c r="I169" s="4"/>
      <c r="J169" s="5" t="str">
        <f t="shared" si="96"/>
        <v/>
      </c>
      <c r="K169" s="21"/>
      <c r="L169" s="28"/>
      <c r="M169" s="28">
        <f t="shared" si="92"/>
        <v>0</v>
      </c>
      <c r="N169" s="30"/>
      <c r="O169" s="26"/>
      <c r="P169" s="31">
        <f t="shared" si="107"/>
        <v>0</v>
      </c>
      <c r="Q169" s="21"/>
      <c r="R169" s="28"/>
      <c r="S169" s="22">
        <f t="shared" si="108"/>
        <v>0</v>
      </c>
      <c r="T169" s="26"/>
      <c r="U169" s="26"/>
      <c r="V169" s="31">
        <f t="shared" si="109"/>
        <v>0</v>
      </c>
      <c r="W169" s="26">
        <f t="shared" si="106"/>
        <v>0</v>
      </c>
      <c r="X169" s="36">
        <f t="shared" si="97"/>
        <v>0</v>
      </c>
      <c r="Y169" s="37" t="str">
        <f t="shared" si="110"/>
        <v/>
      </c>
      <c r="Z169" s="38"/>
      <c r="AA169" s="38"/>
      <c r="AB169" s="38"/>
      <c r="AC169" s="38"/>
      <c r="AD169" s="157">
        <f t="shared" si="104"/>
        <v>0</v>
      </c>
      <c r="AE169" s="34"/>
      <c r="AF169" s="35"/>
      <c r="AG169" s="40"/>
      <c r="AH169" s="44"/>
      <c r="AI169" s="13"/>
      <c r="AJ169" s="46"/>
      <c r="AK169" s="45"/>
      <c r="AL169" s="23"/>
      <c r="AM169" s="138"/>
      <c r="AN169" s="25" t="str">
        <f t="shared" si="117"/>
        <v/>
      </c>
      <c r="AO169" s="50"/>
      <c r="AP169" s="53">
        <f t="shared" si="111"/>
        <v>0</v>
      </c>
      <c r="AQ169" s="53"/>
      <c r="AR169" s="119"/>
      <c r="AS169" s="56">
        <f t="shared" si="119"/>
        <v>0</v>
      </c>
      <c r="AT169" s="298"/>
      <c r="AU169" s="298">
        <f t="shared" si="103"/>
        <v>0</v>
      </c>
      <c r="AV169" s="357" t="str">
        <f t="shared" si="105"/>
        <v/>
      </c>
      <c r="AW169" s="18"/>
      <c r="AX169" s="18" t="str">
        <f>IF(AS169=0,"",SUMIFS($AS$8:AS169, $BH$8:BH169, BH169))</f>
        <v/>
      </c>
      <c r="AY169" s="57" t="str">
        <f t="shared" ca="1" si="93"/>
        <v>no drilling completed</v>
      </c>
      <c r="AZ169" s="15" t="str">
        <f t="shared" ca="1" si="112"/>
        <v>LINK</v>
      </c>
      <c r="BB169" s="14" t="s">
        <v>211</v>
      </c>
      <c r="BC169" t="str">
        <f t="shared" si="113"/>
        <v>25</v>
      </c>
      <c r="BD169" t="str">
        <f t="shared" si="101"/>
        <v>09</v>
      </c>
      <c r="BE169" s="98">
        <f t="shared" si="102"/>
        <v>25</v>
      </c>
      <c r="BF169" t="str">
        <f t="shared" si="114"/>
        <v>N</v>
      </c>
      <c r="BG169" t="str">
        <f t="shared" si="116"/>
        <v>https://www.coreplan.io/app/ddh1-drilling/speewah-mining-speewah-fluorite-project-wa/plods/1663-250925N</v>
      </c>
      <c r="BH169" t="str">
        <f t="shared" si="115"/>
        <v>2025-09</v>
      </c>
    </row>
    <row r="170" spans="1:60">
      <c r="A170" s="510" t="e">
        <f>VLOOKUP(F170,'Tenement Lookup'!A:BH,60,FALSE)</f>
        <v>#N/A</v>
      </c>
      <c r="C170" s="152" t="str">
        <f t="shared" si="118"/>
        <v/>
      </c>
      <c r="D170" s="1">
        <f t="shared" si="99"/>
        <v>45925.21</v>
      </c>
      <c r="E170" t="s">
        <v>171</v>
      </c>
      <c r="H170" s="4"/>
      <c r="I170" s="4"/>
      <c r="J170" s="5" t="str">
        <f t="shared" si="96"/>
        <v/>
      </c>
      <c r="K170" s="21"/>
      <c r="L170" s="28"/>
      <c r="M170" s="28">
        <f t="shared" si="92"/>
        <v>0</v>
      </c>
      <c r="N170" s="30"/>
      <c r="O170" s="26"/>
      <c r="P170" s="31">
        <f t="shared" si="107"/>
        <v>0</v>
      </c>
      <c r="Q170" s="21"/>
      <c r="R170" s="28"/>
      <c r="S170" s="22">
        <f t="shared" si="108"/>
        <v>0</v>
      </c>
      <c r="T170" s="26"/>
      <c r="U170" s="26"/>
      <c r="V170" s="31">
        <f t="shared" si="109"/>
        <v>0</v>
      </c>
      <c r="W170" s="26">
        <f t="shared" si="106"/>
        <v>0</v>
      </c>
      <c r="X170" s="36">
        <f t="shared" si="97"/>
        <v>0</v>
      </c>
      <c r="Y170" s="37" t="str">
        <f t="shared" si="110"/>
        <v/>
      </c>
      <c r="Z170" s="38"/>
      <c r="AA170" s="38"/>
      <c r="AB170" s="38"/>
      <c r="AC170" s="38"/>
      <c r="AD170" s="157">
        <f t="shared" si="104"/>
        <v>0</v>
      </c>
      <c r="AE170" s="34"/>
      <c r="AF170" s="35"/>
      <c r="AG170" s="40"/>
      <c r="AH170" s="44"/>
      <c r="AI170" s="13"/>
      <c r="AJ170" s="46"/>
      <c r="AK170" s="45"/>
      <c r="AL170" s="23"/>
      <c r="AM170" s="138"/>
      <c r="AN170" s="25" t="str">
        <f t="shared" si="117"/>
        <v/>
      </c>
      <c r="AO170" s="50"/>
      <c r="AP170" s="53">
        <f t="shared" si="111"/>
        <v>0</v>
      </c>
      <c r="AQ170" s="53"/>
      <c r="AR170" s="119"/>
      <c r="AS170" s="56">
        <f t="shared" si="119"/>
        <v>0</v>
      </c>
      <c r="AT170" s="298"/>
      <c r="AU170" s="298">
        <f t="shared" si="103"/>
        <v>0</v>
      </c>
      <c r="AV170" s="357" t="str">
        <f t="shared" si="105"/>
        <v/>
      </c>
      <c r="AW170" s="18"/>
      <c r="AX170" s="18" t="str">
        <f>IF(AS170=0,"",SUMIFS($AS$8:AS170, $BH$8:BH170, BH170))</f>
        <v/>
      </c>
      <c r="AY170" s="57" t="str">
        <f t="shared" ca="1" si="93"/>
        <v>no drilling completed</v>
      </c>
      <c r="AZ170" s="15" t="str">
        <f t="shared" ca="1" si="112"/>
        <v>LINK</v>
      </c>
      <c r="BB170" s="14" t="s">
        <v>211</v>
      </c>
      <c r="BC170" t="str">
        <f t="shared" si="113"/>
        <v>25</v>
      </c>
      <c r="BD170" t="str">
        <f t="shared" si="101"/>
        <v>09</v>
      </c>
      <c r="BE170" s="98">
        <f t="shared" si="102"/>
        <v>26</v>
      </c>
      <c r="BF170" t="str">
        <f t="shared" si="114"/>
        <v>D</v>
      </c>
      <c r="BG170" t="str">
        <f t="shared" si="116"/>
        <v>https://www.coreplan.io/app/ddh1-drilling/speewah-mining-speewah-fluorite-project-wa/plods/1663-250926D</v>
      </c>
      <c r="BH170" t="str">
        <f t="shared" si="115"/>
        <v>2025-09</v>
      </c>
    </row>
    <row r="171" spans="1:60">
      <c r="A171" s="510" t="e">
        <f>VLOOKUP(F171,'Tenement Lookup'!A:BH,60,FALSE)</f>
        <v>#N/A</v>
      </c>
      <c r="C171" s="152" t="str">
        <f t="shared" si="118"/>
        <v/>
      </c>
      <c r="D171" s="1">
        <f t="shared" si="99"/>
        <v>45925.71</v>
      </c>
      <c r="E171" t="s">
        <v>172</v>
      </c>
      <c r="H171" s="4"/>
      <c r="I171" s="4"/>
      <c r="J171" s="5" t="str">
        <f t="shared" si="96"/>
        <v/>
      </c>
      <c r="K171" s="21"/>
      <c r="L171" s="28"/>
      <c r="M171" s="28">
        <f t="shared" si="92"/>
        <v>0</v>
      </c>
      <c r="N171" s="30"/>
      <c r="O171" s="26"/>
      <c r="P171" s="31">
        <f t="shared" si="107"/>
        <v>0</v>
      </c>
      <c r="Q171" s="21"/>
      <c r="R171" s="28"/>
      <c r="S171" s="22">
        <f t="shared" si="108"/>
        <v>0</v>
      </c>
      <c r="T171" s="26"/>
      <c r="U171" s="26"/>
      <c r="V171" s="31">
        <f t="shared" si="109"/>
        <v>0</v>
      </c>
      <c r="W171" s="26">
        <f t="shared" si="106"/>
        <v>0</v>
      </c>
      <c r="X171" s="36">
        <f t="shared" si="97"/>
        <v>0</v>
      </c>
      <c r="Y171" s="37" t="str">
        <f t="shared" si="110"/>
        <v/>
      </c>
      <c r="Z171" s="38"/>
      <c r="AA171" s="38"/>
      <c r="AB171" s="38"/>
      <c r="AC171" s="38"/>
      <c r="AD171" s="157">
        <f t="shared" si="104"/>
        <v>0</v>
      </c>
      <c r="AE171" s="34"/>
      <c r="AF171" s="35"/>
      <c r="AG171" s="40"/>
      <c r="AH171" s="44"/>
      <c r="AI171" s="13"/>
      <c r="AJ171" s="46"/>
      <c r="AK171" s="45"/>
      <c r="AL171" s="23"/>
      <c r="AM171" s="138"/>
      <c r="AN171" s="25" t="str">
        <f t="shared" si="117"/>
        <v/>
      </c>
      <c r="AO171" s="50"/>
      <c r="AP171" s="53">
        <f t="shared" si="111"/>
        <v>0</v>
      </c>
      <c r="AQ171" s="53"/>
      <c r="AR171" s="119"/>
      <c r="AS171" s="56">
        <f t="shared" si="119"/>
        <v>0</v>
      </c>
      <c r="AT171" s="298"/>
      <c r="AU171" s="298">
        <f t="shared" si="103"/>
        <v>0</v>
      </c>
      <c r="AV171" s="357" t="str">
        <f t="shared" si="105"/>
        <v/>
      </c>
      <c r="AW171" s="18"/>
      <c r="AX171" s="18" t="str">
        <f>IF(AS171=0,"",SUMIFS($AS$8:AS171, $BH$8:BH171, BH171))</f>
        <v/>
      </c>
      <c r="AY171" s="57" t="str">
        <f t="shared" ca="1" si="93"/>
        <v>no drilling completed</v>
      </c>
      <c r="AZ171" s="15" t="str">
        <f t="shared" ca="1" si="112"/>
        <v>LINK</v>
      </c>
      <c r="BB171" s="14" t="s">
        <v>211</v>
      </c>
      <c r="BC171" t="str">
        <f t="shared" si="113"/>
        <v>25</v>
      </c>
      <c r="BD171" t="str">
        <f t="shared" si="101"/>
        <v>09</v>
      </c>
      <c r="BE171" s="98">
        <f t="shared" si="102"/>
        <v>26</v>
      </c>
      <c r="BF171" t="str">
        <f t="shared" si="114"/>
        <v>N</v>
      </c>
      <c r="BG171" t="str">
        <f t="shared" si="116"/>
        <v>https://www.coreplan.io/app/ddh1-drilling/speewah-mining-speewah-fluorite-project-wa/plods/1663-250926N</v>
      </c>
      <c r="BH171" t="str">
        <f t="shared" si="115"/>
        <v>2025-09</v>
      </c>
    </row>
    <row r="172" spans="1:60">
      <c r="A172" s="510" t="e">
        <f>VLOOKUP(F172,'Tenement Lookup'!A:BH,60,FALSE)</f>
        <v>#N/A</v>
      </c>
      <c r="C172" s="152" t="str">
        <f t="shared" si="118"/>
        <v/>
      </c>
      <c r="D172" s="1">
        <f t="shared" si="99"/>
        <v>45926.21</v>
      </c>
      <c r="E172" t="s">
        <v>171</v>
      </c>
      <c r="H172" s="4"/>
      <c r="I172" s="4"/>
      <c r="J172" s="5" t="str">
        <f t="shared" si="96"/>
        <v/>
      </c>
      <c r="K172" s="21"/>
      <c r="L172" s="28"/>
      <c r="M172" s="28">
        <f t="shared" si="92"/>
        <v>0</v>
      </c>
      <c r="N172" s="30"/>
      <c r="O172" s="26"/>
      <c r="P172" s="31">
        <f t="shared" si="107"/>
        <v>0</v>
      </c>
      <c r="Q172" s="21"/>
      <c r="R172" s="28"/>
      <c r="S172" s="22">
        <f t="shared" si="108"/>
        <v>0</v>
      </c>
      <c r="T172" s="26"/>
      <c r="U172" s="26"/>
      <c r="V172" s="31">
        <f t="shared" si="109"/>
        <v>0</v>
      </c>
      <c r="W172" s="26">
        <f t="shared" si="106"/>
        <v>0</v>
      </c>
      <c r="X172" s="36">
        <f t="shared" si="97"/>
        <v>0</v>
      </c>
      <c r="Y172" s="37" t="str">
        <f t="shared" si="110"/>
        <v/>
      </c>
      <c r="Z172" s="38"/>
      <c r="AA172" s="38"/>
      <c r="AB172" s="38"/>
      <c r="AC172" s="38"/>
      <c r="AD172" s="157">
        <f t="shared" si="104"/>
        <v>0</v>
      </c>
      <c r="AE172" s="34"/>
      <c r="AF172" s="35"/>
      <c r="AG172" s="40"/>
      <c r="AH172" s="44"/>
      <c r="AI172" s="13"/>
      <c r="AJ172" s="46"/>
      <c r="AK172" s="45"/>
      <c r="AL172" s="23"/>
      <c r="AM172" s="138"/>
      <c r="AN172" s="25" t="str">
        <f t="shared" si="117"/>
        <v/>
      </c>
      <c r="AO172" s="50"/>
      <c r="AP172" s="53">
        <f t="shared" si="111"/>
        <v>0</v>
      </c>
      <c r="AQ172" s="53"/>
      <c r="AR172" s="119"/>
      <c r="AS172" s="56">
        <f t="shared" si="119"/>
        <v>0</v>
      </c>
      <c r="AT172" s="298"/>
      <c r="AU172" s="298">
        <f t="shared" si="103"/>
        <v>0</v>
      </c>
      <c r="AV172" s="357" t="str">
        <f t="shared" si="105"/>
        <v/>
      </c>
      <c r="AW172" s="18"/>
      <c r="AX172" s="18" t="str">
        <f>IF(AS172=0,"",SUMIFS($AS$8:AS172, $BH$8:BH172, BH172))</f>
        <v/>
      </c>
      <c r="AY172" s="57" t="str">
        <f t="shared" ca="1" si="93"/>
        <v>no drilling completed</v>
      </c>
      <c r="AZ172" s="15" t="str">
        <f t="shared" ca="1" si="112"/>
        <v>LINK</v>
      </c>
      <c r="BB172" s="14" t="s">
        <v>211</v>
      </c>
      <c r="BC172" t="str">
        <f t="shared" si="113"/>
        <v>25</v>
      </c>
      <c r="BD172" t="str">
        <f t="shared" si="101"/>
        <v>09</v>
      </c>
      <c r="BE172" s="98">
        <f t="shared" si="102"/>
        <v>27</v>
      </c>
      <c r="BF172" t="str">
        <f t="shared" si="114"/>
        <v>D</v>
      </c>
      <c r="BG172" t="str">
        <f t="shared" si="116"/>
        <v>https://www.coreplan.io/app/ddh1-drilling/speewah-mining-speewah-fluorite-project-wa/plods/1663-250927D</v>
      </c>
      <c r="BH172" t="str">
        <f t="shared" si="115"/>
        <v>2025-09</v>
      </c>
    </row>
    <row r="173" spans="1:60">
      <c r="A173" s="510" t="e">
        <f>VLOOKUP(F173,'Tenement Lookup'!A:BH,60,FALSE)</f>
        <v>#N/A</v>
      </c>
      <c r="C173" s="152" t="str">
        <f t="shared" si="118"/>
        <v/>
      </c>
      <c r="D173" s="1">
        <f t="shared" si="99"/>
        <v>45926.71</v>
      </c>
      <c r="E173" t="s">
        <v>172</v>
      </c>
      <c r="H173" s="4"/>
      <c r="I173" s="4"/>
      <c r="J173" s="5" t="str">
        <f t="shared" si="96"/>
        <v/>
      </c>
      <c r="K173" s="21"/>
      <c r="L173" s="28"/>
      <c r="M173" s="28">
        <f t="shared" si="92"/>
        <v>0</v>
      </c>
      <c r="N173" s="30"/>
      <c r="O173" s="26"/>
      <c r="P173" s="31">
        <f t="shared" si="107"/>
        <v>0</v>
      </c>
      <c r="Q173" s="21"/>
      <c r="R173" s="28"/>
      <c r="S173" s="22">
        <f t="shared" si="108"/>
        <v>0</v>
      </c>
      <c r="T173" s="26"/>
      <c r="U173" s="26"/>
      <c r="V173" s="31">
        <f t="shared" si="109"/>
        <v>0</v>
      </c>
      <c r="W173" s="26">
        <f t="shared" si="106"/>
        <v>0</v>
      </c>
      <c r="X173" s="36">
        <f t="shared" si="97"/>
        <v>0</v>
      </c>
      <c r="Y173" s="37" t="str">
        <f t="shared" si="110"/>
        <v/>
      </c>
      <c r="Z173" s="38"/>
      <c r="AA173" s="38"/>
      <c r="AB173" s="38"/>
      <c r="AC173" s="38"/>
      <c r="AD173" s="157">
        <f t="shared" si="104"/>
        <v>0</v>
      </c>
      <c r="AE173" s="34"/>
      <c r="AF173" s="35"/>
      <c r="AG173" s="40"/>
      <c r="AH173" s="44"/>
      <c r="AI173" s="13"/>
      <c r="AJ173" s="46"/>
      <c r="AK173" s="45"/>
      <c r="AL173" s="23"/>
      <c r="AM173" s="138"/>
      <c r="AN173" s="25" t="str">
        <f t="shared" si="117"/>
        <v/>
      </c>
      <c r="AO173" s="50"/>
      <c r="AP173" s="53">
        <f t="shared" si="111"/>
        <v>0</v>
      </c>
      <c r="AQ173" s="53"/>
      <c r="AR173" s="119"/>
      <c r="AS173" s="56">
        <f t="shared" si="119"/>
        <v>0</v>
      </c>
      <c r="AT173" s="298"/>
      <c r="AU173" s="298">
        <f t="shared" si="103"/>
        <v>0</v>
      </c>
      <c r="AV173" s="357" t="str">
        <f t="shared" si="105"/>
        <v/>
      </c>
      <c r="AW173" s="18"/>
      <c r="AX173" s="18" t="str">
        <f>IF(AS173=0,"",SUMIFS($AS$8:AS173, $BH$8:BH173, BH173))</f>
        <v/>
      </c>
      <c r="AY173" s="57" t="str">
        <f t="shared" ca="1" si="93"/>
        <v>no drilling completed</v>
      </c>
      <c r="AZ173" s="15" t="str">
        <f t="shared" ca="1" si="112"/>
        <v>LINK</v>
      </c>
      <c r="BB173" s="14" t="s">
        <v>211</v>
      </c>
      <c r="BC173" t="str">
        <f t="shared" si="113"/>
        <v>25</v>
      </c>
      <c r="BD173" t="str">
        <f t="shared" si="101"/>
        <v>09</v>
      </c>
      <c r="BE173" s="98">
        <f t="shared" si="102"/>
        <v>27</v>
      </c>
      <c r="BF173" t="str">
        <f t="shared" si="114"/>
        <v>N</v>
      </c>
      <c r="BG173" t="str">
        <f t="shared" si="116"/>
        <v>https://www.coreplan.io/app/ddh1-drilling/speewah-mining-speewah-fluorite-project-wa/plods/1663-250927N</v>
      </c>
      <c r="BH173" t="str">
        <f t="shared" si="115"/>
        <v>2025-09</v>
      </c>
    </row>
    <row r="174" spans="1:60">
      <c r="A174" s="510" t="e">
        <f>VLOOKUP(F174,'Tenement Lookup'!A:BH,60,FALSE)</f>
        <v>#N/A</v>
      </c>
      <c r="C174" s="152" t="str">
        <f t="shared" si="118"/>
        <v/>
      </c>
      <c r="D174" s="1">
        <f t="shared" si="99"/>
        <v>45927.21</v>
      </c>
      <c r="E174" t="s">
        <v>171</v>
      </c>
      <c r="H174" s="4"/>
      <c r="I174" s="4"/>
      <c r="J174" s="5" t="str">
        <f t="shared" si="96"/>
        <v/>
      </c>
      <c r="K174" s="21"/>
      <c r="L174" s="28"/>
      <c r="M174" s="28">
        <f t="shared" ref="M174:M190" si="120">IF(ISBLANK(K174),0,L174-K174)</f>
        <v>0</v>
      </c>
      <c r="N174" s="30"/>
      <c r="O174" s="26"/>
      <c r="P174" s="31">
        <f t="shared" si="107"/>
        <v>0</v>
      </c>
      <c r="Q174" s="21"/>
      <c r="R174" s="28"/>
      <c r="S174" s="22">
        <f t="shared" si="108"/>
        <v>0</v>
      </c>
      <c r="T174" s="26"/>
      <c r="U174" s="26"/>
      <c r="V174" s="31">
        <f t="shared" si="109"/>
        <v>0</v>
      </c>
      <c r="W174" s="26">
        <f t="shared" si="106"/>
        <v>0</v>
      </c>
      <c r="X174" s="36">
        <f t="shared" si="97"/>
        <v>0</v>
      </c>
      <c r="Y174" s="37" t="str">
        <f t="shared" si="110"/>
        <v/>
      </c>
      <c r="Z174" s="38"/>
      <c r="AA174" s="38"/>
      <c r="AB174" s="38"/>
      <c r="AC174" s="38"/>
      <c r="AD174" s="157">
        <f t="shared" si="104"/>
        <v>0</v>
      </c>
      <c r="AE174" s="34"/>
      <c r="AF174" s="35"/>
      <c r="AG174" s="40"/>
      <c r="AH174" s="44"/>
      <c r="AI174" s="13"/>
      <c r="AJ174" s="46"/>
      <c r="AK174" s="45"/>
      <c r="AL174" s="23"/>
      <c r="AM174" s="138"/>
      <c r="AN174" s="25" t="str">
        <f t="shared" si="117"/>
        <v/>
      </c>
      <c r="AO174" s="50"/>
      <c r="AP174" s="53">
        <f t="shared" si="111"/>
        <v>0</v>
      </c>
      <c r="AQ174" s="53"/>
      <c r="AR174" s="119"/>
      <c r="AS174" s="56">
        <f t="shared" si="119"/>
        <v>0</v>
      </c>
      <c r="AT174" s="298"/>
      <c r="AU174" s="298">
        <f t="shared" si="103"/>
        <v>0</v>
      </c>
      <c r="AV174" s="357" t="str">
        <f t="shared" si="105"/>
        <v/>
      </c>
      <c r="AW174" s="18"/>
      <c r="AX174" s="18" t="str">
        <f>IF(AS174=0,"",SUMIFS($AS$8:AS174, $BH$8:BH174, BH174))</f>
        <v/>
      </c>
      <c r="AY174" s="57" t="str">
        <f t="shared" ca="1" si="93"/>
        <v>no drilling completed</v>
      </c>
      <c r="AZ174" s="15" t="str">
        <f t="shared" ca="1" si="112"/>
        <v>LINK</v>
      </c>
      <c r="BB174" s="14" t="s">
        <v>211</v>
      </c>
      <c r="BC174" t="str">
        <f t="shared" si="113"/>
        <v>25</v>
      </c>
      <c r="BD174" t="str">
        <f t="shared" si="101"/>
        <v>09</v>
      </c>
      <c r="BE174" s="98">
        <f t="shared" si="102"/>
        <v>28</v>
      </c>
      <c r="BF174" t="str">
        <f t="shared" si="114"/>
        <v>D</v>
      </c>
      <c r="BG174" t="str">
        <f t="shared" si="116"/>
        <v>https://www.coreplan.io/app/ddh1-drilling/speewah-mining-speewah-fluorite-project-wa/plods/1663-250928D</v>
      </c>
      <c r="BH174" t="str">
        <f t="shared" si="115"/>
        <v>2025-09</v>
      </c>
    </row>
    <row r="175" spans="1:60">
      <c r="A175" s="510" t="e">
        <f>VLOOKUP(F175,'Tenement Lookup'!A:BH,60,FALSE)</f>
        <v>#N/A</v>
      </c>
      <c r="C175" s="152" t="str">
        <f t="shared" si="118"/>
        <v/>
      </c>
      <c r="D175" s="1">
        <f t="shared" si="99"/>
        <v>45927.71</v>
      </c>
      <c r="E175" t="s">
        <v>172</v>
      </c>
      <c r="H175" s="4"/>
      <c r="I175" s="4"/>
      <c r="J175" s="5" t="str">
        <f t="shared" si="96"/>
        <v/>
      </c>
      <c r="K175" s="21"/>
      <c r="L175" s="28"/>
      <c r="M175" s="28">
        <f t="shared" si="120"/>
        <v>0</v>
      </c>
      <c r="N175" s="30"/>
      <c r="O175" s="26"/>
      <c r="P175" s="31">
        <f t="shared" si="107"/>
        <v>0</v>
      </c>
      <c r="Q175" s="21"/>
      <c r="R175" s="28"/>
      <c r="S175" s="22">
        <f t="shared" si="108"/>
        <v>0</v>
      </c>
      <c r="T175" s="26"/>
      <c r="U175" s="26"/>
      <c r="V175" s="31">
        <f t="shared" si="109"/>
        <v>0</v>
      </c>
      <c r="W175" s="26">
        <f t="shared" si="106"/>
        <v>0</v>
      </c>
      <c r="X175" s="36">
        <f t="shared" si="97"/>
        <v>0</v>
      </c>
      <c r="Y175" s="37" t="str">
        <f t="shared" si="110"/>
        <v/>
      </c>
      <c r="Z175" s="38"/>
      <c r="AA175" s="38"/>
      <c r="AB175" s="38"/>
      <c r="AC175" s="38"/>
      <c r="AD175" s="157">
        <f t="shared" si="104"/>
        <v>0</v>
      </c>
      <c r="AE175" s="34"/>
      <c r="AF175" s="35"/>
      <c r="AG175" s="40"/>
      <c r="AH175" s="44"/>
      <c r="AI175" s="13"/>
      <c r="AJ175" s="46"/>
      <c r="AK175" s="45"/>
      <c r="AL175" s="23"/>
      <c r="AM175" s="138"/>
      <c r="AN175" s="25" t="str">
        <f t="shared" si="117"/>
        <v/>
      </c>
      <c r="AO175" s="50"/>
      <c r="AP175" s="53">
        <f t="shared" si="111"/>
        <v>0</v>
      </c>
      <c r="AQ175" s="53"/>
      <c r="AR175" s="119"/>
      <c r="AS175" s="56">
        <f t="shared" si="119"/>
        <v>0</v>
      </c>
      <c r="AT175" s="298"/>
      <c r="AU175" s="298">
        <f t="shared" si="103"/>
        <v>0</v>
      </c>
      <c r="AV175" s="357" t="str">
        <f t="shared" si="105"/>
        <v/>
      </c>
      <c r="AW175" s="18"/>
      <c r="AX175" s="18" t="str">
        <f>IF(AS175=0,"",SUMIFS($AS$8:AS175, $BH$8:BH175, BH175))</f>
        <v/>
      </c>
      <c r="AY175" s="57" t="str">
        <f t="shared" ca="1" si="93"/>
        <v>no drilling completed</v>
      </c>
      <c r="AZ175" s="15" t="str">
        <f t="shared" ca="1" si="112"/>
        <v>LINK</v>
      </c>
      <c r="BB175" s="14" t="s">
        <v>211</v>
      </c>
      <c r="BC175" t="str">
        <f t="shared" si="113"/>
        <v>25</v>
      </c>
      <c r="BD175" t="str">
        <f t="shared" si="101"/>
        <v>09</v>
      </c>
      <c r="BE175" s="98">
        <f t="shared" si="102"/>
        <v>28</v>
      </c>
      <c r="BF175" t="str">
        <f t="shared" si="114"/>
        <v>N</v>
      </c>
      <c r="BG175" t="str">
        <f t="shared" si="116"/>
        <v>https://www.coreplan.io/app/ddh1-drilling/speewah-mining-speewah-fluorite-project-wa/plods/1663-250928N</v>
      </c>
      <c r="BH175" t="str">
        <f t="shared" si="115"/>
        <v>2025-09</v>
      </c>
    </row>
    <row r="176" spans="1:60">
      <c r="A176" s="510" t="e">
        <f>VLOOKUP(F176,'Tenement Lookup'!A:BH,60,FALSE)</f>
        <v>#N/A</v>
      </c>
      <c r="C176" s="152" t="str">
        <f t="shared" si="118"/>
        <v/>
      </c>
      <c r="D176" s="1">
        <f t="shared" si="99"/>
        <v>45928.21</v>
      </c>
      <c r="E176" t="s">
        <v>171</v>
      </c>
      <c r="H176" s="4"/>
      <c r="I176" s="4"/>
      <c r="J176" s="5" t="str">
        <f t="shared" si="96"/>
        <v/>
      </c>
      <c r="K176" s="21"/>
      <c r="L176" s="28"/>
      <c r="M176" s="28">
        <f t="shared" si="120"/>
        <v>0</v>
      </c>
      <c r="N176" s="30"/>
      <c r="O176" s="26"/>
      <c r="P176" s="31">
        <f t="shared" si="107"/>
        <v>0</v>
      </c>
      <c r="Q176" s="21"/>
      <c r="R176" s="28"/>
      <c r="S176" s="22">
        <f t="shared" si="108"/>
        <v>0</v>
      </c>
      <c r="T176" s="26"/>
      <c r="U176" s="26"/>
      <c r="V176" s="31">
        <f t="shared" si="109"/>
        <v>0</v>
      </c>
      <c r="W176" s="26">
        <f t="shared" si="106"/>
        <v>0</v>
      </c>
      <c r="X176" s="36">
        <f t="shared" si="97"/>
        <v>0</v>
      </c>
      <c r="Y176" s="37" t="str">
        <f t="shared" si="110"/>
        <v/>
      </c>
      <c r="Z176" s="38"/>
      <c r="AA176" s="38"/>
      <c r="AB176" s="38"/>
      <c r="AC176" s="38"/>
      <c r="AD176" s="157">
        <f t="shared" si="104"/>
        <v>0</v>
      </c>
      <c r="AE176" s="34"/>
      <c r="AF176" s="35"/>
      <c r="AG176" s="40"/>
      <c r="AH176" s="44"/>
      <c r="AI176" s="13"/>
      <c r="AJ176" s="46"/>
      <c r="AK176" s="45"/>
      <c r="AL176" s="23"/>
      <c r="AM176" s="138"/>
      <c r="AN176" s="25" t="str">
        <f t="shared" si="117"/>
        <v/>
      </c>
      <c r="AO176" s="50"/>
      <c r="AP176" s="53">
        <f t="shared" si="111"/>
        <v>0</v>
      </c>
      <c r="AQ176" s="53"/>
      <c r="AR176" s="119"/>
      <c r="AS176" s="56">
        <f t="shared" si="119"/>
        <v>0</v>
      </c>
      <c r="AT176" s="298"/>
      <c r="AU176" s="298">
        <f t="shared" si="103"/>
        <v>0</v>
      </c>
      <c r="AV176" s="357" t="str">
        <f t="shared" si="105"/>
        <v/>
      </c>
      <c r="AW176" s="18"/>
      <c r="AX176" s="18" t="str">
        <f>IF(AS176=0,"",SUMIFS($AS$8:AS176, $BH$8:BH176, BH176))</f>
        <v/>
      </c>
      <c r="AY176" s="57" t="str">
        <f t="shared" ca="1" si="93"/>
        <v>no drilling completed</v>
      </c>
      <c r="AZ176" s="15" t="str">
        <f t="shared" ca="1" si="112"/>
        <v>LINK</v>
      </c>
      <c r="BB176" s="14" t="s">
        <v>211</v>
      </c>
      <c r="BC176" t="str">
        <f t="shared" si="113"/>
        <v>25</v>
      </c>
      <c r="BD176" t="str">
        <f t="shared" si="101"/>
        <v>09</v>
      </c>
      <c r="BE176" s="98">
        <f t="shared" si="102"/>
        <v>29</v>
      </c>
      <c r="BF176" t="str">
        <f t="shared" si="114"/>
        <v>D</v>
      </c>
      <c r="BG176" t="str">
        <f t="shared" si="116"/>
        <v>https://www.coreplan.io/app/ddh1-drilling/speewah-mining-speewah-fluorite-project-wa/plods/1663-250929D</v>
      </c>
      <c r="BH176" t="str">
        <f t="shared" si="115"/>
        <v>2025-09</v>
      </c>
    </row>
    <row r="177" spans="1:60">
      <c r="A177" s="510" t="e">
        <f>VLOOKUP(F177,'Tenement Lookup'!A:BH,60,FALSE)</f>
        <v>#N/A</v>
      </c>
      <c r="C177" s="152" t="str">
        <f t="shared" si="118"/>
        <v/>
      </c>
      <c r="D177" s="1">
        <f t="shared" si="99"/>
        <v>45928.71</v>
      </c>
      <c r="E177" t="s">
        <v>172</v>
      </c>
      <c r="H177" s="4"/>
      <c r="I177" s="4"/>
      <c r="J177" s="5" t="str">
        <f t="shared" si="96"/>
        <v/>
      </c>
      <c r="K177" s="21"/>
      <c r="L177" s="28"/>
      <c r="M177" s="28">
        <f t="shared" si="120"/>
        <v>0</v>
      </c>
      <c r="N177" s="30"/>
      <c r="O177" s="26"/>
      <c r="P177" s="31">
        <f t="shared" si="107"/>
        <v>0</v>
      </c>
      <c r="Q177" s="21"/>
      <c r="R177" s="28"/>
      <c r="S177" s="22">
        <f t="shared" si="108"/>
        <v>0</v>
      </c>
      <c r="T177" s="26"/>
      <c r="U177" s="26"/>
      <c r="V177" s="31">
        <f t="shared" si="109"/>
        <v>0</v>
      </c>
      <c r="W177" s="26">
        <f t="shared" si="106"/>
        <v>0</v>
      </c>
      <c r="X177" s="36">
        <f t="shared" si="97"/>
        <v>0</v>
      </c>
      <c r="Y177" s="37" t="str">
        <f t="shared" si="110"/>
        <v/>
      </c>
      <c r="Z177" s="38"/>
      <c r="AA177" s="38"/>
      <c r="AB177" s="38"/>
      <c r="AC177" s="38"/>
      <c r="AD177" s="157">
        <f t="shared" si="104"/>
        <v>0</v>
      </c>
      <c r="AE177" s="34"/>
      <c r="AF177" s="35"/>
      <c r="AG177" s="40"/>
      <c r="AH177" s="44"/>
      <c r="AI177" s="13"/>
      <c r="AJ177" s="46"/>
      <c r="AK177" s="45"/>
      <c r="AL177" s="23"/>
      <c r="AM177" s="138"/>
      <c r="AN177" s="25" t="str">
        <f t="shared" si="117"/>
        <v/>
      </c>
      <c r="AO177" s="50"/>
      <c r="AP177" s="53">
        <f t="shared" si="111"/>
        <v>0</v>
      </c>
      <c r="AQ177" s="53"/>
      <c r="AR177" s="119"/>
      <c r="AS177" s="56">
        <f t="shared" si="119"/>
        <v>0</v>
      </c>
      <c r="AT177" s="298"/>
      <c r="AU177" s="298">
        <f t="shared" si="103"/>
        <v>0</v>
      </c>
      <c r="AV177" s="357" t="str">
        <f t="shared" si="105"/>
        <v/>
      </c>
      <c r="AW177" s="18"/>
      <c r="AX177" s="18" t="str">
        <f>IF(AS177=0,"",SUMIFS($AS$8:AS177, $BH$8:BH177, BH177))</f>
        <v/>
      </c>
      <c r="AY177" s="57" t="str">
        <f t="shared" ca="1" si="93"/>
        <v>no drilling completed</v>
      </c>
      <c r="AZ177" s="15" t="str">
        <f t="shared" ca="1" si="112"/>
        <v>LINK</v>
      </c>
      <c r="BB177" s="14" t="s">
        <v>211</v>
      </c>
      <c r="BC177" t="str">
        <f t="shared" si="113"/>
        <v>25</v>
      </c>
      <c r="BD177" t="str">
        <f t="shared" si="101"/>
        <v>09</v>
      </c>
      <c r="BE177" s="98">
        <f t="shared" si="102"/>
        <v>29</v>
      </c>
      <c r="BF177" t="str">
        <f t="shared" si="114"/>
        <v>N</v>
      </c>
      <c r="BG177" t="str">
        <f t="shared" si="116"/>
        <v>https://www.coreplan.io/app/ddh1-drilling/speewah-mining-speewah-fluorite-project-wa/plods/1663-250929N</v>
      </c>
      <c r="BH177" t="str">
        <f t="shared" si="115"/>
        <v>2025-09</v>
      </c>
    </row>
    <row r="178" spans="1:60">
      <c r="A178" s="510" t="e">
        <f>VLOOKUP(F178,'Tenement Lookup'!A:BH,60,FALSE)</f>
        <v>#N/A</v>
      </c>
      <c r="C178" s="152" t="str">
        <f t="shared" si="118"/>
        <v/>
      </c>
      <c r="D178" s="1">
        <f t="shared" si="99"/>
        <v>45929.21</v>
      </c>
      <c r="E178" t="s">
        <v>171</v>
      </c>
      <c r="H178" s="4"/>
      <c r="I178" s="4"/>
      <c r="J178" s="5" t="str">
        <f t="shared" si="96"/>
        <v/>
      </c>
      <c r="K178" s="21"/>
      <c r="L178" s="28"/>
      <c r="M178" s="28">
        <f t="shared" si="120"/>
        <v>0</v>
      </c>
      <c r="N178" s="30"/>
      <c r="O178" s="26"/>
      <c r="P178" s="31">
        <f t="shared" si="107"/>
        <v>0</v>
      </c>
      <c r="Q178" s="21"/>
      <c r="R178" s="28"/>
      <c r="S178" s="22">
        <f t="shared" si="108"/>
        <v>0</v>
      </c>
      <c r="T178" s="26"/>
      <c r="U178" s="26"/>
      <c r="V178" s="31">
        <f t="shared" si="109"/>
        <v>0</v>
      </c>
      <c r="W178" s="26">
        <f t="shared" si="106"/>
        <v>0</v>
      </c>
      <c r="X178" s="36">
        <f t="shared" si="97"/>
        <v>0</v>
      </c>
      <c r="Y178" s="37" t="str">
        <f t="shared" si="110"/>
        <v/>
      </c>
      <c r="Z178" s="38"/>
      <c r="AA178" s="38"/>
      <c r="AB178" s="38"/>
      <c r="AC178" s="38"/>
      <c r="AD178" s="157">
        <f t="shared" si="104"/>
        <v>0</v>
      </c>
      <c r="AE178" s="34"/>
      <c r="AF178" s="35"/>
      <c r="AG178" s="40"/>
      <c r="AH178" s="44"/>
      <c r="AI178" s="13"/>
      <c r="AJ178" s="46"/>
      <c r="AK178" s="45"/>
      <c r="AL178" s="23"/>
      <c r="AM178" s="138"/>
      <c r="AN178" s="25" t="str">
        <f t="shared" si="117"/>
        <v/>
      </c>
      <c r="AO178" s="50"/>
      <c r="AP178" s="53">
        <f t="shared" si="111"/>
        <v>0</v>
      </c>
      <c r="AQ178" s="53"/>
      <c r="AR178" s="119"/>
      <c r="AS178" s="56">
        <f t="shared" si="119"/>
        <v>0</v>
      </c>
      <c r="AT178" s="298"/>
      <c r="AU178" s="298">
        <f t="shared" si="103"/>
        <v>0</v>
      </c>
      <c r="AV178" s="357" t="str">
        <f t="shared" si="105"/>
        <v/>
      </c>
      <c r="AW178" s="18"/>
      <c r="AX178" s="18" t="str">
        <f>IF(AS178=0,"",SUMIFS($AS$8:AS178, $BH$8:BH178, BH178))</f>
        <v/>
      </c>
      <c r="AY178" s="57" t="str">
        <f t="shared" ref="AY178:AY190" ca="1" si="121">IF(AND(D178&gt;TODAY(),ISBLANK(H178)),"",IF(ISBLANK(AE178),"no drilling completed",AS178/(W178)))</f>
        <v>no drilling completed</v>
      </c>
      <c r="AZ178" s="15" t="str">
        <f t="shared" ca="1" si="112"/>
        <v>LINK</v>
      </c>
      <c r="BB178" s="14" t="s">
        <v>211</v>
      </c>
      <c r="BC178" t="str">
        <f t="shared" si="113"/>
        <v>25</v>
      </c>
      <c r="BD178" t="str">
        <f t="shared" si="101"/>
        <v>09</v>
      </c>
      <c r="BE178" s="98">
        <f t="shared" si="102"/>
        <v>30</v>
      </c>
      <c r="BF178" t="str">
        <f t="shared" si="114"/>
        <v>D</v>
      </c>
      <c r="BG178" t="str">
        <f t="shared" si="116"/>
        <v>https://www.coreplan.io/app/ddh1-drilling/speewah-mining-speewah-fluorite-project-wa/plods/1663-250930D</v>
      </c>
      <c r="BH178" t="str">
        <f t="shared" si="115"/>
        <v>2025-09</v>
      </c>
    </row>
    <row r="179" spans="1:60">
      <c r="A179" s="510" t="e">
        <f>VLOOKUP(F179,'Tenement Lookup'!A:BH,60,FALSE)</f>
        <v>#N/A</v>
      </c>
      <c r="C179" s="152" t="str">
        <f t="shared" si="118"/>
        <v/>
      </c>
      <c r="D179" s="1">
        <f t="shared" si="99"/>
        <v>45929.71</v>
      </c>
      <c r="E179" t="s">
        <v>172</v>
      </c>
      <c r="H179" s="4"/>
      <c r="I179" s="4"/>
      <c r="J179" s="5" t="str">
        <f t="shared" si="96"/>
        <v/>
      </c>
      <c r="K179" s="21"/>
      <c r="L179" s="28"/>
      <c r="M179" s="28">
        <f t="shared" si="120"/>
        <v>0</v>
      </c>
      <c r="N179" s="30"/>
      <c r="O179" s="26"/>
      <c r="P179" s="31">
        <f t="shared" si="107"/>
        <v>0</v>
      </c>
      <c r="Q179" s="21"/>
      <c r="R179" s="28"/>
      <c r="S179" s="22">
        <f t="shared" si="108"/>
        <v>0</v>
      </c>
      <c r="T179" s="26"/>
      <c r="U179" s="26"/>
      <c r="V179" s="31">
        <f t="shared" si="109"/>
        <v>0</v>
      </c>
      <c r="W179" s="26">
        <f t="shared" si="106"/>
        <v>0</v>
      </c>
      <c r="X179" s="36">
        <f t="shared" si="97"/>
        <v>0</v>
      </c>
      <c r="Y179" s="37" t="str">
        <f t="shared" si="110"/>
        <v/>
      </c>
      <c r="Z179" s="38"/>
      <c r="AA179" s="38"/>
      <c r="AB179" s="38"/>
      <c r="AC179" s="38"/>
      <c r="AD179" s="157">
        <f t="shared" si="104"/>
        <v>0</v>
      </c>
      <c r="AE179" s="34"/>
      <c r="AF179" s="35"/>
      <c r="AG179" s="40"/>
      <c r="AH179" s="44"/>
      <c r="AI179" s="13"/>
      <c r="AJ179" s="46"/>
      <c r="AK179" s="45"/>
      <c r="AL179" s="23"/>
      <c r="AM179" s="138"/>
      <c r="AN179" s="25" t="str">
        <f t="shared" si="117"/>
        <v/>
      </c>
      <c r="AO179" s="50"/>
      <c r="AP179" s="53">
        <f t="shared" si="111"/>
        <v>0</v>
      </c>
      <c r="AQ179" s="53"/>
      <c r="AR179" s="119"/>
      <c r="AS179" s="56">
        <f t="shared" si="119"/>
        <v>0</v>
      </c>
      <c r="AT179" s="298"/>
      <c r="AU179" s="298">
        <f t="shared" si="103"/>
        <v>0</v>
      </c>
      <c r="AV179" s="357" t="str">
        <f t="shared" si="105"/>
        <v/>
      </c>
      <c r="AW179" s="18"/>
      <c r="AX179" s="18" t="str">
        <f>IF(AS179=0,"",SUMIFS($AS$8:AS179, $BH$8:BH179, BH179))</f>
        <v/>
      </c>
      <c r="AY179" s="57" t="str">
        <f t="shared" ca="1" si="121"/>
        <v>no drilling completed</v>
      </c>
      <c r="AZ179" s="15" t="str">
        <f t="shared" ca="1" si="112"/>
        <v>LINK</v>
      </c>
      <c r="BB179" s="14" t="s">
        <v>211</v>
      </c>
      <c r="BC179" t="str">
        <f t="shared" si="113"/>
        <v>25</v>
      </c>
      <c r="BD179" t="str">
        <f t="shared" si="101"/>
        <v>09</v>
      </c>
      <c r="BE179" s="98">
        <f t="shared" si="102"/>
        <v>30</v>
      </c>
      <c r="BF179" t="str">
        <f t="shared" si="114"/>
        <v>N</v>
      </c>
      <c r="BG179" t="str">
        <f t="shared" si="116"/>
        <v>https://www.coreplan.io/app/ddh1-drilling/speewah-mining-speewah-fluorite-project-wa/plods/1663-250930N</v>
      </c>
      <c r="BH179" t="str">
        <f t="shared" si="115"/>
        <v>2025-09</v>
      </c>
    </row>
    <row r="180" spans="1:60">
      <c r="A180" s="510" t="e">
        <f>VLOOKUP(F180,'Tenement Lookup'!A:BH,60,FALSE)</f>
        <v>#N/A</v>
      </c>
      <c r="C180" s="152" t="str">
        <f t="shared" si="118"/>
        <v/>
      </c>
      <c r="D180" s="1">
        <f t="shared" si="99"/>
        <v>45930.21</v>
      </c>
      <c r="E180" t="s">
        <v>171</v>
      </c>
      <c r="H180" s="4"/>
      <c r="I180" s="4"/>
      <c r="J180" s="5" t="str">
        <f t="shared" si="96"/>
        <v/>
      </c>
      <c r="K180" s="21"/>
      <c r="L180" s="28"/>
      <c r="M180" s="28">
        <f t="shared" si="120"/>
        <v>0</v>
      </c>
      <c r="N180" s="30"/>
      <c r="O180" s="26"/>
      <c r="P180" s="31">
        <f t="shared" si="107"/>
        <v>0</v>
      </c>
      <c r="Q180" s="21"/>
      <c r="R180" s="28"/>
      <c r="S180" s="22">
        <f t="shared" si="108"/>
        <v>0</v>
      </c>
      <c r="T180" s="26"/>
      <c r="U180" s="26"/>
      <c r="V180" s="31">
        <f t="shared" si="109"/>
        <v>0</v>
      </c>
      <c r="W180" s="26">
        <f t="shared" ref="W180:W211" si="122">IFERROR(M180+P180+S180+V180,"")</f>
        <v>0</v>
      </c>
      <c r="X180" s="36">
        <f t="shared" si="97"/>
        <v>0</v>
      </c>
      <c r="Y180" s="37" t="str">
        <f t="shared" si="110"/>
        <v/>
      </c>
      <c r="Z180" s="38"/>
      <c r="AA180" s="38"/>
      <c r="AB180" s="38"/>
      <c r="AC180" s="38"/>
      <c r="AD180" s="157">
        <f t="shared" si="104"/>
        <v>0</v>
      </c>
      <c r="AE180" s="34"/>
      <c r="AF180" s="35"/>
      <c r="AG180" s="40"/>
      <c r="AH180" s="44"/>
      <c r="AI180" s="13"/>
      <c r="AJ180" s="46"/>
      <c r="AK180" s="45"/>
      <c r="AL180" s="23"/>
      <c r="AM180" s="138"/>
      <c r="AN180" s="25" t="str">
        <f t="shared" si="117"/>
        <v/>
      </c>
      <c r="AO180" s="50"/>
      <c r="AP180" s="53">
        <f t="shared" si="111"/>
        <v>0</v>
      </c>
      <c r="AQ180" s="53"/>
      <c r="AR180" s="119"/>
      <c r="AS180" s="56">
        <f t="shared" si="119"/>
        <v>0</v>
      </c>
      <c r="AT180" s="298"/>
      <c r="AU180" s="298">
        <f t="shared" si="103"/>
        <v>0</v>
      </c>
      <c r="AV180" s="357" t="str">
        <f t="shared" si="105"/>
        <v/>
      </c>
      <c r="AW180" s="18"/>
      <c r="AX180" s="18" t="str">
        <f>IF(AS180=0,"",SUMIFS($AS$8:AS180, $BH$8:BH180, BH180))</f>
        <v/>
      </c>
      <c r="AY180" s="57" t="str">
        <f t="shared" ca="1" si="121"/>
        <v>no drilling completed</v>
      </c>
      <c r="AZ180" s="15" t="str">
        <f t="shared" ca="1" si="112"/>
        <v>LINK</v>
      </c>
      <c r="BB180" s="14" t="s">
        <v>211</v>
      </c>
      <c r="BC180" t="str">
        <f t="shared" si="113"/>
        <v>25</v>
      </c>
      <c r="BD180">
        <f t="shared" si="101"/>
        <v>10</v>
      </c>
      <c r="BE180" s="98" t="str">
        <f t="shared" si="102"/>
        <v>01</v>
      </c>
      <c r="BF180" t="str">
        <f t="shared" si="114"/>
        <v>D</v>
      </c>
      <c r="BG180" t="str">
        <f t="shared" si="116"/>
        <v>https://www.coreplan.io/app/ddh1-drilling/speewah-mining-speewah-fluorite-project-wa/plods/1663-251001D</v>
      </c>
      <c r="BH180" t="str">
        <f t="shared" si="115"/>
        <v>2025-09</v>
      </c>
    </row>
    <row r="181" spans="1:60">
      <c r="A181" s="510" t="e">
        <f>VLOOKUP(F181,'Tenement Lookup'!A:BH,60,FALSE)</f>
        <v>#N/A</v>
      </c>
      <c r="C181" s="152" t="str">
        <f t="shared" si="118"/>
        <v/>
      </c>
      <c r="D181" s="1">
        <f t="shared" si="99"/>
        <v>45930.71</v>
      </c>
      <c r="E181" t="s">
        <v>172</v>
      </c>
      <c r="H181" s="4"/>
      <c r="I181" s="4"/>
      <c r="J181" s="5" t="str">
        <f t="shared" si="96"/>
        <v/>
      </c>
      <c r="K181" s="21"/>
      <c r="L181" s="28"/>
      <c r="M181" s="28">
        <f t="shared" si="120"/>
        <v>0</v>
      </c>
      <c r="N181" s="30"/>
      <c r="O181" s="26"/>
      <c r="P181" s="31">
        <f t="shared" si="107"/>
        <v>0</v>
      </c>
      <c r="Q181" s="21"/>
      <c r="R181" s="28"/>
      <c r="S181" s="22">
        <f t="shared" si="108"/>
        <v>0</v>
      </c>
      <c r="T181" s="26"/>
      <c r="U181" s="26"/>
      <c r="V181" s="31">
        <f t="shared" si="109"/>
        <v>0</v>
      </c>
      <c r="W181" s="26">
        <f t="shared" si="122"/>
        <v>0</v>
      </c>
      <c r="X181" s="36">
        <f t="shared" si="97"/>
        <v>0</v>
      </c>
      <c r="Y181" s="37" t="str">
        <f t="shared" si="110"/>
        <v/>
      </c>
      <c r="Z181" s="38"/>
      <c r="AA181" s="38"/>
      <c r="AB181" s="38"/>
      <c r="AC181" s="38"/>
      <c r="AD181" s="157">
        <f t="shared" si="104"/>
        <v>0</v>
      </c>
      <c r="AE181" s="34"/>
      <c r="AF181" s="35"/>
      <c r="AG181" s="40"/>
      <c r="AH181" s="44"/>
      <c r="AI181" s="13"/>
      <c r="AJ181" s="46"/>
      <c r="AK181" s="45"/>
      <c r="AL181" s="23"/>
      <c r="AM181" s="138"/>
      <c r="AN181" s="25" t="str">
        <f t="shared" si="117"/>
        <v/>
      </c>
      <c r="AO181" s="50"/>
      <c r="AP181" s="53">
        <f t="shared" si="111"/>
        <v>0</v>
      </c>
      <c r="AQ181" s="53"/>
      <c r="AR181" s="119"/>
      <c r="AS181" s="56">
        <f t="shared" si="119"/>
        <v>0</v>
      </c>
      <c r="AT181" s="298"/>
      <c r="AU181" s="298">
        <f t="shared" si="103"/>
        <v>0</v>
      </c>
      <c r="AV181" s="357" t="str">
        <f t="shared" si="105"/>
        <v/>
      </c>
      <c r="AW181" s="18"/>
      <c r="AX181" s="18" t="str">
        <f>IF(AS181=0,"",SUMIFS($AS$8:AS181, $BH$8:BH181, BH181))</f>
        <v/>
      </c>
      <c r="AY181" s="57" t="str">
        <f t="shared" ca="1" si="121"/>
        <v>no drilling completed</v>
      </c>
      <c r="AZ181" s="15" t="str">
        <f t="shared" ca="1" si="112"/>
        <v>LINK</v>
      </c>
      <c r="BB181" s="14" t="s">
        <v>211</v>
      </c>
      <c r="BC181" t="str">
        <f t="shared" si="113"/>
        <v>25</v>
      </c>
      <c r="BD181">
        <f t="shared" si="101"/>
        <v>10</v>
      </c>
      <c r="BE181" s="98" t="str">
        <f t="shared" si="102"/>
        <v>01</v>
      </c>
      <c r="BF181" t="str">
        <f t="shared" si="114"/>
        <v>N</v>
      </c>
      <c r="BG181" t="str">
        <f t="shared" si="116"/>
        <v>https://www.coreplan.io/app/ddh1-drilling/speewah-mining-speewah-fluorite-project-wa/plods/1663-251001N</v>
      </c>
      <c r="BH181" t="str">
        <f t="shared" si="115"/>
        <v>2025-09</v>
      </c>
    </row>
    <row r="182" spans="1:60">
      <c r="A182" s="510" t="e">
        <f>VLOOKUP(F182,'Tenement Lookup'!A:BH,60,FALSE)</f>
        <v>#N/A</v>
      </c>
      <c r="C182" s="152" t="str">
        <f t="shared" si="118"/>
        <v/>
      </c>
      <c r="D182" s="1">
        <f t="shared" si="99"/>
        <v>45931.21</v>
      </c>
      <c r="E182" t="s">
        <v>171</v>
      </c>
      <c r="H182" s="4"/>
      <c r="I182" s="4"/>
      <c r="J182" s="5" t="str">
        <f t="shared" si="96"/>
        <v/>
      </c>
      <c r="K182" s="21"/>
      <c r="L182" s="28"/>
      <c r="M182" s="28">
        <f t="shared" si="120"/>
        <v>0</v>
      </c>
      <c r="N182" s="30"/>
      <c r="O182" s="26"/>
      <c r="P182" s="31">
        <f t="shared" si="107"/>
        <v>0</v>
      </c>
      <c r="Q182" s="21"/>
      <c r="R182" s="28"/>
      <c r="S182" s="22">
        <f t="shared" si="108"/>
        <v>0</v>
      </c>
      <c r="T182" s="26"/>
      <c r="U182" s="26"/>
      <c r="V182" s="31">
        <f t="shared" si="109"/>
        <v>0</v>
      </c>
      <c r="W182" s="26">
        <f t="shared" si="122"/>
        <v>0</v>
      </c>
      <c r="X182" s="36">
        <f t="shared" si="97"/>
        <v>0</v>
      </c>
      <c r="Y182" s="37" t="str">
        <f t="shared" si="110"/>
        <v/>
      </c>
      <c r="Z182" s="38"/>
      <c r="AA182" s="38"/>
      <c r="AB182" s="38"/>
      <c r="AC182" s="38"/>
      <c r="AD182" s="157">
        <f t="shared" si="104"/>
        <v>0</v>
      </c>
      <c r="AE182" s="34"/>
      <c r="AF182" s="35"/>
      <c r="AG182" s="40"/>
      <c r="AH182" s="44"/>
      <c r="AI182" s="13"/>
      <c r="AJ182" s="46"/>
      <c r="AK182" s="45"/>
      <c r="AL182" s="23"/>
      <c r="AM182" s="138"/>
      <c r="AN182" s="25" t="str">
        <f t="shared" si="117"/>
        <v/>
      </c>
      <c r="AO182" s="50"/>
      <c r="AP182" s="53">
        <f t="shared" si="111"/>
        <v>0</v>
      </c>
      <c r="AQ182" s="53"/>
      <c r="AR182" s="119"/>
      <c r="AS182" s="56">
        <f t="shared" si="119"/>
        <v>0</v>
      </c>
      <c r="AT182" s="298"/>
      <c r="AU182" s="298">
        <f t="shared" si="103"/>
        <v>0</v>
      </c>
      <c r="AV182" s="357" t="str">
        <f t="shared" si="105"/>
        <v/>
      </c>
      <c r="AW182" s="18"/>
      <c r="AX182" s="18" t="str">
        <f>IF(AS182=0,"",SUMIFS($AS$8:AS182, $BH$8:BH182, BH182))</f>
        <v/>
      </c>
      <c r="AY182" s="57" t="str">
        <f t="shared" ca="1" si="121"/>
        <v>no drilling completed</v>
      </c>
      <c r="AZ182" s="15" t="str">
        <f t="shared" ca="1" si="112"/>
        <v>LINK</v>
      </c>
      <c r="BB182" s="14" t="s">
        <v>211</v>
      </c>
      <c r="BC182" t="str">
        <f t="shared" si="113"/>
        <v>25</v>
      </c>
      <c r="BD182">
        <f t="shared" si="101"/>
        <v>10</v>
      </c>
      <c r="BE182" s="98" t="str">
        <f t="shared" si="102"/>
        <v>02</v>
      </c>
      <c r="BF182" t="str">
        <f t="shared" si="114"/>
        <v>D</v>
      </c>
      <c r="BG182" t="str">
        <f t="shared" si="116"/>
        <v>https://www.coreplan.io/app/ddh1-drilling/speewah-mining-speewah-fluorite-project-wa/plods/1663-251002D</v>
      </c>
      <c r="BH182" t="str">
        <f t="shared" si="115"/>
        <v>2025-10</v>
      </c>
    </row>
    <row r="183" spans="1:60">
      <c r="A183" s="510" t="e">
        <f>VLOOKUP(F183,'Tenement Lookup'!A:BH,60,FALSE)</f>
        <v>#N/A</v>
      </c>
      <c r="C183" s="152" t="str">
        <f t="shared" si="118"/>
        <v/>
      </c>
      <c r="D183" s="1">
        <f t="shared" si="99"/>
        <v>45931.71</v>
      </c>
      <c r="E183" t="s">
        <v>172</v>
      </c>
      <c r="H183" s="4"/>
      <c r="I183" s="4"/>
      <c r="J183" s="5" t="str">
        <f t="shared" si="96"/>
        <v/>
      </c>
      <c r="K183" s="21"/>
      <c r="L183" s="28"/>
      <c r="M183" s="28">
        <f t="shared" si="120"/>
        <v>0</v>
      </c>
      <c r="N183" s="30"/>
      <c r="O183" s="26"/>
      <c r="P183" s="31">
        <f t="shared" si="107"/>
        <v>0</v>
      </c>
      <c r="Q183" s="21"/>
      <c r="R183" s="28"/>
      <c r="S183" s="22">
        <f t="shared" si="108"/>
        <v>0</v>
      </c>
      <c r="T183" s="26"/>
      <c r="U183" s="26"/>
      <c r="V183" s="31">
        <f t="shared" si="109"/>
        <v>0</v>
      </c>
      <c r="W183" s="26">
        <f t="shared" si="122"/>
        <v>0</v>
      </c>
      <c r="X183" s="36">
        <f t="shared" si="97"/>
        <v>0</v>
      </c>
      <c r="Y183" s="37" t="str">
        <f t="shared" si="110"/>
        <v/>
      </c>
      <c r="Z183" s="38"/>
      <c r="AA183" s="38"/>
      <c r="AB183" s="38"/>
      <c r="AC183" s="38"/>
      <c r="AD183" s="157">
        <f t="shared" si="104"/>
        <v>0</v>
      </c>
      <c r="AE183" s="34"/>
      <c r="AF183" s="35"/>
      <c r="AG183" s="40"/>
      <c r="AH183" s="44"/>
      <c r="AI183" s="13"/>
      <c r="AJ183" s="46"/>
      <c r="AK183" s="45"/>
      <c r="AL183" s="23"/>
      <c r="AM183" s="138"/>
      <c r="AN183" s="25" t="str">
        <f t="shared" si="117"/>
        <v/>
      </c>
      <c r="AO183" s="50"/>
      <c r="AP183" s="53">
        <f t="shared" si="111"/>
        <v>0</v>
      </c>
      <c r="AQ183" s="53"/>
      <c r="AR183" s="119"/>
      <c r="AS183" s="56">
        <f t="shared" si="119"/>
        <v>0</v>
      </c>
      <c r="AT183" s="298"/>
      <c r="AU183" s="298">
        <f t="shared" si="103"/>
        <v>0</v>
      </c>
      <c r="AV183" s="357" t="str">
        <f t="shared" si="105"/>
        <v/>
      </c>
      <c r="AW183" s="18"/>
      <c r="AX183" s="18" t="str">
        <f>IF(AS183=0,"",SUMIFS($AS$8:AS183, $BH$8:BH183, BH183))</f>
        <v/>
      </c>
      <c r="AY183" s="57" t="str">
        <f t="shared" ca="1" si="121"/>
        <v>no drilling completed</v>
      </c>
      <c r="AZ183" s="15" t="str">
        <f t="shared" ca="1" si="112"/>
        <v>LINK</v>
      </c>
      <c r="BB183" s="14" t="s">
        <v>211</v>
      </c>
      <c r="BC183" t="str">
        <f t="shared" si="113"/>
        <v>25</v>
      </c>
      <c r="BD183">
        <f t="shared" si="101"/>
        <v>10</v>
      </c>
      <c r="BE183" s="98" t="str">
        <f t="shared" si="102"/>
        <v>02</v>
      </c>
      <c r="BF183" t="str">
        <f t="shared" si="114"/>
        <v>N</v>
      </c>
      <c r="BG183" t="str">
        <f t="shared" si="116"/>
        <v>https://www.coreplan.io/app/ddh1-drilling/speewah-mining-speewah-fluorite-project-wa/plods/1663-251002N</v>
      </c>
      <c r="BH183" t="str">
        <f t="shared" si="115"/>
        <v>2025-10</v>
      </c>
    </row>
    <row r="184" spans="1:60">
      <c r="A184" s="510" t="e">
        <f>VLOOKUP(F184,'Tenement Lookup'!A:BH,60,FALSE)</f>
        <v>#N/A</v>
      </c>
      <c r="C184" s="152" t="str">
        <f t="shared" si="118"/>
        <v/>
      </c>
      <c r="D184" s="1">
        <f t="shared" si="99"/>
        <v>45932.21</v>
      </c>
      <c r="E184" t="s">
        <v>171</v>
      </c>
      <c r="H184" s="4"/>
      <c r="I184" s="4"/>
      <c r="J184" s="5" t="str">
        <f t="shared" si="96"/>
        <v/>
      </c>
      <c r="K184" s="21"/>
      <c r="L184" s="28"/>
      <c r="M184" s="28">
        <f t="shared" si="120"/>
        <v>0</v>
      </c>
      <c r="N184" s="30"/>
      <c r="O184" s="26"/>
      <c r="P184" s="31">
        <f t="shared" si="107"/>
        <v>0</v>
      </c>
      <c r="Q184" s="21"/>
      <c r="R184" s="28"/>
      <c r="S184" s="22">
        <f t="shared" si="108"/>
        <v>0</v>
      </c>
      <c r="T184" s="26"/>
      <c r="U184" s="26"/>
      <c r="V184" s="31">
        <f t="shared" si="109"/>
        <v>0</v>
      </c>
      <c r="W184" s="26">
        <f t="shared" si="122"/>
        <v>0</v>
      </c>
      <c r="X184" s="36">
        <f t="shared" si="97"/>
        <v>0</v>
      </c>
      <c r="Y184" s="37" t="str">
        <f t="shared" si="110"/>
        <v/>
      </c>
      <c r="Z184" s="38"/>
      <c r="AA184" s="38"/>
      <c r="AB184" s="38"/>
      <c r="AC184" s="38"/>
      <c r="AD184" s="157">
        <f t="shared" si="104"/>
        <v>0</v>
      </c>
      <c r="AE184" s="34"/>
      <c r="AF184" s="35"/>
      <c r="AG184" s="40"/>
      <c r="AH184" s="44"/>
      <c r="AI184" s="13"/>
      <c r="AJ184" s="46"/>
      <c r="AK184" s="45"/>
      <c r="AL184" s="23"/>
      <c r="AM184" s="138"/>
      <c r="AN184" s="25" t="str">
        <f t="shared" si="117"/>
        <v/>
      </c>
      <c r="AO184" s="50"/>
      <c r="AP184" s="53">
        <f t="shared" si="111"/>
        <v>0</v>
      </c>
      <c r="AQ184" s="53"/>
      <c r="AR184" s="119"/>
      <c r="AS184" s="56">
        <f t="shared" si="119"/>
        <v>0</v>
      </c>
      <c r="AT184" s="298"/>
      <c r="AU184" s="298">
        <f t="shared" si="103"/>
        <v>0</v>
      </c>
      <c r="AV184" s="357" t="str">
        <f t="shared" si="105"/>
        <v/>
      </c>
      <c r="AW184" s="18"/>
      <c r="AX184" s="18" t="str">
        <f>IF(AS184=0,"",SUMIFS($AS$8:AS184, $BH$8:BH184, BH184))</f>
        <v/>
      </c>
      <c r="AY184" s="57" t="str">
        <f t="shared" ca="1" si="121"/>
        <v>no drilling completed</v>
      </c>
      <c r="AZ184" s="15" t="str">
        <f t="shared" ca="1" si="112"/>
        <v>LINK</v>
      </c>
      <c r="BB184" s="14" t="s">
        <v>211</v>
      </c>
      <c r="BC184" t="str">
        <f t="shared" si="113"/>
        <v>25</v>
      </c>
      <c r="BD184">
        <f t="shared" si="101"/>
        <v>10</v>
      </c>
      <c r="BE184" s="98" t="str">
        <f t="shared" si="102"/>
        <v>03</v>
      </c>
      <c r="BF184" t="str">
        <f t="shared" si="114"/>
        <v>D</v>
      </c>
      <c r="BG184" t="str">
        <f t="shared" si="116"/>
        <v>https://www.coreplan.io/app/ddh1-drilling/speewah-mining-speewah-fluorite-project-wa/plods/1663-251003D</v>
      </c>
      <c r="BH184" t="str">
        <f t="shared" si="115"/>
        <v>2025-10</v>
      </c>
    </row>
    <row r="185" spans="1:60">
      <c r="A185" s="510" t="e">
        <f>VLOOKUP(F185,'Tenement Lookup'!A:BH,60,FALSE)</f>
        <v>#N/A</v>
      </c>
      <c r="C185" s="152" t="str">
        <f t="shared" si="118"/>
        <v/>
      </c>
      <c r="D185" s="1">
        <f t="shared" si="99"/>
        <v>45932.71</v>
      </c>
      <c r="E185" t="s">
        <v>172</v>
      </c>
      <c r="H185" s="4"/>
      <c r="I185" s="4"/>
      <c r="J185" s="5" t="str">
        <f t="shared" si="96"/>
        <v/>
      </c>
      <c r="K185" s="21"/>
      <c r="L185" s="28"/>
      <c r="M185" s="28">
        <f t="shared" si="120"/>
        <v>0</v>
      </c>
      <c r="N185" s="30"/>
      <c r="O185" s="26"/>
      <c r="P185" s="31">
        <f t="shared" si="107"/>
        <v>0</v>
      </c>
      <c r="Q185" s="21"/>
      <c r="R185" s="28"/>
      <c r="S185" s="22">
        <f t="shared" si="108"/>
        <v>0</v>
      </c>
      <c r="T185" s="26"/>
      <c r="U185" s="26"/>
      <c r="V185" s="31">
        <f t="shared" si="109"/>
        <v>0</v>
      </c>
      <c r="W185" s="26">
        <f t="shared" si="122"/>
        <v>0</v>
      </c>
      <c r="X185" s="36">
        <f t="shared" si="97"/>
        <v>0</v>
      </c>
      <c r="Y185" s="37" t="str">
        <f t="shared" si="110"/>
        <v/>
      </c>
      <c r="Z185" s="38"/>
      <c r="AA185" s="38"/>
      <c r="AB185" s="38"/>
      <c r="AC185" s="38"/>
      <c r="AD185" s="157">
        <f t="shared" si="104"/>
        <v>0</v>
      </c>
      <c r="AE185" s="34"/>
      <c r="AF185" s="35"/>
      <c r="AG185" s="40"/>
      <c r="AH185" s="44"/>
      <c r="AI185" s="13"/>
      <c r="AJ185" s="46"/>
      <c r="AK185" s="45"/>
      <c r="AL185" s="23"/>
      <c r="AM185" s="138"/>
      <c r="AN185" s="25" t="str">
        <f t="shared" si="117"/>
        <v/>
      </c>
      <c r="AO185" s="50"/>
      <c r="AP185" s="53">
        <f t="shared" si="111"/>
        <v>0</v>
      </c>
      <c r="AQ185" s="53"/>
      <c r="AR185" s="119"/>
      <c r="AS185" s="56">
        <f t="shared" si="119"/>
        <v>0</v>
      </c>
      <c r="AT185" s="298"/>
      <c r="AU185" s="298">
        <f t="shared" si="103"/>
        <v>0</v>
      </c>
      <c r="AV185" s="357" t="str">
        <f t="shared" si="105"/>
        <v/>
      </c>
      <c r="AW185" s="18"/>
      <c r="AX185" s="18" t="str">
        <f>IF(AS185=0,"",SUMIFS($AS$8:AS185, $BH$8:BH185, BH185))</f>
        <v/>
      </c>
      <c r="AY185" s="57" t="str">
        <f t="shared" ca="1" si="121"/>
        <v>no drilling completed</v>
      </c>
      <c r="AZ185" s="15" t="str">
        <f t="shared" ca="1" si="112"/>
        <v>LINK</v>
      </c>
      <c r="BB185" s="14" t="s">
        <v>211</v>
      </c>
      <c r="BC185" t="str">
        <f t="shared" si="113"/>
        <v>25</v>
      </c>
      <c r="BD185">
        <f t="shared" si="101"/>
        <v>10</v>
      </c>
      <c r="BE185" s="98" t="str">
        <f t="shared" si="102"/>
        <v>03</v>
      </c>
      <c r="BF185" t="str">
        <f t="shared" si="114"/>
        <v>N</v>
      </c>
      <c r="BG185" t="str">
        <f t="shared" si="116"/>
        <v>https://www.coreplan.io/app/ddh1-drilling/speewah-mining-speewah-fluorite-project-wa/plods/1663-251003N</v>
      </c>
      <c r="BH185" t="str">
        <f t="shared" si="115"/>
        <v>2025-10</v>
      </c>
    </row>
    <row r="186" spans="1:60">
      <c r="A186" s="510" t="e">
        <f>VLOOKUP(F186,'Tenement Lookup'!A:BH,60,FALSE)</f>
        <v>#N/A</v>
      </c>
      <c r="C186" s="152" t="str">
        <f t="shared" si="118"/>
        <v/>
      </c>
      <c r="D186" s="1">
        <f t="shared" si="99"/>
        <v>45933.21</v>
      </c>
      <c r="E186" t="s">
        <v>171</v>
      </c>
      <c r="H186" s="4"/>
      <c r="I186" s="4"/>
      <c r="J186" s="5" t="str">
        <f t="shared" si="96"/>
        <v/>
      </c>
      <c r="K186" s="21"/>
      <c r="L186" s="28"/>
      <c r="M186" s="28">
        <f t="shared" si="120"/>
        <v>0</v>
      </c>
      <c r="N186" s="30"/>
      <c r="O186" s="26"/>
      <c r="P186" s="31">
        <f t="shared" si="107"/>
        <v>0</v>
      </c>
      <c r="Q186" s="21"/>
      <c r="R186" s="28"/>
      <c r="S186" s="22">
        <f t="shared" si="108"/>
        <v>0</v>
      </c>
      <c r="T186" s="26"/>
      <c r="U186" s="26"/>
      <c r="V186" s="31">
        <f t="shared" si="109"/>
        <v>0</v>
      </c>
      <c r="W186" s="26">
        <f t="shared" si="122"/>
        <v>0</v>
      </c>
      <c r="X186" s="36">
        <f t="shared" si="97"/>
        <v>0</v>
      </c>
      <c r="Y186" s="37" t="str">
        <f t="shared" si="110"/>
        <v/>
      </c>
      <c r="Z186" s="38"/>
      <c r="AA186" s="38"/>
      <c r="AB186" s="38"/>
      <c r="AC186" s="38"/>
      <c r="AD186" s="157">
        <f t="shared" si="104"/>
        <v>0</v>
      </c>
      <c r="AE186" s="34"/>
      <c r="AF186" s="35"/>
      <c r="AG186" s="40"/>
      <c r="AH186" s="44"/>
      <c r="AI186" s="13"/>
      <c r="AJ186" s="46"/>
      <c r="AK186" s="45"/>
      <c r="AL186" s="23"/>
      <c r="AM186" s="138"/>
      <c r="AN186" s="25" t="str">
        <f t="shared" si="117"/>
        <v/>
      </c>
      <c r="AO186" s="50"/>
      <c r="AP186" s="53">
        <f t="shared" si="111"/>
        <v>0</v>
      </c>
      <c r="AQ186" s="53"/>
      <c r="AR186" s="119"/>
      <c r="AS186" s="56">
        <f t="shared" si="119"/>
        <v>0</v>
      </c>
      <c r="AT186" s="298"/>
      <c r="AU186" s="298">
        <f t="shared" si="103"/>
        <v>0</v>
      </c>
      <c r="AV186" s="357" t="str">
        <f t="shared" si="105"/>
        <v/>
      </c>
      <c r="AW186" s="18"/>
      <c r="AX186" s="18" t="str">
        <f>IF(AS186=0,"",SUMIFS($AS$8:AS186, $BH$8:BH186, BH186))</f>
        <v/>
      </c>
      <c r="AY186" s="57" t="str">
        <f t="shared" ca="1" si="121"/>
        <v>no drilling completed</v>
      </c>
      <c r="AZ186" s="15" t="str">
        <f t="shared" ca="1" si="112"/>
        <v>LINK</v>
      </c>
      <c r="BB186" s="14" t="s">
        <v>211</v>
      </c>
      <c r="BC186" t="str">
        <f t="shared" si="113"/>
        <v>25</v>
      </c>
      <c r="BD186">
        <f t="shared" si="101"/>
        <v>10</v>
      </c>
      <c r="BE186" s="98" t="str">
        <f t="shared" si="102"/>
        <v>04</v>
      </c>
      <c r="BF186" t="str">
        <f t="shared" si="114"/>
        <v>D</v>
      </c>
      <c r="BG186" t="str">
        <f t="shared" si="116"/>
        <v>https://www.coreplan.io/app/ddh1-drilling/speewah-mining-speewah-fluorite-project-wa/plods/1663-251004D</v>
      </c>
      <c r="BH186" t="str">
        <f t="shared" si="115"/>
        <v>2025-10</v>
      </c>
    </row>
    <row r="187" spans="1:60">
      <c r="A187" s="510" t="e">
        <f>VLOOKUP(F187,'Tenement Lookup'!A:BH,60,FALSE)</f>
        <v>#N/A</v>
      </c>
      <c r="C187" s="152" t="str">
        <f t="shared" si="118"/>
        <v/>
      </c>
      <c r="D187" s="1">
        <f t="shared" si="99"/>
        <v>45933.71</v>
      </c>
      <c r="E187" t="s">
        <v>172</v>
      </c>
      <c r="H187" s="4"/>
      <c r="I187" s="4"/>
      <c r="J187" s="5" t="str">
        <f t="shared" si="96"/>
        <v/>
      </c>
      <c r="K187" s="21"/>
      <c r="L187" s="28"/>
      <c r="M187" s="28">
        <f t="shared" si="120"/>
        <v>0</v>
      </c>
      <c r="N187" s="30"/>
      <c r="O187" s="26"/>
      <c r="P187" s="31">
        <f t="shared" si="107"/>
        <v>0</v>
      </c>
      <c r="Q187" s="21"/>
      <c r="R187" s="28"/>
      <c r="S187" s="22">
        <f t="shared" si="108"/>
        <v>0</v>
      </c>
      <c r="T187" s="26"/>
      <c r="U187" s="26"/>
      <c r="V187" s="31">
        <f t="shared" si="109"/>
        <v>0</v>
      </c>
      <c r="W187" s="26">
        <f t="shared" si="122"/>
        <v>0</v>
      </c>
      <c r="X187" s="36">
        <f t="shared" si="97"/>
        <v>0</v>
      </c>
      <c r="Y187" s="37" t="str">
        <f t="shared" si="110"/>
        <v/>
      </c>
      <c r="Z187" s="38"/>
      <c r="AA187" s="38"/>
      <c r="AB187" s="38"/>
      <c r="AC187" s="38"/>
      <c r="AD187" s="157">
        <f t="shared" si="104"/>
        <v>0</v>
      </c>
      <c r="AE187" s="34"/>
      <c r="AF187" s="35"/>
      <c r="AG187" s="40"/>
      <c r="AH187" s="44"/>
      <c r="AI187" s="13"/>
      <c r="AJ187" s="46"/>
      <c r="AK187" s="45"/>
      <c r="AL187" s="23"/>
      <c r="AM187" s="138"/>
      <c r="AN187" s="25" t="str">
        <f t="shared" si="117"/>
        <v/>
      </c>
      <c r="AO187" s="50"/>
      <c r="AP187" s="53">
        <f t="shared" si="111"/>
        <v>0</v>
      </c>
      <c r="AQ187" s="53"/>
      <c r="AR187" s="119"/>
      <c r="AS187" s="56">
        <f t="shared" si="119"/>
        <v>0</v>
      </c>
      <c r="AT187" s="298"/>
      <c r="AU187" s="298">
        <f t="shared" si="103"/>
        <v>0</v>
      </c>
      <c r="AV187" s="357" t="str">
        <f t="shared" si="105"/>
        <v/>
      </c>
      <c r="AW187" s="18"/>
      <c r="AX187" s="18" t="str">
        <f>IF(AS187=0,"",SUMIFS($AS$8:AS187, $BH$8:BH187, BH187))</f>
        <v/>
      </c>
      <c r="AY187" s="57" t="str">
        <f t="shared" ca="1" si="121"/>
        <v>no drilling completed</v>
      </c>
      <c r="AZ187" s="15" t="str">
        <f t="shared" ca="1" si="112"/>
        <v>LINK</v>
      </c>
      <c r="BB187" s="14" t="s">
        <v>211</v>
      </c>
      <c r="BC187" t="str">
        <f t="shared" si="113"/>
        <v>25</v>
      </c>
      <c r="BD187">
        <f t="shared" si="101"/>
        <v>10</v>
      </c>
      <c r="BE187" s="98" t="str">
        <f t="shared" si="102"/>
        <v>04</v>
      </c>
      <c r="BF187" t="str">
        <f t="shared" si="114"/>
        <v>N</v>
      </c>
      <c r="BG187" t="str">
        <f t="shared" si="116"/>
        <v>https://www.coreplan.io/app/ddh1-drilling/speewah-mining-speewah-fluorite-project-wa/plods/1663-251004N</v>
      </c>
      <c r="BH187" t="str">
        <f t="shared" si="115"/>
        <v>2025-10</v>
      </c>
    </row>
    <row r="188" spans="1:60">
      <c r="A188" s="510" t="e">
        <f>VLOOKUP(F188,'Tenement Lookup'!A:BH,60,FALSE)</f>
        <v>#N/A</v>
      </c>
      <c r="C188" s="152" t="str">
        <f t="shared" si="118"/>
        <v/>
      </c>
      <c r="D188" s="1">
        <f t="shared" si="99"/>
        <v>45934.21</v>
      </c>
      <c r="E188" t="s">
        <v>171</v>
      </c>
      <c r="H188" s="4"/>
      <c r="I188" s="4"/>
      <c r="J188" s="5" t="str">
        <f t="shared" ref="J188:J190" si="123">IF(ISBLANK(I188),"",I188*$J$2)</f>
        <v/>
      </c>
      <c r="K188" s="21"/>
      <c r="L188" s="28"/>
      <c r="M188" s="28">
        <f t="shared" si="120"/>
        <v>0</v>
      </c>
      <c r="N188" s="30"/>
      <c r="O188" s="26"/>
      <c r="P188" s="31">
        <f t="shared" si="107"/>
        <v>0</v>
      </c>
      <c r="Q188" s="21"/>
      <c r="R188" s="28"/>
      <c r="S188" s="22">
        <f t="shared" si="108"/>
        <v>0</v>
      </c>
      <c r="T188" s="26"/>
      <c r="U188" s="26"/>
      <c r="V188" s="31">
        <f t="shared" si="109"/>
        <v>0</v>
      </c>
      <c r="W188" s="26">
        <f t="shared" si="122"/>
        <v>0</v>
      </c>
      <c r="X188" s="36">
        <f t="shared" ref="X188:X242" si="124">IFERROR((M188*$M$2)+(P188*$P$2)+(S188*$S$2)+(V188*$V$2),"")</f>
        <v>0</v>
      </c>
      <c r="Y188" s="37" t="str">
        <f t="shared" si="110"/>
        <v/>
      </c>
      <c r="Z188" s="38"/>
      <c r="AA188" s="38"/>
      <c r="AB188" s="38"/>
      <c r="AC188" s="38"/>
      <c r="AD188" s="157">
        <f t="shared" si="104"/>
        <v>0</v>
      </c>
      <c r="AE188" s="34"/>
      <c r="AF188" s="35"/>
      <c r="AG188" s="40"/>
      <c r="AH188" s="44"/>
      <c r="AI188" s="13"/>
      <c r="AJ188" s="46"/>
      <c r="AK188" s="45"/>
      <c r="AL188" s="23"/>
      <c r="AM188" s="138"/>
      <c r="AN188" s="25" t="str">
        <f t="shared" si="117"/>
        <v/>
      </c>
      <c r="AO188" s="50"/>
      <c r="AP188" s="53">
        <f t="shared" si="111"/>
        <v>0</v>
      </c>
      <c r="AQ188" s="53"/>
      <c r="AR188" s="119"/>
      <c r="AS188" s="56">
        <f t="shared" si="119"/>
        <v>0</v>
      </c>
      <c r="AT188" s="298"/>
      <c r="AU188" s="298">
        <f t="shared" si="103"/>
        <v>0</v>
      </c>
      <c r="AV188" s="357" t="str">
        <f t="shared" si="105"/>
        <v/>
      </c>
      <c r="AW188" s="18"/>
      <c r="AX188" s="18" t="str">
        <f>IF(AS188=0,"",SUMIFS($AS$8:AS188, $BH$8:BH188, BH188))</f>
        <v/>
      </c>
      <c r="AY188" s="57" t="str">
        <f t="shared" ca="1" si="121"/>
        <v>no drilling completed</v>
      </c>
      <c r="AZ188" s="15" t="str">
        <f t="shared" ca="1" si="112"/>
        <v>LINK</v>
      </c>
      <c r="BB188" s="14" t="s">
        <v>211</v>
      </c>
      <c r="BC188" t="str">
        <f t="shared" si="113"/>
        <v>25</v>
      </c>
      <c r="BD188">
        <f t="shared" si="101"/>
        <v>10</v>
      </c>
      <c r="BE188" s="98" t="str">
        <f t="shared" si="102"/>
        <v>05</v>
      </c>
      <c r="BF188" t="str">
        <f t="shared" si="114"/>
        <v>D</v>
      </c>
      <c r="BG188" t="str">
        <f t="shared" si="116"/>
        <v>https://www.coreplan.io/app/ddh1-drilling/speewah-mining-speewah-fluorite-project-wa/plods/1663-251005D</v>
      </c>
      <c r="BH188" t="str">
        <f t="shared" si="115"/>
        <v>2025-10</v>
      </c>
    </row>
    <row r="189" spans="1:60">
      <c r="A189" s="510" t="e">
        <f>VLOOKUP(F189,'Tenement Lookup'!A:BH,60,FALSE)</f>
        <v>#N/A</v>
      </c>
      <c r="C189" s="152" t="str">
        <f t="shared" si="118"/>
        <v/>
      </c>
      <c r="D189" s="1">
        <f t="shared" si="99"/>
        <v>45934.71</v>
      </c>
      <c r="E189" t="s">
        <v>172</v>
      </c>
      <c r="H189" s="4"/>
      <c r="I189" s="4"/>
      <c r="J189" s="5" t="str">
        <f t="shared" si="123"/>
        <v/>
      </c>
      <c r="K189" s="21"/>
      <c r="L189" s="28"/>
      <c r="M189" s="28">
        <f t="shared" si="120"/>
        <v>0</v>
      </c>
      <c r="N189" s="30"/>
      <c r="O189" s="26"/>
      <c r="P189" s="31">
        <f t="shared" si="107"/>
        <v>0</v>
      </c>
      <c r="Q189" s="21"/>
      <c r="R189" s="28"/>
      <c r="S189" s="22">
        <f t="shared" si="108"/>
        <v>0</v>
      </c>
      <c r="T189" s="26"/>
      <c r="U189" s="26"/>
      <c r="V189" s="31">
        <f t="shared" si="109"/>
        <v>0</v>
      </c>
      <c r="W189" s="26">
        <f t="shared" si="122"/>
        <v>0</v>
      </c>
      <c r="X189" s="36">
        <f t="shared" si="124"/>
        <v>0</v>
      </c>
      <c r="Y189" s="37" t="str">
        <f t="shared" si="110"/>
        <v/>
      </c>
      <c r="Z189" s="38"/>
      <c r="AA189" s="38"/>
      <c r="AB189" s="38"/>
      <c r="AC189" s="38"/>
      <c r="AD189" s="157">
        <f t="shared" si="104"/>
        <v>0</v>
      </c>
      <c r="AE189" s="34"/>
      <c r="AF189" s="35"/>
      <c r="AG189" s="40"/>
      <c r="AH189" s="44"/>
      <c r="AI189" s="13"/>
      <c r="AJ189" s="46"/>
      <c r="AK189" s="45"/>
      <c r="AL189" s="23"/>
      <c r="AM189" s="138"/>
      <c r="AN189" s="25" t="str">
        <f t="shared" si="117"/>
        <v/>
      </c>
      <c r="AO189" s="50"/>
      <c r="AP189" s="53">
        <f t="shared" si="111"/>
        <v>0</v>
      </c>
      <c r="AQ189" s="53"/>
      <c r="AR189" s="119"/>
      <c r="AS189" s="56">
        <f t="shared" si="119"/>
        <v>0</v>
      </c>
      <c r="AT189" s="298"/>
      <c r="AU189" s="298">
        <f t="shared" si="103"/>
        <v>0</v>
      </c>
      <c r="AV189" s="357" t="str">
        <f t="shared" si="105"/>
        <v/>
      </c>
      <c r="AW189" s="18"/>
      <c r="AX189" s="18" t="str">
        <f>IF(AS189=0,"",SUMIFS($AS$8:AS189, $BH$8:BH189, BH189))</f>
        <v/>
      </c>
      <c r="AY189" s="57" t="str">
        <f t="shared" ca="1" si="121"/>
        <v>no drilling completed</v>
      </c>
      <c r="AZ189" s="15" t="str">
        <f t="shared" ca="1" si="112"/>
        <v>LINK</v>
      </c>
      <c r="BB189" s="14" t="s">
        <v>211</v>
      </c>
      <c r="BC189" t="str">
        <f t="shared" si="113"/>
        <v>25</v>
      </c>
      <c r="BD189">
        <f t="shared" si="101"/>
        <v>10</v>
      </c>
      <c r="BE189" s="98" t="str">
        <f t="shared" si="102"/>
        <v>05</v>
      </c>
      <c r="BF189" t="str">
        <f t="shared" si="114"/>
        <v>N</v>
      </c>
      <c r="BG189" t="str">
        <f t="shared" si="116"/>
        <v>https://www.coreplan.io/app/ddh1-drilling/speewah-mining-speewah-fluorite-project-wa/plods/1663-251005N</v>
      </c>
      <c r="BH189" t="str">
        <f t="shared" si="115"/>
        <v>2025-10</v>
      </c>
    </row>
    <row r="190" spans="1:60">
      <c r="A190" s="510" t="e">
        <f>VLOOKUP(F190,'Tenement Lookup'!A:BH,60,FALSE)</f>
        <v>#N/A</v>
      </c>
      <c r="C190" s="152" t="str">
        <f t="shared" si="118"/>
        <v/>
      </c>
      <c r="D190" s="1">
        <f t="shared" si="99"/>
        <v>45935.21</v>
      </c>
      <c r="E190" t="s">
        <v>171</v>
      </c>
      <c r="H190" s="4"/>
      <c r="I190" s="4"/>
      <c r="J190" s="5" t="str">
        <f t="shared" si="123"/>
        <v/>
      </c>
      <c r="K190" s="21"/>
      <c r="L190" s="28"/>
      <c r="M190" s="28">
        <f t="shared" si="120"/>
        <v>0</v>
      </c>
      <c r="N190" s="30"/>
      <c r="O190" s="26"/>
      <c r="P190" s="31">
        <f t="shared" si="107"/>
        <v>0</v>
      </c>
      <c r="Q190" s="21"/>
      <c r="R190" s="28"/>
      <c r="S190" s="22">
        <f t="shared" si="108"/>
        <v>0</v>
      </c>
      <c r="T190" s="26"/>
      <c r="U190" s="26"/>
      <c r="V190" s="31">
        <f t="shared" si="109"/>
        <v>0</v>
      </c>
      <c r="W190" s="26">
        <f t="shared" si="122"/>
        <v>0</v>
      </c>
      <c r="X190" s="36">
        <f t="shared" si="124"/>
        <v>0</v>
      </c>
      <c r="Y190" s="37" t="str">
        <f t="shared" si="110"/>
        <v/>
      </c>
      <c r="Z190" s="38"/>
      <c r="AA190" s="38"/>
      <c r="AB190" s="38"/>
      <c r="AC190" s="38"/>
      <c r="AD190" s="157">
        <f t="shared" si="104"/>
        <v>0</v>
      </c>
      <c r="AE190" s="34"/>
      <c r="AF190" s="35"/>
      <c r="AG190" s="40"/>
      <c r="AH190" s="44"/>
      <c r="AI190" s="13"/>
      <c r="AJ190" s="46"/>
      <c r="AK190" s="45"/>
      <c r="AL190" s="23"/>
      <c r="AM190" s="138"/>
      <c r="AN190" s="25" t="str">
        <f t="shared" si="117"/>
        <v/>
      </c>
      <c r="AO190" s="50"/>
      <c r="AP190" s="53">
        <f t="shared" si="111"/>
        <v>0</v>
      </c>
      <c r="AQ190" s="53"/>
      <c r="AR190" s="119"/>
      <c r="AS190" s="56">
        <f t="shared" si="119"/>
        <v>0</v>
      </c>
      <c r="AT190" s="298"/>
      <c r="AU190" s="298">
        <f t="shared" si="103"/>
        <v>0</v>
      </c>
      <c r="AV190" s="357" t="str">
        <f t="shared" si="105"/>
        <v/>
      </c>
      <c r="AW190" s="18"/>
      <c r="AX190" s="18" t="str">
        <f>IF(AS190=0,"",SUMIFS($AS$8:AS190, $BH$8:BH190, BH190))</f>
        <v/>
      </c>
      <c r="AY190" s="57" t="str">
        <f t="shared" ca="1" si="121"/>
        <v>no drilling completed</v>
      </c>
      <c r="AZ190" s="15" t="str">
        <f t="shared" ca="1" si="112"/>
        <v>LINK</v>
      </c>
      <c r="BB190" s="14" t="s">
        <v>211</v>
      </c>
      <c r="BC190" t="str">
        <f t="shared" si="113"/>
        <v>25</v>
      </c>
      <c r="BD190">
        <f t="shared" si="101"/>
        <v>10</v>
      </c>
      <c r="BE190" s="98" t="str">
        <f t="shared" si="102"/>
        <v>06</v>
      </c>
      <c r="BF190" t="str">
        <f t="shared" si="114"/>
        <v>D</v>
      </c>
      <c r="BG190" t="str">
        <f t="shared" si="116"/>
        <v>https://www.coreplan.io/app/ddh1-drilling/speewah-mining-speewah-fluorite-project-wa/plods/1663-251006D</v>
      </c>
      <c r="BH190" t="str">
        <f t="shared" si="115"/>
        <v>2025-10</v>
      </c>
    </row>
    <row r="191" spans="1:60">
      <c r="A191" s="510" t="e">
        <f>VLOOKUP(F191,'Tenement Lookup'!A:BH,60,FALSE)</f>
        <v>#N/A</v>
      </c>
      <c r="C191" s="152" t="str">
        <f t="shared" si="118"/>
        <v/>
      </c>
      <c r="D191" s="1">
        <f t="shared" si="99"/>
        <v>45935.71</v>
      </c>
      <c r="E191" t="s">
        <v>172</v>
      </c>
      <c r="H191" s="4"/>
      <c r="I191" s="4"/>
      <c r="J191" s="4"/>
      <c r="K191" s="21"/>
      <c r="L191" s="28"/>
      <c r="M191" s="28"/>
      <c r="N191" s="30"/>
      <c r="O191" s="26"/>
      <c r="P191" s="31"/>
      <c r="Q191" s="21"/>
      <c r="R191" s="28"/>
      <c r="S191" s="22"/>
      <c r="T191" s="26"/>
      <c r="U191" s="26"/>
      <c r="V191" s="31"/>
      <c r="W191" s="26">
        <f t="shared" si="122"/>
        <v>0</v>
      </c>
      <c r="X191" s="36">
        <f t="shared" si="124"/>
        <v>0</v>
      </c>
      <c r="Y191" s="37" t="str">
        <f t="shared" si="110"/>
        <v/>
      </c>
      <c r="Z191" s="38"/>
      <c r="AA191" s="38"/>
      <c r="AB191" s="38"/>
      <c r="AC191" s="38"/>
      <c r="AD191" s="157">
        <f t="shared" si="104"/>
        <v>0</v>
      </c>
      <c r="AE191" s="34"/>
      <c r="AF191" s="35"/>
      <c r="AG191" s="40"/>
      <c r="AH191" s="44"/>
      <c r="AI191" s="13"/>
      <c r="AJ191" s="46"/>
      <c r="AK191" s="45"/>
      <c r="AL191" s="23"/>
      <c r="AM191" s="138"/>
      <c r="AN191" s="24"/>
      <c r="AO191" s="50"/>
      <c r="AP191" s="54"/>
      <c r="AQ191" s="54"/>
      <c r="AR191" s="119"/>
      <c r="AS191" s="55"/>
      <c r="AT191" s="300"/>
      <c r="AU191" s="298">
        <f t="shared" si="103"/>
        <v>0</v>
      </c>
      <c r="AV191" s="357" t="str">
        <f t="shared" si="105"/>
        <v/>
      </c>
      <c r="BB191" s="14" t="s">
        <v>211</v>
      </c>
      <c r="BC191" t="str">
        <f t="shared" ref="BC191:BC222" si="125">RIGHT(YEAR(D191),2)</f>
        <v>25</v>
      </c>
      <c r="BD191">
        <f t="shared" si="101"/>
        <v>10</v>
      </c>
      <c r="BE191" s="98" t="str">
        <f t="shared" si="102"/>
        <v>06</v>
      </c>
      <c r="BF191" t="str">
        <f t="shared" ref="BF191:BF222" si="126">LEFT(E191,1)</f>
        <v>N</v>
      </c>
      <c r="BG191" t="str">
        <f t="shared" ref="BG191:BG222" si="127">CONCATENATE(BB191,BC191,BD191,BE191,BF191)</f>
        <v>https://www.coreplan.io/app/ddh1-drilling/speewah-mining-speewah-fluorite-project-wa/plods/1663-251006N</v>
      </c>
      <c r="BH191" t="str">
        <f t="shared" ref="BH191:BH222" si="128">TEXT(D191, "yyyy-mm")</f>
        <v>2025-10</v>
      </c>
    </row>
    <row r="192" spans="1:60">
      <c r="A192" s="510" t="e">
        <f>VLOOKUP(F192,'Tenement Lookup'!A:BH,60,FALSE)</f>
        <v>#N/A</v>
      </c>
      <c r="C192" s="152" t="str">
        <f t="shared" si="118"/>
        <v/>
      </c>
      <c r="D192" s="1">
        <f t="shared" si="99"/>
        <v>45936.21</v>
      </c>
      <c r="E192" t="s">
        <v>171</v>
      </c>
      <c r="H192" s="4"/>
      <c r="I192" s="4"/>
      <c r="J192" s="4"/>
      <c r="K192" s="21"/>
      <c r="L192" s="28"/>
      <c r="M192" s="28"/>
      <c r="N192" s="30"/>
      <c r="O192" s="26"/>
      <c r="P192" s="31"/>
      <c r="Q192" s="21"/>
      <c r="R192" s="28"/>
      <c r="S192" s="22"/>
      <c r="T192" s="26"/>
      <c r="U192" s="26"/>
      <c r="V192" s="31"/>
      <c r="W192" s="26">
        <f t="shared" si="122"/>
        <v>0</v>
      </c>
      <c r="X192" s="36">
        <f t="shared" si="124"/>
        <v>0</v>
      </c>
      <c r="Y192" s="37" t="str">
        <f t="shared" si="110"/>
        <v/>
      </c>
      <c r="Z192" s="38"/>
      <c r="AA192" s="38"/>
      <c r="AB192" s="38"/>
      <c r="AC192" s="38"/>
      <c r="AD192" s="157">
        <f t="shared" si="104"/>
        <v>0</v>
      </c>
      <c r="AE192" s="34"/>
      <c r="AF192" s="35"/>
      <c r="AG192" s="40"/>
      <c r="AH192" s="44"/>
      <c r="AI192" s="13"/>
      <c r="AJ192" s="46"/>
      <c r="AK192" s="45"/>
      <c r="AL192" s="23"/>
      <c r="AM192" s="138"/>
      <c r="AN192" s="24"/>
      <c r="AO192" s="50"/>
      <c r="AP192" s="54"/>
      <c r="AQ192" s="54"/>
      <c r="AR192" s="119"/>
      <c r="AS192" s="55"/>
      <c r="AT192" s="300"/>
      <c r="AU192" s="298">
        <f t="shared" si="103"/>
        <v>0</v>
      </c>
      <c r="AV192" s="357" t="str">
        <f t="shared" si="105"/>
        <v/>
      </c>
      <c r="BB192" s="14" t="s">
        <v>211</v>
      </c>
      <c r="BC192" t="str">
        <f t="shared" si="125"/>
        <v>25</v>
      </c>
      <c r="BD192">
        <f t="shared" si="101"/>
        <v>10</v>
      </c>
      <c r="BE192" s="98" t="str">
        <f t="shared" si="102"/>
        <v>07</v>
      </c>
      <c r="BF192" t="str">
        <f t="shared" si="126"/>
        <v>D</v>
      </c>
      <c r="BG192" t="str">
        <f t="shared" si="127"/>
        <v>https://www.coreplan.io/app/ddh1-drilling/speewah-mining-speewah-fluorite-project-wa/plods/1663-251007D</v>
      </c>
      <c r="BH192" t="str">
        <f t="shared" si="128"/>
        <v>2025-10</v>
      </c>
    </row>
    <row r="193" spans="1:60">
      <c r="A193" s="510" t="e">
        <f>VLOOKUP(F193,'Tenement Lookup'!A:BH,60,FALSE)</f>
        <v>#N/A</v>
      </c>
      <c r="C193" s="152" t="str">
        <f t="shared" si="118"/>
        <v/>
      </c>
      <c r="D193" s="1">
        <f t="shared" si="99"/>
        <v>45936.71</v>
      </c>
      <c r="E193" t="s">
        <v>172</v>
      </c>
      <c r="H193" s="4"/>
      <c r="I193" s="4"/>
      <c r="J193" s="4"/>
      <c r="K193" s="21"/>
      <c r="L193" s="28"/>
      <c r="M193" s="28"/>
      <c r="N193" s="30"/>
      <c r="O193" s="26"/>
      <c r="P193" s="31"/>
      <c r="Q193" s="21"/>
      <c r="R193" s="28"/>
      <c r="S193" s="22"/>
      <c r="T193" s="26"/>
      <c r="U193" s="26"/>
      <c r="V193" s="31"/>
      <c r="W193" s="26">
        <f t="shared" si="122"/>
        <v>0</v>
      </c>
      <c r="X193" s="36">
        <f t="shared" si="124"/>
        <v>0</v>
      </c>
      <c r="Y193" s="37" t="str">
        <f t="shared" si="110"/>
        <v/>
      </c>
      <c r="Z193" s="38"/>
      <c r="AA193" s="38"/>
      <c r="AB193" s="38"/>
      <c r="AC193" s="38"/>
      <c r="AD193" s="157">
        <f t="shared" si="104"/>
        <v>0</v>
      </c>
      <c r="AE193" s="34"/>
      <c r="AF193" s="35"/>
      <c r="AG193" s="40"/>
      <c r="AH193" s="44"/>
      <c r="AI193" s="13"/>
      <c r="AJ193" s="46"/>
      <c r="AK193" s="45"/>
      <c r="AL193" s="23"/>
      <c r="AM193" s="138"/>
      <c r="AN193" s="24"/>
      <c r="AO193" s="50"/>
      <c r="AP193" s="54"/>
      <c r="AQ193" s="54"/>
      <c r="AR193" s="119"/>
      <c r="AS193" s="55"/>
      <c r="AT193" s="300"/>
      <c r="AU193" s="298">
        <f t="shared" si="103"/>
        <v>0</v>
      </c>
      <c r="AV193" s="357" t="str">
        <f t="shared" si="105"/>
        <v/>
      </c>
      <c r="BB193" s="14" t="s">
        <v>211</v>
      </c>
      <c r="BC193" t="str">
        <f t="shared" si="125"/>
        <v>25</v>
      </c>
      <c r="BD193">
        <f t="shared" si="101"/>
        <v>10</v>
      </c>
      <c r="BE193" s="98" t="str">
        <f t="shared" si="102"/>
        <v>07</v>
      </c>
      <c r="BF193" t="str">
        <f t="shared" si="126"/>
        <v>N</v>
      </c>
      <c r="BG193" t="str">
        <f t="shared" si="127"/>
        <v>https://www.coreplan.io/app/ddh1-drilling/speewah-mining-speewah-fluorite-project-wa/plods/1663-251007N</v>
      </c>
      <c r="BH193" t="str">
        <f t="shared" si="128"/>
        <v>2025-10</v>
      </c>
    </row>
    <row r="194" spans="1:60">
      <c r="A194" s="510" t="e">
        <f>VLOOKUP(F194,'Tenement Lookup'!A:BH,60,FALSE)</f>
        <v>#N/A</v>
      </c>
      <c r="C194" s="152" t="str">
        <f t="shared" si="118"/>
        <v/>
      </c>
      <c r="D194" s="1">
        <f t="shared" si="99"/>
        <v>45937.21</v>
      </c>
      <c r="E194" t="s">
        <v>171</v>
      </c>
      <c r="H194" s="4"/>
      <c r="I194" s="4"/>
      <c r="J194" s="4"/>
      <c r="K194" s="21"/>
      <c r="L194" s="28"/>
      <c r="M194" s="28"/>
      <c r="N194" s="30"/>
      <c r="O194" s="26"/>
      <c r="P194" s="31"/>
      <c r="Q194" s="21"/>
      <c r="R194" s="28"/>
      <c r="S194" s="22"/>
      <c r="T194" s="26"/>
      <c r="U194" s="26"/>
      <c r="V194" s="31"/>
      <c r="W194" s="26">
        <f t="shared" si="122"/>
        <v>0</v>
      </c>
      <c r="X194" s="36">
        <f t="shared" si="124"/>
        <v>0</v>
      </c>
      <c r="Y194" s="37" t="str">
        <f t="shared" si="110"/>
        <v/>
      </c>
      <c r="Z194" s="38"/>
      <c r="AA194" s="38"/>
      <c r="AB194" s="38"/>
      <c r="AC194" s="38"/>
      <c r="AD194" s="157">
        <f t="shared" si="104"/>
        <v>0</v>
      </c>
      <c r="AE194" s="34"/>
      <c r="AF194" s="35"/>
      <c r="AG194" s="40"/>
      <c r="AH194" s="44"/>
      <c r="AI194" s="13"/>
      <c r="AJ194" s="46"/>
      <c r="AK194" s="45"/>
      <c r="AL194" s="23"/>
      <c r="AM194" s="138"/>
      <c r="AN194" s="24"/>
      <c r="AO194" s="50"/>
      <c r="AP194" s="54"/>
      <c r="AQ194" s="54"/>
      <c r="AR194" s="119"/>
      <c r="AS194" s="55"/>
      <c r="AT194" s="300"/>
      <c r="AU194" s="298">
        <f t="shared" si="103"/>
        <v>0</v>
      </c>
      <c r="AV194" s="357" t="str">
        <f t="shared" si="105"/>
        <v/>
      </c>
      <c r="BB194" s="14" t="s">
        <v>211</v>
      </c>
      <c r="BC194" t="str">
        <f t="shared" si="125"/>
        <v>25</v>
      </c>
      <c r="BD194">
        <f t="shared" si="101"/>
        <v>10</v>
      </c>
      <c r="BE194" s="98" t="str">
        <f t="shared" si="102"/>
        <v>08</v>
      </c>
      <c r="BF194" t="str">
        <f t="shared" si="126"/>
        <v>D</v>
      </c>
      <c r="BG194" t="str">
        <f t="shared" si="127"/>
        <v>https://www.coreplan.io/app/ddh1-drilling/speewah-mining-speewah-fluorite-project-wa/plods/1663-251008D</v>
      </c>
      <c r="BH194" t="str">
        <f t="shared" si="128"/>
        <v>2025-10</v>
      </c>
    </row>
    <row r="195" spans="1:60">
      <c r="A195" s="510" t="e">
        <f>VLOOKUP(F195,'Tenement Lookup'!A:BH,60,FALSE)</f>
        <v>#N/A</v>
      </c>
      <c r="C195" s="152" t="str">
        <f t="shared" si="118"/>
        <v/>
      </c>
      <c r="D195" s="1">
        <f t="shared" si="99"/>
        <v>45937.71</v>
      </c>
      <c r="E195" t="s">
        <v>172</v>
      </c>
      <c r="H195" s="4"/>
      <c r="I195" s="4"/>
      <c r="J195" s="4"/>
      <c r="K195" s="21"/>
      <c r="L195" s="28"/>
      <c r="M195" s="28"/>
      <c r="N195" s="30"/>
      <c r="O195" s="26"/>
      <c r="P195" s="31"/>
      <c r="Q195" s="21"/>
      <c r="R195" s="28"/>
      <c r="S195" s="22"/>
      <c r="T195" s="26"/>
      <c r="U195" s="26"/>
      <c r="V195" s="31"/>
      <c r="W195" s="26">
        <f t="shared" si="122"/>
        <v>0</v>
      </c>
      <c r="X195" s="36">
        <f t="shared" si="124"/>
        <v>0</v>
      </c>
      <c r="Y195" s="37" t="str">
        <f t="shared" si="110"/>
        <v/>
      </c>
      <c r="Z195" s="38"/>
      <c r="AA195" s="38"/>
      <c r="AB195" s="38"/>
      <c r="AC195" s="38"/>
      <c r="AD195" s="157">
        <f t="shared" si="104"/>
        <v>0</v>
      </c>
      <c r="AE195" s="34"/>
      <c r="AF195" s="35"/>
      <c r="AG195" s="40"/>
      <c r="AH195" s="44"/>
      <c r="AI195" s="13"/>
      <c r="AJ195" s="46"/>
      <c r="AK195" s="45"/>
      <c r="AL195" s="23"/>
      <c r="AM195" s="138"/>
      <c r="AN195" s="24"/>
      <c r="AO195" s="50"/>
      <c r="AP195" s="54"/>
      <c r="AQ195" s="54"/>
      <c r="AR195" s="119"/>
      <c r="AS195" s="55"/>
      <c r="AT195" s="300"/>
      <c r="AU195" s="298">
        <f t="shared" si="103"/>
        <v>0</v>
      </c>
      <c r="AV195" s="357" t="str">
        <f t="shared" si="105"/>
        <v/>
      </c>
      <c r="BB195" s="14" t="s">
        <v>211</v>
      </c>
      <c r="BC195" t="str">
        <f t="shared" si="125"/>
        <v>25</v>
      </c>
      <c r="BD195">
        <f t="shared" si="101"/>
        <v>10</v>
      </c>
      <c r="BE195" s="98" t="str">
        <f t="shared" si="102"/>
        <v>08</v>
      </c>
      <c r="BF195" t="str">
        <f t="shared" si="126"/>
        <v>N</v>
      </c>
      <c r="BG195" t="str">
        <f t="shared" si="127"/>
        <v>https://www.coreplan.io/app/ddh1-drilling/speewah-mining-speewah-fluorite-project-wa/plods/1663-251008N</v>
      </c>
      <c r="BH195" t="str">
        <f t="shared" si="128"/>
        <v>2025-10</v>
      </c>
    </row>
    <row r="196" spans="1:60">
      <c r="A196" s="510" t="e">
        <f>VLOOKUP(F196,'Tenement Lookup'!A:BH,60,FALSE)</f>
        <v>#N/A</v>
      </c>
      <c r="C196" s="152" t="str">
        <f t="shared" ref="C196:C227" si="129">IFERROR(IF(FIND("MET",F196),"MET",IF(FIND("GT",F196),"GT",)),"")</f>
        <v/>
      </c>
      <c r="D196" s="1">
        <f t="shared" ref="D196:D241" si="130">D194+1</f>
        <v>45938.21</v>
      </c>
      <c r="E196" t="s">
        <v>171</v>
      </c>
      <c r="H196" s="4"/>
      <c r="I196" s="4"/>
      <c r="J196" s="4"/>
      <c r="K196" s="21"/>
      <c r="L196" s="28"/>
      <c r="M196" s="28"/>
      <c r="N196" s="30"/>
      <c r="O196" s="26"/>
      <c r="P196" s="31"/>
      <c r="Q196" s="21"/>
      <c r="R196" s="28"/>
      <c r="S196" s="22"/>
      <c r="T196" s="26"/>
      <c r="U196" s="26"/>
      <c r="V196" s="31"/>
      <c r="W196" s="26">
        <f t="shared" si="122"/>
        <v>0</v>
      </c>
      <c r="X196" s="36">
        <f t="shared" si="124"/>
        <v>0</v>
      </c>
      <c r="Y196" s="37" t="str">
        <f t="shared" si="110"/>
        <v/>
      </c>
      <c r="Z196" s="38"/>
      <c r="AA196" s="38"/>
      <c r="AB196" s="38"/>
      <c r="AC196" s="38"/>
      <c r="AD196" s="157">
        <f t="shared" si="104"/>
        <v>0</v>
      </c>
      <c r="AE196" s="34"/>
      <c r="AF196" s="35"/>
      <c r="AG196" s="40"/>
      <c r="AH196" s="44"/>
      <c r="AI196" s="13"/>
      <c r="AJ196" s="46"/>
      <c r="AK196" s="45"/>
      <c r="AL196" s="23"/>
      <c r="AM196" s="138"/>
      <c r="AN196" s="24"/>
      <c r="AO196" s="50"/>
      <c r="AP196" s="54"/>
      <c r="AQ196" s="54"/>
      <c r="AR196" s="119"/>
      <c r="AS196" s="55"/>
      <c r="AT196" s="300"/>
      <c r="AU196" s="298">
        <f t="shared" si="103"/>
        <v>0</v>
      </c>
      <c r="AV196" s="357" t="str">
        <f t="shared" si="105"/>
        <v/>
      </c>
      <c r="BB196" s="14" t="s">
        <v>211</v>
      </c>
      <c r="BC196" t="str">
        <f t="shared" si="125"/>
        <v>25</v>
      </c>
      <c r="BD196">
        <f t="shared" si="101"/>
        <v>10</v>
      </c>
      <c r="BE196" s="98" t="str">
        <f t="shared" si="102"/>
        <v>09</v>
      </c>
      <c r="BF196" t="str">
        <f t="shared" si="126"/>
        <v>D</v>
      </c>
      <c r="BG196" t="str">
        <f t="shared" si="127"/>
        <v>https://www.coreplan.io/app/ddh1-drilling/speewah-mining-speewah-fluorite-project-wa/plods/1663-251009D</v>
      </c>
      <c r="BH196" t="str">
        <f t="shared" si="128"/>
        <v>2025-10</v>
      </c>
    </row>
    <row r="197" spans="1:60">
      <c r="A197" s="510" t="e">
        <f>VLOOKUP(F197,'Tenement Lookup'!A:BH,60,FALSE)</f>
        <v>#N/A</v>
      </c>
      <c r="C197" s="152" t="str">
        <f t="shared" si="129"/>
        <v/>
      </c>
      <c r="D197" s="1">
        <f t="shared" si="130"/>
        <v>45938.71</v>
      </c>
      <c r="E197" t="s">
        <v>172</v>
      </c>
      <c r="H197" s="4"/>
      <c r="I197" s="4"/>
      <c r="J197" s="4"/>
      <c r="K197" s="21"/>
      <c r="L197" s="28"/>
      <c r="M197" s="28"/>
      <c r="N197" s="30"/>
      <c r="O197" s="26"/>
      <c r="P197" s="31"/>
      <c r="Q197" s="21"/>
      <c r="R197" s="28"/>
      <c r="S197" s="22"/>
      <c r="T197" s="26"/>
      <c r="U197" s="26"/>
      <c r="V197" s="31"/>
      <c r="W197" s="26">
        <f t="shared" si="122"/>
        <v>0</v>
      </c>
      <c r="X197" s="36">
        <f t="shared" si="124"/>
        <v>0</v>
      </c>
      <c r="Y197" s="37" t="str">
        <f t="shared" si="110"/>
        <v/>
      </c>
      <c r="Z197" s="38"/>
      <c r="AA197" s="38"/>
      <c r="AB197" s="38"/>
      <c r="AC197" s="38"/>
      <c r="AD197" s="157">
        <f t="shared" si="104"/>
        <v>0</v>
      </c>
      <c r="AE197" s="34"/>
      <c r="AF197" s="35"/>
      <c r="AG197" s="40"/>
      <c r="AH197" s="44"/>
      <c r="AI197" s="13"/>
      <c r="AJ197" s="46"/>
      <c r="AK197" s="45"/>
      <c r="AL197" s="23"/>
      <c r="AM197" s="138"/>
      <c r="AN197" s="24"/>
      <c r="AO197" s="50"/>
      <c r="AP197" s="54"/>
      <c r="AQ197" s="54"/>
      <c r="AR197" s="119"/>
      <c r="AS197" s="55"/>
      <c r="AT197" s="300"/>
      <c r="AU197" s="298">
        <f t="shared" si="103"/>
        <v>0</v>
      </c>
      <c r="AV197" s="357" t="str">
        <f t="shared" si="105"/>
        <v/>
      </c>
      <c r="BB197" s="14" t="s">
        <v>211</v>
      </c>
      <c r="BC197" t="str">
        <f t="shared" si="125"/>
        <v>25</v>
      </c>
      <c r="BD197">
        <f t="shared" si="101"/>
        <v>10</v>
      </c>
      <c r="BE197" s="98" t="str">
        <f t="shared" si="102"/>
        <v>09</v>
      </c>
      <c r="BF197" t="str">
        <f t="shared" si="126"/>
        <v>N</v>
      </c>
      <c r="BG197" t="str">
        <f t="shared" si="127"/>
        <v>https://www.coreplan.io/app/ddh1-drilling/speewah-mining-speewah-fluorite-project-wa/plods/1663-251009N</v>
      </c>
      <c r="BH197" t="str">
        <f t="shared" si="128"/>
        <v>2025-10</v>
      </c>
    </row>
    <row r="198" spans="1:60">
      <c r="A198" s="510" t="e">
        <f>VLOOKUP(F198,'Tenement Lookup'!A:BH,60,FALSE)</f>
        <v>#N/A</v>
      </c>
      <c r="C198" s="152" t="str">
        <f t="shared" si="129"/>
        <v/>
      </c>
      <c r="D198" s="1">
        <f t="shared" si="130"/>
        <v>45939.21</v>
      </c>
      <c r="E198" t="s">
        <v>171</v>
      </c>
      <c r="H198" s="4"/>
      <c r="I198" s="4"/>
      <c r="J198" s="4"/>
      <c r="K198" s="21"/>
      <c r="L198" s="28"/>
      <c r="M198" s="28"/>
      <c r="N198" s="30"/>
      <c r="O198" s="26"/>
      <c r="P198" s="31"/>
      <c r="Q198" s="21"/>
      <c r="R198" s="28"/>
      <c r="S198" s="22"/>
      <c r="T198" s="26"/>
      <c r="U198" s="26"/>
      <c r="V198" s="31"/>
      <c r="W198" s="26">
        <f t="shared" si="122"/>
        <v>0</v>
      </c>
      <c r="X198" s="36">
        <f t="shared" si="124"/>
        <v>0</v>
      </c>
      <c r="Y198" s="37" t="str">
        <f t="shared" si="110"/>
        <v/>
      </c>
      <c r="Z198" s="38"/>
      <c r="AA198" s="38"/>
      <c r="AB198" s="38"/>
      <c r="AC198" s="38"/>
      <c r="AD198" s="157">
        <f t="shared" si="104"/>
        <v>0</v>
      </c>
      <c r="AE198" s="34"/>
      <c r="AF198" s="35"/>
      <c r="AG198" s="40"/>
      <c r="AH198" s="44"/>
      <c r="AI198" s="13"/>
      <c r="AJ198" s="46"/>
      <c r="AK198" s="45"/>
      <c r="AL198" s="23"/>
      <c r="AM198" s="138"/>
      <c r="AN198" s="24"/>
      <c r="AO198" s="50"/>
      <c r="AP198" s="54"/>
      <c r="AQ198" s="54"/>
      <c r="AR198" s="119"/>
      <c r="AS198" s="55"/>
      <c r="AT198" s="300"/>
      <c r="AU198" s="298">
        <f t="shared" si="103"/>
        <v>0</v>
      </c>
      <c r="AV198" s="357" t="str">
        <f t="shared" si="105"/>
        <v/>
      </c>
      <c r="BB198" s="14" t="s">
        <v>211</v>
      </c>
      <c r="BC198" t="str">
        <f t="shared" si="125"/>
        <v>25</v>
      </c>
      <c r="BD198">
        <f t="shared" ref="BD198:BD241" si="131">IF(LEN(MONTH(D200))=1,_xlfn.TEXTJOIN(,,"0",MONTH(D200)),MONTH(D200))</f>
        <v>10</v>
      </c>
      <c r="BE198" s="98">
        <f t="shared" ref="BE198:BE241" si="132">IF(LEN(DAY(D200))=1,_xlfn.TEXTJOIN(,,"0",DAY(D200)),DAY(D200))</f>
        <v>10</v>
      </c>
      <c r="BF198" t="str">
        <f t="shared" si="126"/>
        <v>D</v>
      </c>
      <c r="BG198" t="str">
        <f t="shared" si="127"/>
        <v>https://www.coreplan.io/app/ddh1-drilling/speewah-mining-speewah-fluorite-project-wa/plods/1663-251010D</v>
      </c>
      <c r="BH198" t="str">
        <f t="shared" si="128"/>
        <v>2025-10</v>
      </c>
    </row>
    <row r="199" spans="1:60">
      <c r="A199" s="510" t="e">
        <f>VLOOKUP(F199,'Tenement Lookup'!A:BH,60,FALSE)</f>
        <v>#N/A</v>
      </c>
      <c r="C199" s="152" t="str">
        <f t="shared" si="129"/>
        <v/>
      </c>
      <c r="D199" s="1">
        <f t="shared" si="130"/>
        <v>45939.71</v>
      </c>
      <c r="E199" t="s">
        <v>172</v>
      </c>
      <c r="H199" s="4"/>
      <c r="I199" s="4"/>
      <c r="J199" s="4"/>
      <c r="K199" s="21"/>
      <c r="L199" s="28"/>
      <c r="M199" s="28"/>
      <c r="N199" s="30"/>
      <c r="O199" s="26"/>
      <c r="P199" s="31"/>
      <c r="Q199" s="21"/>
      <c r="R199" s="28"/>
      <c r="S199" s="22"/>
      <c r="T199" s="26"/>
      <c r="U199" s="26"/>
      <c r="V199" s="31"/>
      <c r="W199" s="26">
        <f t="shared" si="122"/>
        <v>0</v>
      </c>
      <c r="X199" s="36">
        <f t="shared" si="124"/>
        <v>0</v>
      </c>
      <c r="Y199" s="37" t="str">
        <f t="shared" si="110"/>
        <v/>
      </c>
      <c r="Z199" s="38"/>
      <c r="AA199" s="38"/>
      <c r="AB199" s="38"/>
      <c r="AC199" s="38"/>
      <c r="AD199" s="157">
        <f t="shared" si="104"/>
        <v>0</v>
      </c>
      <c r="AE199" s="34"/>
      <c r="AF199" s="35"/>
      <c r="AG199" s="40"/>
      <c r="AH199" s="44"/>
      <c r="AI199" s="13"/>
      <c r="AJ199" s="46"/>
      <c r="AK199" s="45"/>
      <c r="AL199" s="23"/>
      <c r="AM199" s="138"/>
      <c r="AN199" s="24"/>
      <c r="AO199" s="50"/>
      <c r="AP199" s="54"/>
      <c r="AQ199" s="54"/>
      <c r="AR199" s="119"/>
      <c r="AS199" s="55"/>
      <c r="AT199" s="300"/>
      <c r="AU199" s="298">
        <f t="shared" si="103"/>
        <v>0</v>
      </c>
      <c r="AV199" s="357" t="str">
        <f t="shared" si="105"/>
        <v/>
      </c>
      <c r="BB199" s="14" t="s">
        <v>211</v>
      </c>
      <c r="BC199" t="str">
        <f t="shared" si="125"/>
        <v>25</v>
      </c>
      <c r="BD199">
        <f t="shared" si="131"/>
        <v>10</v>
      </c>
      <c r="BE199" s="98">
        <f t="shared" si="132"/>
        <v>10</v>
      </c>
      <c r="BF199" t="str">
        <f t="shared" si="126"/>
        <v>N</v>
      </c>
      <c r="BG199" t="str">
        <f t="shared" si="127"/>
        <v>https://www.coreplan.io/app/ddh1-drilling/speewah-mining-speewah-fluorite-project-wa/plods/1663-251010N</v>
      </c>
      <c r="BH199" t="str">
        <f t="shared" si="128"/>
        <v>2025-10</v>
      </c>
    </row>
    <row r="200" spans="1:60">
      <c r="A200" s="510" t="e">
        <f>VLOOKUP(F200,'Tenement Lookup'!A:BH,60,FALSE)</f>
        <v>#N/A</v>
      </c>
      <c r="C200" s="152" t="str">
        <f t="shared" si="129"/>
        <v/>
      </c>
      <c r="D200" s="1">
        <f t="shared" si="130"/>
        <v>45940.21</v>
      </c>
      <c r="E200" t="s">
        <v>171</v>
      </c>
      <c r="H200" s="4"/>
      <c r="I200" s="4"/>
      <c r="J200" s="4"/>
      <c r="K200" s="21"/>
      <c r="L200" s="28"/>
      <c r="M200" s="28"/>
      <c r="N200" s="30"/>
      <c r="O200" s="26"/>
      <c r="P200" s="31"/>
      <c r="Q200" s="21"/>
      <c r="R200" s="28"/>
      <c r="S200" s="22"/>
      <c r="T200" s="26"/>
      <c r="U200" s="26"/>
      <c r="V200" s="31"/>
      <c r="W200" s="26">
        <f t="shared" si="122"/>
        <v>0</v>
      </c>
      <c r="X200" s="36">
        <f t="shared" si="124"/>
        <v>0</v>
      </c>
      <c r="Y200" s="37" t="str">
        <f t="shared" si="110"/>
        <v/>
      </c>
      <c r="Z200" s="38"/>
      <c r="AA200" s="38"/>
      <c r="AB200" s="38"/>
      <c r="AC200" s="38"/>
      <c r="AD200" s="157">
        <f t="shared" si="104"/>
        <v>0</v>
      </c>
      <c r="AE200" s="34"/>
      <c r="AF200" s="35"/>
      <c r="AG200" s="40"/>
      <c r="AH200" s="44"/>
      <c r="AI200" s="13"/>
      <c r="AJ200" s="46"/>
      <c r="AK200" s="45"/>
      <c r="AL200" s="23"/>
      <c r="AM200" s="138"/>
      <c r="AN200" s="24"/>
      <c r="AO200" s="50"/>
      <c r="AP200" s="54"/>
      <c r="AQ200" s="54"/>
      <c r="AR200" s="119"/>
      <c r="AS200" s="55"/>
      <c r="AT200" s="300"/>
      <c r="AU200" s="298">
        <f t="shared" si="103"/>
        <v>0</v>
      </c>
      <c r="AV200" s="357" t="str">
        <f t="shared" si="105"/>
        <v/>
      </c>
      <c r="BB200" s="14" t="s">
        <v>211</v>
      </c>
      <c r="BC200" t="str">
        <f t="shared" si="125"/>
        <v>25</v>
      </c>
      <c r="BD200">
        <f t="shared" si="131"/>
        <v>10</v>
      </c>
      <c r="BE200" s="98">
        <f t="shared" si="132"/>
        <v>11</v>
      </c>
      <c r="BF200" t="str">
        <f t="shared" si="126"/>
        <v>D</v>
      </c>
      <c r="BG200" t="str">
        <f t="shared" si="127"/>
        <v>https://www.coreplan.io/app/ddh1-drilling/speewah-mining-speewah-fluorite-project-wa/plods/1663-251011D</v>
      </c>
      <c r="BH200" t="str">
        <f t="shared" si="128"/>
        <v>2025-10</v>
      </c>
    </row>
    <row r="201" spans="1:60">
      <c r="A201" s="510" t="e">
        <f>VLOOKUP(F201,'Tenement Lookup'!A:BH,60,FALSE)</f>
        <v>#N/A</v>
      </c>
      <c r="C201" s="152" t="str">
        <f t="shared" si="129"/>
        <v/>
      </c>
      <c r="D201" s="1">
        <f t="shared" si="130"/>
        <v>45940.71</v>
      </c>
      <c r="E201" t="s">
        <v>172</v>
      </c>
      <c r="H201" s="4"/>
      <c r="I201" s="4"/>
      <c r="J201" s="4"/>
      <c r="K201" s="21"/>
      <c r="L201" s="28"/>
      <c r="M201" s="28"/>
      <c r="N201" s="30"/>
      <c r="O201" s="26"/>
      <c r="P201" s="31"/>
      <c r="Q201" s="21"/>
      <c r="R201" s="28"/>
      <c r="S201" s="22"/>
      <c r="T201" s="26"/>
      <c r="U201" s="26"/>
      <c r="V201" s="31"/>
      <c r="W201" s="26">
        <f t="shared" si="122"/>
        <v>0</v>
      </c>
      <c r="X201" s="36">
        <f t="shared" si="124"/>
        <v>0</v>
      </c>
      <c r="Y201" s="37" t="str">
        <f t="shared" si="110"/>
        <v/>
      </c>
      <c r="Z201" s="38"/>
      <c r="AA201" s="38"/>
      <c r="AB201" s="38"/>
      <c r="AC201" s="38"/>
      <c r="AD201" s="157">
        <f t="shared" si="104"/>
        <v>0</v>
      </c>
      <c r="AE201" s="34"/>
      <c r="AF201" s="35"/>
      <c r="AG201" s="40"/>
      <c r="AH201" s="44"/>
      <c r="AI201" s="13"/>
      <c r="AJ201" s="46"/>
      <c r="AK201" s="45"/>
      <c r="AL201" s="23"/>
      <c r="AM201" s="138"/>
      <c r="AN201" s="24"/>
      <c r="AO201" s="50"/>
      <c r="AP201" s="54"/>
      <c r="AQ201" s="54"/>
      <c r="AR201" s="119"/>
      <c r="AS201" s="55"/>
      <c r="AT201" s="300"/>
      <c r="AU201" s="298">
        <f t="shared" ref="AU201:AU242" si="133">SUM(AR201,AD201,Y201,J201)</f>
        <v>0</v>
      </c>
      <c r="AV201" s="357" t="str">
        <f t="shared" si="105"/>
        <v/>
      </c>
      <c r="BB201" s="14" t="s">
        <v>211</v>
      </c>
      <c r="BC201" t="str">
        <f t="shared" si="125"/>
        <v>25</v>
      </c>
      <c r="BD201">
        <f t="shared" si="131"/>
        <v>10</v>
      </c>
      <c r="BE201" s="98">
        <f t="shared" si="132"/>
        <v>11</v>
      </c>
      <c r="BF201" t="str">
        <f t="shared" si="126"/>
        <v>N</v>
      </c>
      <c r="BG201" t="str">
        <f t="shared" si="127"/>
        <v>https://www.coreplan.io/app/ddh1-drilling/speewah-mining-speewah-fluorite-project-wa/plods/1663-251011N</v>
      </c>
      <c r="BH201" t="str">
        <f t="shared" si="128"/>
        <v>2025-10</v>
      </c>
    </row>
    <row r="202" spans="1:60">
      <c r="A202" s="510" t="e">
        <f>VLOOKUP(F202,'Tenement Lookup'!A:BH,60,FALSE)</f>
        <v>#N/A</v>
      </c>
      <c r="C202" s="152" t="str">
        <f t="shared" si="129"/>
        <v/>
      </c>
      <c r="D202" s="1">
        <f t="shared" si="130"/>
        <v>45941.21</v>
      </c>
      <c r="E202" t="s">
        <v>171</v>
      </c>
      <c r="H202" s="4"/>
      <c r="I202" s="4"/>
      <c r="J202" s="4"/>
      <c r="K202" s="21"/>
      <c r="L202" s="28"/>
      <c r="M202" s="28"/>
      <c r="N202" s="30"/>
      <c r="O202" s="26"/>
      <c r="P202" s="31"/>
      <c r="Q202" s="21"/>
      <c r="R202" s="28"/>
      <c r="S202" s="22"/>
      <c r="T202" s="26"/>
      <c r="U202" s="26"/>
      <c r="V202" s="31"/>
      <c r="W202" s="26">
        <f t="shared" si="122"/>
        <v>0</v>
      </c>
      <c r="X202" s="36">
        <f t="shared" si="124"/>
        <v>0</v>
      </c>
      <c r="Y202" s="37" t="str">
        <f t="shared" si="110"/>
        <v/>
      </c>
      <c r="Z202" s="38"/>
      <c r="AA202" s="38"/>
      <c r="AB202" s="38"/>
      <c r="AC202" s="38"/>
      <c r="AD202" s="157">
        <f t="shared" si="104"/>
        <v>0</v>
      </c>
      <c r="AE202" s="34"/>
      <c r="AF202" s="35"/>
      <c r="AG202" s="40"/>
      <c r="AH202" s="44"/>
      <c r="AI202" s="13"/>
      <c r="AJ202" s="46"/>
      <c r="AK202" s="45"/>
      <c r="AL202" s="23"/>
      <c r="AM202" s="138"/>
      <c r="AN202" s="24"/>
      <c r="AO202" s="50"/>
      <c r="AP202" s="54"/>
      <c r="AQ202" s="54"/>
      <c r="AR202" s="119"/>
      <c r="AS202" s="55"/>
      <c r="AT202" s="300"/>
      <c r="AU202" s="298">
        <f t="shared" si="133"/>
        <v>0</v>
      </c>
      <c r="AV202" s="357" t="str">
        <f t="shared" si="105"/>
        <v/>
      </c>
      <c r="BB202" s="14" t="s">
        <v>211</v>
      </c>
      <c r="BC202" t="str">
        <f t="shared" si="125"/>
        <v>25</v>
      </c>
      <c r="BD202">
        <f t="shared" si="131"/>
        <v>10</v>
      </c>
      <c r="BE202" s="98">
        <f t="shared" si="132"/>
        <v>12</v>
      </c>
      <c r="BF202" t="str">
        <f t="shared" si="126"/>
        <v>D</v>
      </c>
      <c r="BG202" t="str">
        <f t="shared" si="127"/>
        <v>https://www.coreplan.io/app/ddh1-drilling/speewah-mining-speewah-fluorite-project-wa/plods/1663-251012D</v>
      </c>
      <c r="BH202" t="str">
        <f t="shared" si="128"/>
        <v>2025-10</v>
      </c>
    </row>
    <row r="203" spans="1:60">
      <c r="A203" s="510" t="e">
        <f>VLOOKUP(F203,'Tenement Lookup'!A:BH,60,FALSE)</f>
        <v>#N/A</v>
      </c>
      <c r="C203" s="152" t="str">
        <f t="shared" si="129"/>
        <v/>
      </c>
      <c r="D203" s="1">
        <f t="shared" si="130"/>
        <v>45941.71</v>
      </c>
      <c r="E203" t="s">
        <v>172</v>
      </c>
      <c r="H203" s="4"/>
      <c r="I203" s="4"/>
      <c r="J203" s="4"/>
      <c r="K203" s="21"/>
      <c r="L203" s="28"/>
      <c r="M203" s="28"/>
      <c r="N203" s="30"/>
      <c r="O203" s="26"/>
      <c r="P203" s="31"/>
      <c r="Q203" s="21"/>
      <c r="R203" s="28"/>
      <c r="S203" s="22"/>
      <c r="T203" s="26"/>
      <c r="U203" s="26"/>
      <c r="V203" s="31"/>
      <c r="W203" s="26">
        <f t="shared" si="122"/>
        <v>0</v>
      </c>
      <c r="X203" s="36">
        <f t="shared" si="124"/>
        <v>0</v>
      </c>
      <c r="Y203" s="37" t="str">
        <f t="shared" si="110"/>
        <v/>
      </c>
      <c r="Z203" s="38"/>
      <c r="AA203" s="38"/>
      <c r="AB203" s="38"/>
      <c r="AC203" s="38"/>
      <c r="AD203" s="157">
        <f t="shared" ref="AD203:AD242" si="134">SUMPRODUCT(Z203:AB203,$Z$2:$AB$2)</f>
        <v>0</v>
      </c>
      <c r="AE203" s="34"/>
      <c r="AF203" s="35"/>
      <c r="AG203" s="40"/>
      <c r="AH203" s="44"/>
      <c r="AI203" s="13"/>
      <c r="AJ203" s="46"/>
      <c r="AK203" s="45"/>
      <c r="AL203" s="23"/>
      <c r="AM203" s="138"/>
      <c r="AN203" s="24"/>
      <c r="AO203" s="50"/>
      <c r="AP203" s="54"/>
      <c r="AQ203" s="54"/>
      <c r="AR203" s="119"/>
      <c r="AS203" s="55"/>
      <c r="AT203" s="300"/>
      <c r="AU203" s="298">
        <f t="shared" si="133"/>
        <v>0</v>
      </c>
      <c r="AV203" s="357" t="str">
        <f t="shared" ref="AV203:AV242" si="135">IFERROR((AS203-AU203)/AS203,"")</f>
        <v/>
      </c>
      <c r="BB203" s="14" t="s">
        <v>211</v>
      </c>
      <c r="BC203" t="str">
        <f t="shared" si="125"/>
        <v>25</v>
      </c>
      <c r="BD203">
        <f t="shared" si="131"/>
        <v>10</v>
      </c>
      <c r="BE203" s="98">
        <f t="shared" si="132"/>
        <v>12</v>
      </c>
      <c r="BF203" t="str">
        <f t="shared" si="126"/>
        <v>N</v>
      </c>
      <c r="BG203" t="str">
        <f t="shared" si="127"/>
        <v>https://www.coreplan.io/app/ddh1-drilling/speewah-mining-speewah-fluorite-project-wa/plods/1663-251012N</v>
      </c>
      <c r="BH203" t="str">
        <f t="shared" si="128"/>
        <v>2025-10</v>
      </c>
    </row>
    <row r="204" spans="1:60">
      <c r="A204" s="510" t="e">
        <f>VLOOKUP(F204,'Tenement Lookup'!A:BH,60,FALSE)</f>
        <v>#N/A</v>
      </c>
      <c r="C204" s="152" t="str">
        <f t="shared" si="129"/>
        <v/>
      </c>
      <c r="D204" s="1">
        <f t="shared" si="130"/>
        <v>45942.21</v>
      </c>
      <c r="E204" t="s">
        <v>171</v>
      </c>
      <c r="H204" s="4"/>
      <c r="I204" s="4"/>
      <c r="J204" s="4"/>
      <c r="K204" s="21"/>
      <c r="L204" s="28"/>
      <c r="M204" s="28"/>
      <c r="N204" s="30"/>
      <c r="O204" s="26"/>
      <c r="P204" s="31"/>
      <c r="Q204" s="21"/>
      <c r="R204" s="28"/>
      <c r="S204" s="22"/>
      <c r="T204" s="26"/>
      <c r="U204" s="26"/>
      <c r="V204" s="31"/>
      <c r="W204" s="26">
        <f t="shared" si="122"/>
        <v>0</v>
      </c>
      <c r="X204" s="36">
        <f t="shared" si="124"/>
        <v>0</v>
      </c>
      <c r="Y204" s="37" t="str">
        <f t="shared" si="110"/>
        <v/>
      </c>
      <c r="Z204" s="38"/>
      <c r="AA204" s="38"/>
      <c r="AB204" s="38"/>
      <c r="AC204" s="38"/>
      <c r="AD204" s="157">
        <f t="shared" si="134"/>
        <v>0</v>
      </c>
      <c r="AE204" s="34"/>
      <c r="AF204" s="35"/>
      <c r="AG204" s="40"/>
      <c r="AH204" s="44"/>
      <c r="AI204" s="13"/>
      <c r="AJ204" s="46"/>
      <c r="AK204" s="45"/>
      <c r="AL204" s="23"/>
      <c r="AM204" s="138"/>
      <c r="AN204" s="24"/>
      <c r="AO204" s="50"/>
      <c r="AP204" s="54"/>
      <c r="AQ204" s="54"/>
      <c r="AR204" s="119"/>
      <c r="AS204" s="55"/>
      <c r="AT204" s="300"/>
      <c r="AU204" s="298">
        <f t="shared" si="133"/>
        <v>0</v>
      </c>
      <c r="AV204" s="357" t="str">
        <f t="shared" si="135"/>
        <v/>
      </c>
      <c r="BB204" s="14" t="s">
        <v>211</v>
      </c>
      <c r="BC204" t="str">
        <f t="shared" si="125"/>
        <v>25</v>
      </c>
      <c r="BD204">
        <f t="shared" si="131"/>
        <v>10</v>
      </c>
      <c r="BE204" s="98">
        <f t="shared" si="132"/>
        <v>13</v>
      </c>
      <c r="BF204" t="str">
        <f t="shared" si="126"/>
        <v>D</v>
      </c>
      <c r="BG204" t="str">
        <f t="shared" si="127"/>
        <v>https://www.coreplan.io/app/ddh1-drilling/speewah-mining-speewah-fluorite-project-wa/plods/1663-251013D</v>
      </c>
      <c r="BH204" t="str">
        <f t="shared" si="128"/>
        <v>2025-10</v>
      </c>
    </row>
    <row r="205" spans="1:60">
      <c r="A205" s="510" t="e">
        <f>VLOOKUP(F205,'Tenement Lookup'!A:BH,60,FALSE)</f>
        <v>#N/A</v>
      </c>
      <c r="C205" s="152" t="str">
        <f t="shared" si="129"/>
        <v/>
      </c>
      <c r="D205" s="1">
        <f t="shared" si="130"/>
        <v>45942.71</v>
      </c>
      <c r="E205" t="s">
        <v>172</v>
      </c>
      <c r="H205" s="4"/>
      <c r="I205" s="4"/>
      <c r="J205" s="4"/>
      <c r="K205" s="21"/>
      <c r="L205" s="28"/>
      <c r="M205" s="28"/>
      <c r="N205" s="30"/>
      <c r="O205" s="26"/>
      <c r="P205" s="31"/>
      <c r="Q205" s="21"/>
      <c r="R205" s="28"/>
      <c r="S205" s="22"/>
      <c r="T205" s="26"/>
      <c r="U205" s="26"/>
      <c r="V205" s="31"/>
      <c r="W205" s="26">
        <f t="shared" si="122"/>
        <v>0</v>
      </c>
      <c r="X205" s="36">
        <f t="shared" si="124"/>
        <v>0</v>
      </c>
      <c r="Y205" s="37" t="str">
        <f t="shared" si="110"/>
        <v/>
      </c>
      <c r="Z205" s="38"/>
      <c r="AA205" s="38"/>
      <c r="AB205" s="38"/>
      <c r="AC205" s="38"/>
      <c r="AD205" s="157">
        <f t="shared" si="134"/>
        <v>0</v>
      </c>
      <c r="AE205" s="34"/>
      <c r="AF205" s="35"/>
      <c r="AG205" s="40"/>
      <c r="AH205" s="44"/>
      <c r="AI205" s="13"/>
      <c r="AJ205" s="46"/>
      <c r="AK205" s="45"/>
      <c r="AL205" s="23"/>
      <c r="AM205" s="138"/>
      <c r="AN205" s="24"/>
      <c r="AO205" s="50"/>
      <c r="AP205" s="54"/>
      <c r="AQ205" s="54"/>
      <c r="AR205" s="119"/>
      <c r="AS205" s="55"/>
      <c r="AT205" s="300"/>
      <c r="AU205" s="298">
        <f t="shared" si="133"/>
        <v>0</v>
      </c>
      <c r="AV205" s="357" t="str">
        <f t="shared" si="135"/>
        <v/>
      </c>
      <c r="BB205" s="14" t="s">
        <v>211</v>
      </c>
      <c r="BC205" t="str">
        <f t="shared" si="125"/>
        <v>25</v>
      </c>
      <c r="BD205">
        <f t="shared" si="131"/>
        <v>10</v>
      </c>
      <c r="BE205" s="98">
        <f t="shared" si="132"/>
        <v>13</v>
      </c>
      <c r="BF205" t="str">
        <f t="shared" si="126"/>
        <v>N</v>
      </c>
      <c r="BG205" t="str">
        <f t="shared" si="127"/>
        <v>https://www.coreplan.io/app/ddh1-drilling/speewah-mining-speewah-fluorite-project-wa/plods/1663-251013N</v>
      </c>
      <c r="BH205" t="str">
        <f t="shared" si="128"/>
        <v>2025-10</v>
      </c>
    </row>
    <row r="206" spans="1:60">
      <c r="A206" s="510" t="e">
        <f>VLOOKUP(F206,'Tenement Lookup'!A:BH,60,FALSE)</f>
        <v>#N/A</v>
      </c>
      <c r="C206" s="152" t="str">
        <f t="shared" si="129"/>
        <v/>
      </c>
      <c r="D206" s="1">
        <f t="shared" si="130"/>
        <v>45943.21</v>
      </c>
      <c r="E206" t="s">
        <v>171</v>
      </c>
      <c r="H206" s="4"/>
      <c r="I206" s="4"/>
      <c r="J206" s="4"/>
      <c r="K206" s="21"/>
      <c r="L206" s="28"/>
      <c r="M206" s="28"/>
      <c r="N206" s="30"/>
      <c r="O206" s="26"/>
      <c r="P206" s="31"/>
      <c r="Q206" s="21"/>
      <c r="R206" s="28"/>
      <c r="S206" s="22"/>
      <c r="T206" s="26"/>
      <c r="U206" s="26"/>
      <c r="V206" s="31"/>
      <c r="W206" s="26">
        <f t="shared" si="122"/>
        <v>0</v>
      </c>
      <c r="X206" s="36">
        <f t="shared" si="124"/>
        <v>0</v>
      </c>
      <c r="Y206" s="37" t="str">
        <f t="shared" si="110"/>
        <v/>
      </c>
      <c r="Z206" s="38"/>
      <c r="AA206" s="38"/>
      <c r="AB206" s="38"/>
      <c r="AC206" s="38"/>
      <c r="AD206" s="157">
        <f t="shared" si="134"/>
        <v>0</v>
      </c>
      <c r="AE206" s="34"/>
      <c r="AF206" s="35"/>
      <c r="AG206" s="40"/>
      <c r="AH206" s="44"/>
      <c r="AI206" s="13"/>
      <c r="AJ206" s="46"/>
      <c r="AK206" s="45"/>
      <c r="AL206" s="23"/>
      <c r="AM206" s="138"/>
      <c r="AN206" s="24"/>
      <c r="AO206" s="50"/>
      <c r="AP206" s="54"/>
      <c r="AQ206" s="54"/>
      <c r="AR206" s="119"/>
      <c r="AS206" s="55"/>
      <c r="AT206" s="300"/>
      <c r="AU206" s="298">
        <f t="shared" si="133"/>
        <v>0</v>
      </c>
      <c r="AV206" s="357" t="str">
        <f t="shared" si="135"/>
        <v/>
      </c>
      <c r="BB206" s="14" t="s">
        <v>211</v>
      </c>
      <c r="BC206" t="str">
        <f t="shared" si="125"/>
        <v>25</v>
      </c>
      <c r="BD206">
        <f t="shared" si="131"/>
        <v>10</v>
      </c>
      <c r="BE206" s="98">
        <f t="shared" si="132"/>
        <v>14</v>
      </c>
      <c r="BF206" t="str">
        <f t="shared" si="126"/>
        <v>D</v>
      </c>
      <c r="BG206" t="str">
        <f t="shared" si="127"/>
        <v>https://www.coreplan.io/app/ddh1-drilling/speewah-mining-speewah-fluorite-project-wa/plods/1663-251014D</v>
      </c>
      <c r="BH206" t="str">
        <f t="shared" si="128"/>
        <v>2025-10</v>
      </c>
    </row>
    <row r="207" spans="1:60">
      <c r="A207" s="510" t="e">
        <f>VLOOKUP(F207,'Tenement Lookup'!A:BH,60,FALSE)</f>
        <v>#N/A</v>
      </c>
      <c r="C207" s="152" t="str">
        <f t="shared" si="129"/>
        <v/>
      </c>
      <c r="D207" s="1">
        <f t="shared" si="130"/>
        <v>45943.71</v>
      </c>
      <c r="E207" t="s">
        <v>172</v>
      </c>
      <c r="H207" s="4"/>
      <c r="I207" s="4"/>
      <c r="J207" s="4"/>
      <c r="K207" s="21"/>
      <c r="L207" s="28"/>
      <c r="M207" s="28"/>
      <c r="N207" s="30"/>
      <c r="O207" s="26"/>
      <c r="P207" s="31"/>
      <c r="Q207" s="21"/>
      <c r="R207" s="28"/>
      <c r="S207" s="22"/>
      <c r="T207" s="26"/>
      <c r="U207" s="26"/>
      <c r="V207" s="31"/>
      <c r="W207" s="26">
        <f t="shared" si="122"/>
        <v>0</v>
      </c>
      <c r="X207" s="36">
        <f t="shared" si="124"/>
        <v>0</v>
      </c>
      <c r="Y207" s="37" t="str">
        <f t="shared" si="110"/>
        <v/>
      </c>
      <c r="Z207" s="38"/>
      <c r="AA207" s="38"/>
      <c r="AB207" s="38"/>
      <c r="AC207" s="38"/>
      <c r="AD207" s="157">
        <f t="shared" si="134"/>
        <v>0</v>
      </c>
      <c r="AE207" s="34"/>
      <c r="AF207" s="35"/>
      <c r="AG207" s="40"/>
      <c r="AH207" s="44"/>
      <c r="AI207" s="13"/>
      <c r="AJ207" s="46"/>
      <c r="AK207" s="45"/>
      <c r="AL207" s="23"/>
      <c r="AM207" s="138"/>
      <c r="AN207" s="24"/>
      <c r="AO207" s="50"/>
      <c r="AP207" s="54"/>
      <c r="AQ207" s="54"/>
      <c r="AR207" s="119"/>
      <c r="AS207" s="55"/>
      <c r="AT207" s="300"/>
      <c r="AU207" s="298">
        <f t="shared" si="133"/>
        <v>0</v>
      </c>
      <c r="AV207" s="357" t="str">
        <f t="shared" si="135"/>
        <v/>
      </c>
      <c r="BB207" s="14" t="s">
        <v>211</v>
      </c>
      <c r="BC207" t="str">
        <f t="shared" si="125"/>
        <v>25</v>
      </c>
      <c r="BD207">
        <f t="shared" si="131"/>
        <v>10</v>
      </c>
      <c r="BE207" s="98">
        <f t="shared" si="132"/>
        <v>14</v>
      </c>
      <c r="BF207" t="str">
        <f t="shared" si="126"/>
        <v>N</v>
      </c>
      <c r="BG207" t="str">
        <f t="shared" si="127"/>
        <v>https://www.coreplan.io/app/ddh1-drilling/speewah-mining-speewah-fluorite-project-wa/plods/1663-251014N</v>
      </c>
      <c r="BH207" t="str">
        <f t="shared" si="128"/>
        <v>2025-10</v>
      </c>
    </row>
    <row r="208" spans="1:60">
      <c r="A208" s="510" t="e">
        <f>VLOOKUP(F208,'Tenement Lookup'!A:BH,60,FALSE)</f>
        <v>#N/A</v>
      </c>
      <c r="C208" s="152" t="str">
        <f t="shared" si="129"/>
        <v/>
      </c>
      <c r="D208" s="1">
        <f t="shared" si="130"/>
        <v>45944.21</v>
      </c>
      <c r="E208" t="s">
        <v>171</v>
      </c>
      <c r="H208" s="4"/>
      <c r="I208" s="4"/>
      <c r="J208" s="4"/>
      <c r="K208" s="21"/>
      <c r="L208" s="28"/>
      <c r="M208" s="28"/>
      <c r="N208" s="30"/>
      <c r="O208" s="26"/>
      <c r="P208" s="31"/>
      <c r="Q208" s="21"/>
      <c r="R208" s="28"/>
      <c r="S208" s="22"/>
      <c r="T208" s="26"/>
      <c r="U208" s="26"/>
      <c r="V208" s="31"/>
      <c r="W208" s="26">
        <f t="shared" si="122"/>
        <v>0</v>
      </c>
      <c r="X208" s="36">
        <f t="shared" si="124"/>
        <v>0</v>
      </c>
      <c r="Y208" s="37" t="str">
        <f t="shared" si="110"/>
        <v/>
      </c>
      <c r="Z208" s="38"/>
      <c r="AA208" s="38"/>
      <c r="AB208" s="38"/>
      <c r="AC208" s="38"/>
      <c r="AD208" s="157">
        <f t="shared" si="134"/>
        <v>0</v>
      </c>
      <c r="AE208" s="34"/>
      <c r="AF208" s="35"/>
      <c r="AG208" s="40"/>
      <c r="AH208" s="44"/>
      <c r="AI208" s="13"/>
      <c r="AJ208" s="46"/>
      <c r="AK208" s="45"/>
      <c r="AL208" s="23"/>
      <c r="AM208" s="138"/>
      <c r="AN208" s="24"/>
      <c r="AO208" s="50"/>
      <c r="AP208" s="54"/>
      <c r="AQ208" s="54"/>
      <c r="AR208" s="119"/>
      <c r="AS208" s="55"/>
      <c r="AT208" s="300"/>
      <c r="AU208" s="298">
        <f t="shared" si="133"/>
        <v>0</v>
      </c>
      <c r="AV208" s="357" t="str">
        <f t="shared" si="135"/>
        <v/>
      </c>
      <c r="BB208" s="14" t="s">
        <v>211</v>
      </c>
      <c r="BC208" t="str">
        <f t="shared" si="125"/>
        <v>25</v>
      </c>
      <c r="BD208">
        <f t="shared" si="131"/>
        <v>10</v>
      </c>
      <c r="BE208" s="98">
        <f t="shared" si="132"/>
        <v>15</v>
      </c>
      <c r="BF208" t="str">
        <f t="shared" si="126"/>
        <v>D</v>
      </c>
      <c r="BG208" t="str">
        <f t="shared" si="127"/>
        <v>https://www.coreplan.io/app/ddh1-drilling/speewah-mining-speewah-fluorite-project-wa/plods/1663-251015D</v>
      </c>
      <c r="BH208" t="str">
        <f t="shared" si="128"/>
        <v>2025-10</v>
      </c>
    </row>
    <row r="209" spans="1:60">
      <c r="A209" s="510" t="e">
        <f>VLOOKUP(F209,'Tenement Lookup'!A:BH,60,FALSE)</f>
        <v>#N/A</v>
      </c>
      <c r="C209" s="152" t="str">
        <f t="shared" si="129"/>
        <v/>
      </c>
      <c r="D209" s="1">
        <f t="shared" si="130"/>
        <v>45944.71</v>
      </c>
      <c r="E209" t="s">
        <v>172</v>
      </c>
      <c r="H209" s="4"/>
      <c r="I209" s="4"/>
      <c r="J209" s="4"/>
      <c r="K209" s="21"/>
      <c r="L209" s="28"/>
      <c r="M209" s="28"/>
      <c r="N209" s="30"/>
      <c r="O209" s="26"/>
      <c r="P209" s="31"/>
      <c r="Q209" s="21"/>
      <c r="R209" s="28"/>
      <c r="S209" s="22"/>
      <c r="T209" s="26"/>
      <c r="U209" s="26"/>
      <c r="V209" s="31"/>
      <c r="W209" s="26">
        <f t="shared" si="122"/>
        <v>0</v>
      </c>
      <c r="X209" s="36">
        <f t="shared" si="124"/>
        <v>0</v>
      </c>
      <c r="Y209" s="37" t="str">
        <f t="shared" si="110"/>
        <v/>
      </c>
      <c r="Z209" s="38"/>
      <c r="AA209" s="38"/>
      <c r="AB209" s="38"/>
      <c r="AC209" s="38"/>
      <c r="AD209" s="157">
        <f t="shared" si="134"/>
        <v>0</v>
      </c>
      <c r="AE209" s="34"/>
      <c r="AF209" s="35"/>
      <c r="AG209" s="40"/>
      <c r="AH209" s="44"/>
      <c r="AI209" s="13"/>
      <c r="AJ209" s="46"/>
      <c r="AK209" s="45"/>
      <c r="AL209" s="23"/>
      <c r="AM209" s="138"/>
      <c r="AN209" s="24"/>
      <c r="AO209" s="50"/>
      <c r="AP209" s="54"/>
      <c r="AQ209" s="54"/>
      <c r="AR209" s="119"/>
      <c r="AS209" s="55"/>
      <c r="AT209" s="300"/>
      <c r="AU209" s="298">
        <f t="shared" si="133"/>
        <v>0</v>
      </c>
      <c r="AV209" s="357" t="str">
        <f t="shared" si="135"/>
        <v/>
      </c>
      <c r="BB209" s="14" t="s">
        <v>211</v>
      </c>
      <c r="BC209" t="str">
        <f t="shared" si="125"/>
        <v>25</v>
      </c>
      <c r="BD209">
        <f t="shared" si="131"/>
        <v>10</v>
      </c>
      <c r="BE209" s="98">
        <f t="shared" si="132"/>
        <v>15</v>
      </c>
      <c r="BF209" t="str">
        <f t="shared" si="126"/>
        <v>N</v>
      </c>
      <c r="BG209" t="str">
        <f t="shared" si="127"/>
        <v>https://www.coreplan.io/app/ddh1-drilling/speewah-mining-speewah-fluorite-project-wa/plods/1663-251015N</v>
      </c>
      <c r="BH209" t="str">
        <f t="shared" si="128"/>
        <v>2025-10</v>
      </c>
    </row>
    <row r="210" spans="1:60">
      <c r="A210" s="510" t="e">
        <f>VLOOKUP(F210,'Tenement Lookup'!A:BH,60,FALSE)</f>
        <v>#N/A</v>
      </c>
      <c r="C210" s="152" t="str">
        <f t="shared" si="129"/>
        <v/>
      </c>
      <c r="D210" s="1">
        <f t="shared" si="130"/>
        <v>45945.21</v>
      </c>
      <c r="E210" t="s">
        <v>171</v>
      </c>
      <c r="H210" s="4"/>
      <c r="I210" s="4"/>
      <c r="J210" s="4"/>
      <c r="K210" s="21"/>
      <c r="L210" s="28"/>
      <c r="M210" s="28"/>
      <c r="N210" s="30"/>
      <c r="O210" s="26"/>
      <c r="P210" s="31"/>
      <c r="Q210" s="21"/>
      <c r="R210" s="28"/>
      <c r="S210" s="22"/>
      <c r="T210" s="26"/>
      <c r="U210" s="26"/>
      <c r="V210" s="31"/>
      <c r="W210" s="26">
        <f t="shared" si="122"/>
        <v>0</v>
      </c>
      <c r="X210" s="36">
        <f t="shared" si="124"/>
        <v>0</v>
      </c>
      <c r="Y210" s="37" t="str">
        <f t="shared" si="110"/>
        <v/>
      </c>
      <c r="Z210" s="38"/>
      <c r="AA210" s="38"/>
      <c r="AB210" s="38"/>
      <c r="AC210" s="38"/>
      <c r="AD210" s="157">
        <f t="shared" si="134"/>
        <v>0</v>
      </c>
      <c r="AE210" s="34"/>
      <c r="AF210" s="35"/>
      <c r="AG210" s="40"/>
      <c r="AH210" s="44"/>
      <c r="AI210" s="13"/>
      <c r="AJ210" s="46"/>
      <c r="AK210" s="45"/>
      <c r="AL210" s="23"/>
      <c r="AM210" s="138"/>
      <c r="AN210" s="24"/>
      <c r="AO210" s="50"/>
      <c r="AP210" s="54"/>
      <c r="AQ210" s="54"/>
      <c r="AR210" s="119"/>
      <c r="AS210" s="55"/>
      <c r="AT210" s="300"/>
      <c r="AU210" s="298">
        <f t="shared" si="133"/>
        <v>0</v>
      </c>
      <c r="AV210" s="357" t="str">
        <f t="shared" si="135"/>
        <v/>
      </c>
      <c r="BB210" s="14" t="s">
        <v>211</v>
      </c>
      <c r="BC210" t="str">
        <f t="shared" si="125"/>
        <v>25</v>
      </c>
      <c r="BD210">
        <f t="shared" si="131"/>
        <v>10</v>
      </c>
      <c r="BE210" s="98">
        <f t="shared" si="132"/>
        <v>16</v>
      </c>
      <c r="BF210" t="str">
        <f t="shared" si="126"/>
        <v>D</v>
      </c>
      <c r="BG210" t="str">
        <f t="shared" si="127"/>
        <v>https://www.coreplan.io/app/ddh1-drilling/speewah-mining-speewah-fluorite-project-wa/plods/1663-251016D</v>
      </c>
      <c r="BH210" t="str">
        <f t="shared" si="128"/>
        <v>2025-10</v>
      </c>
    </row>
    <row r="211" spans="1:60">
      <c r="A211" s="510" t="e">
        <f>VLOOKUP(F211,'Tenement Lookup'!A:BH,60,FALSE)</f>
        <v>#N/A</v>
      </c>
      <c r="C211" s="152" t="str">
        <f t="shared" si="129"/>
        <v/>
      </c>
      <c r="D211" s="1">
        <f t="shared" si="130"/>
        <v>45945.71</v>
      </c>
      <c r="E211" t="s">
        <v>172</v>
      </c>
      <c r="H211" s="4"/>
      <c r="I211" s="4"/>
      <c r="J211" s="4"/>
      <c r="K211" s="21"/>
      <c r="L211" s="28"/>
      <c r="M211" s="28"/>
      <c r="N211" s="30"/>
      <c r="O211" s="26"/>
      <c r="P211" s="31"/>
      <c r="Q211" s="21"/>
      <c r="R211" s="28"/>
      <c r="S211" s="22"/>
      <c r="T211" s="26"/>
      <c r="U211" s="26"/>
      <c r="V211" s="31"/>
      <c r="W211" s="26">
        <f t="shared" si="122"/>
        <v>0</v>
      </c>
      <c r="X211" s="36">
        <f t="shared" si="124"/>
        <v>0</v>
      </c>
      <c r="Y211" s="37" t="str">
        <f t="shared" si="110"/>
        <v/>
      </c>
      <c r="Z211" s="38"/>
      <c r="AA211" s="38"/>
      <c r="AB211" s="38"/>
      <c r="AC211" s="38"/>
      <c r="AD211" s="157">
        <f t="shared" si="134"/>
        <v>0</v>
      </c>
      <c r="AE211" s="34"/>
      <c r="AF211" s="35"/>
      <c r="AG211" s="40"/>
      <c r="AH211" s="44"/>
      <c r="AI211" s="13"/>
      <c r="AJ211" s="46"/>
      <c r="AK211" s="45"/>
      <c r="AL211" s="23"/>
      <c r="AM211" s="138"/>
      <c r="AN211" s="24"/>
      <c r="AO211" s="50"/>
      <c r="AP211" s="54"/>
      <c r="AQ211" s="54"/>
      <c r="AR211" s="119"/>
      <c r="AS211" s="55"/>
      <c r="AT211" s="300"/>
      <c r="AU211" s="298">
        <f t="shared" si="133"/>
        <v>0</v>
      </c>
      <c r="AV211" s="357" t="str">
        <f t="shared" si="135"/>
        <v/>
      </c>
      <c r="BB211" s="14" t="s">
        <v>211</v>
      </c>
      <c r="BC211" t="str">
        <f t="shared" si="125"/>
        <v>25</v>
      </c>
      <c r="BD211">
        <f t="shared" si="131"/>
        <v>10</v>
      </c>
      <c r="BE211" s="98">
        <f t="shared" si="132"/>
        <v>16</v>
      </c>
      <c r="BF211" t="str">
        <f t="shared" si="126"/>
        <v>N</v>
      </c>
      <c r="BG211" t="str">
        <f t="shared" si="127"/>
        <v>https://www.coreplan.io/app/ddh1-drilling/speewah-mining-speewah-fluorite-project-wa/plods/1663-251016N</v>
      </c>
      <c r="BH211" t="str">
        <f t="shared" si="128"/>
        <v>2025-10</v>
      </c>
    </row>
    <row r="212" spans="1:60">
      <c r="A212" s="510" t="e">
        <f>VLOOKUP(F212,'Tenement Lookup'!A:BH,60,FALSE)</f>
        <v>#N/A</v>
      </c>
      <c r="C212" s="152" t="str">
        <f t="shared" si="129"/>
        <v/>
      </c>
      <c r="D212" s="1">
        <f t="shared" si="130"/>
        <v>45946.21</v>
      </c>
      <c r="E212" t="s">
        <v>171</v>
      </c>
      <c r="H212" s="4"/>
      <c r="I212" s="4"/>
      <c r="J212" s="4"/>
      <c r="K212" s="21"/>
      <c r="L212" s="28"/>
      <c r="M212" s="28"/>
      <c r="N212" s="30"/>
      <c r="O212" s="26"/>
      <c r="P212" s="31"/>
      <c r="Q212" s="21"/>
      <c r="R212" s="28"/>
      <c r="S212" s="22"/>
      <c r="T212" s="26"/>
      <c r="U212" s="26"/>
      <c r="V212" s="31"/>
      <c r="W212" s="26">
        <f t="shared" ref="W212:W242" si="136">IFERROR(M212+P212+S212+V212,"")</f>
        <v>0</v>
      </c>
      <c r="X212" s="36">
        <f t="shared" si="124"/>
        <v>0</v>
      </c>
      <c r="Y212" s="37" t="str">
        <f t="shared" si="110"/>
        <v/>
      </c>
      <c r="Z212" s="38"/>
      <c r="AA212" s="38"/>
      <c r="AB212" s="38"/>
      <c r="AC212" s="38"/>
      <c r="AD212" s="157">
        <f t="shared" si="134"/>
        <v>0</v>
      </c>
      <c r="AE212" s="34"/>
      <c r="AF212" s="35"/>
      <c r="AG212" s="40"/>
      <c r="AH212" s="44"/>
      <c r="AI212" s="13"/>
      <c r="AJ212" s="46"/>
      <c r="AK212" s="45"/>
      <c r="AL212" s="23"/>
      <c r="AM212" s="138"/>
      <c r="AN212" s="24"/>
      <c r="AO212" s="50"/>
      <c r="AP212" s="54"/>
      <c r="AQ212" s="54"/>
      <c r="AR212" s="119"/>
      <c r="AS212" s="55"/>
      <c r="AT212" s="300"/>
      <c r="AU212" s="298">
        <f t="shared" si="133"/>
        <v>0</v>
      </c>
      <c r="AV212" s="357" t="str">
        <f t="shared" si="135"/>
        <v/>
      </c>
      <c r="BB212" s="14" t="s">
        <v>211</v>
      </c>
      <c r="BC212" t="str">
        <f t="shared" si="125"/>
        <v>25</v>
      </c>
      <c r="BD212">
        <f t="shared" si="131"/>
        <v>10</v>
      </c>
      <c r="BE212" s="98">
        <f t="shared" si="132"/>
        <v>17</v>
      </c>
      <c r="BF212" t="str">
        <f t="shared" si="126"/>
        <v>D</v>
      </c>
      <c r="BG212" t="str">
        <f t="shared" si="127"/>
        <v>https://www.coreplan.io/app/ddh1-drilling/speewah-mining-speewah-fluorite-project-wa/plods/1663-251017D</v>
      </c>
      <c r="BH212" t="str">
        <f t="shared" si="128"/>
        <v>2025-10</v>
      </c>
    </row>
    <row r="213" spans="1:60">
      <c r="A213" s="510" t="e">
        <f>VLOOKUP(F213,'Tenement Lookup'!A:BH,60,FALSE)</f>
        <v>#N/A</v>
      </c>
      <c r="C213" s="152" t="str">
        <f t="shared" si="129"/>
        <v/>
      </c>
      <c r="D213" s="1">
        <f t="shared" si="130"/>
        <v>45946.71</v>
      </c>
      <c r="E213" t="s">
        <v>172</v>
      </c>
      <c r="H213" s="4"/>
      <c r="I213" s="4"/>
      <c r="J213" s="4"/>
      <c r="K213" s="21"/>
      <c r="L213" s="28"/>
      <c r="M213" s="28"/>
      <c r="N213" s="30"/>
      <c r="O213" s="26"/>
      <c r="P213" s="31"/>
      <c r="Q213" s="21"/>
      <c r="R213" s="28"/>
      <c r="S213" s="22"/>
      <c r="T213" s="26"/>
      <c r="U213" s="26"/>
      <c r="V213" s="31"/>
      <c r="W213" s="26">
        <f t="shared" si="136"/>
        <v>0</v>
      </c>
      <c r="X213" s="36">
        <f t="shared" si="124"/>
        <v>0</v>
      </c>
      <c r="Y213" s="37" t="str">
        <f t="shared" si="110"/>
        <v/>
      </c>
      <c r="Z213" s="38"/>
      <c r="AA213" s="38"/>
      <c r="AB213" s="38"/>
      <c r="AC213" s="38"/>
      <c r="AD213" s="157">
        <f t="shared" si="134"/>
        <v>0</v>
      </c>
      <c r="AE213" s="34"/>
      <c r="AF213" s="35"/>
      <c r="AG213" s="40"/>
      <c r="AH213" s="44"/>
      <c r="AI213" s="13"/>
      <c r="AJ213" s="46"/>
      <c r="AK213" s="45"/>
      <c r="AL213" s="23"/>
      <c r="AM213" s="138"/>
      <c r="AN213" s="24"/>
      <c r="AO213" s="50"/>
      <c r="AP213" s="54"/>
      <c r="AQ213" s="54"/>
      <c r="AR213" s="119"/>
      <c r="AS213" s="55"/>
      <c r="AT213" s="300"/>
      <c r="AU213" s="298">
        <f t="shared" si="133"/>
        <v>0</v>
      </c>
      <c r="AV213" s="357" t="str">
        <f t="shared" si="135"/>
        <v/>
      </c>
      <c r="BB213" s="14" t="s">
        <v>211</v>
      </c>
      <c r="BC213" t="str">
        <f t="shared" si="125"/>
        <v>25</v>
      </c>
      <c r="BD213">
        <f t="shared" si="131"/>
        <v>10</v>
      </c>
      <c r="BE213" s="98">
        <f t="shared" si="132"/>
        <v>17</v>
      </c>
      <c r="BF213" t="str">
        <f t="shared" si="126"/>
        <v>N</v>
      </c>
      <c r="BG213" t="str">
        <f t="shared" si="127"/>
        <v>https://www.coreplan.io/app/ddh1-drilling/speewah-mining-speewah-fluorite-project-wa/plods/1663-251017N</v>
      </c>
      <c r="BH213" t="str">
        <f t="shared" si="128"/>
        <v>2025-10</v>
      </c>
    </row>
    <row r="214" spans="1:60">
      <c r="A214" s="510" t="e">
        <f>VLOOKUP(F214,'Tenement Lookup'!A:BH,60,FALSE)</f>
        <v>#N/A</v>
      </c>
      <c r="C214" s="152" t="str">
        <f t="shared" si="129"/>
        <v/>
      </c>
      <c r="D214" s="1">
        <f t="shared" si="130"/>
        <v>45947.21</v>
      </c>
      <c r="E214" t="s">
        <v>171</v>
      </c>
      <c r="H214" s="4"/>
      <c r="I214" s="4"/>
      <c r="J214" s="4"/>
      <c r="K214" s="21"/>
      <c r="L214" s="28"/>
      <c r="M214" s="28"/>
      <c r="N214" s="30"/>
      <c r="O214" s="26"/>
      <c r="P214" s="31"/>
      <c r="Q214" s="21"/>
      <c r="R214" s="28"/>
      <c r="S214" s="22"/>
      <c r="T214" s="26"/>
      <c r="U214" s="26"/>
      <c r="V214" s="31"/>
      <c r="W214" s="26">
        <f t="shared" si="136"/>
        <v>0</v>
      </c>
      <c r="X214" s="36">
        <f t="shared" si="124"/>
        <v>0</v>
      </c>
      <c r="Y214" s="37" t="str">
        <f t="shared" si="110"/>
        <v/>
      </c>
      <c r="Z214" s="38"/>
      <c r="AA214" s="38"/>
      <c r="AB214" s="38"/>
      <c r="AC214" s="38"/>
      <c r="AD214" s="157">
        <f t="shared" si="134"/>
        <v>0</v>
      </c>
      <c r="AE214" s="34"/>
      <c r="AF214" s="35"/>
      <c r="AG214" s="40"/>
      <c r="AH214" s="44"/>
      <c r="AI214" s="13"/>
      <c r="AJ214" s="46"/>
      <c r="AK214" s="45"/>
      <c r="AL214" s="23"/>
      <c r="AM214" s="138"/>
      <c r="AN214" s="24"/>
      <c r="AO214" s="50"/>
      <c r="AP214" s="54"/>
      <c r="AQ214" s="54"/>
      <c r="AR214" s="119"/>
      <c r="AS214" s="55"/>
      <c r="AT214" s="300"/>
      <c r="AU214" s="298">
        <f t="shared" si="133"/>
        <v>0</v>
      </c>
      <c r="AV214" s="357" t="str">
        <f t="shared" si="135"/>
        <v/>
      </c>
      <c r="BB214" s="14" t="s">
        <v>211</v>
      </c>
      <c r="BC214" t="str">
        <f t="shared" si="125"/>
        <v>25</v>
      </c>
      <c r="BD214">
        <f t="shared" si="131"/>
        <v>10</v>
      </c>
      <c r="BE214" s="98">
        <f t="shared" si="132"/>
        <v>18</v>
      </c>
      <c r="BF214" t="str">
        <f t="shared" si="126"/>
        <v>D</v>
      </c>
      <c r="BG214" t="str">
        <f t="shared" si="127"/>
        <v>https://www.coreplan.io/app/ddh1-drilling/speewah-mining-speewah-fluorite-project-wa/plods/1663-251018D</v>
      </c>
      <c r="BH214" t="str">
        <f t="shared" si="128"/>
        <v>2025-10</v>
      </c>
    </row>
    <row r="215" spans="1:60">
      <c r="A215" s="510" t="e">
        <f>VLOOKUP(F215,'Tenement Lookup'!A:BH,60,FALSE)</f>
        <v>#N/A</v>
      </c>
      <c r="C215" s="152" t="str">
        <f t="shared" si="129"/>
        <v/>
      </c>
      <c r="D215" s="1">
        <f t="shared" si="130"/>
        <v>45947.71</v>
      </c>
      <c r="E215" t="s">
        <v>172</v>
      </c>
      <c r="H215" s="4"/>
      <c r="I215" s="4"/>
      <c r="J215" s="4"/>
      <c r="K215" s="21"/>
      <c r="L215" s="28"/>
      <c r="M215" s="28"/>
      <c r="N215" s="30"/>
      <c r="O215" s="26"/>
      <c r="P215" s="31"/>
      <c r="Q215" s="21"/>
      <c r="R215" s="28"/>
      <c r="S215" s="22"/>
      <c r="T215" s="26"/>
      <c r="U215" s="26"/>
      <c r="V215" s="31"/>
      <c r="W215" s="26">
        <f t="shared" si="136"/>
        <v>0</v>
      </c>
      <c r="X215" s="36">
        <f t="shared" si="124"/>
        <v>0</v>
      </c>
      <c r="Y215" s="37" t="str">
        <f t="shared" si="110"/>
        <v/>
      </c>
      <c r="Z215" s="38"/>
      <c r="AA215" s="38"/>
      <c r="AB215" s="38"/>
      <c r="AC215" s="38"/>
      <c r="AD215" s="157">
        <f t="shared" si="134"/>
        <v>0</v>
      </c>
      <c r="AE215" s="34"/>
      <c r="AF215" s="35"/>
      <c r="AG215" s="40"/>
      <c r="AH215" s="44"/>
      <c r="AI215" s="13"/>
      <c r="AJ215" s="46"/>
      <c r="AK215" s="45"/>
      <c r="AL215" s="23"/>
      <c r="AM215" s="138"/>
      <c r="AN215" s="24"/>
      <c r="AO215" s="50"/>
      <c r="AP215" s="54"/>
      <c r="AQ215" s="54"/>
      <c r="AR215" s="119"/>
      <c r="AS215" s="55"/>
      <c r="AT215" s="300"/>
      <c r="AU215" s="298">
        <f t="shared" si="133"/>
        <v>0</v>
      </c>
      <c r="AV215" s="357" t="str">
        <f t="shared" si="135"/>
        <v/>
      </c>
      <c r="BB215" s="14" t="s">
        <v>211</v>
      </c>
      <c r="BC215" t="str">
        <f t="shared" si="125"/>
        <v>25</v>
      </c>
      <c r="BD215">
        <f t="shared" si="131"/>
        <v>10</v>
      </c>
      <c r="BE215" s="98">
        <f t="shared" si="132"/>
        <v>18</v>
      </c>
      <c r="BF215" t="str">
        <f t="shared" si="126"/>
        <v>N</v>
      </c>
      <c r="BG215" t="str">
        <f t="shared" si="127"/>
        <v>https://www.coreplan.io/app/ddh1-drilling/speewah-mining-speewah-fluorite-project-wa/plods/1663-251018N</v>
      </c>
      <c r="BH215" t="str">
        <f t="shared" si="128"/>
        <v>2025-10</v>
      </c>
    </row>
    <row r="216" spans="1:60">
      <c r="A216" s="510" t="e">
        <f>VLOOKUP(F216,'Tenement Lookup'!A:BH,60,FALSE)</f>
        <v>#N/A</v>
      </c>
      <c r="C216" s="152" t="str">
        <f t="shared" si="129"/>
        <v/>
      </c>
      <c r="D216" s="1">
        <f t="shared" si="130"/>
        <v>45948.21</v>
      </c>
      <c r="E216" t="s">
        <v>171</v>
      </c>
      <c r="H216" s="4"/>
      <c r="I216" s="4"/>
      <c r="J216" s="4"/>
      <c r="K216" s="21"/>
      <c r="L216" s="28"/>
      <c r="M216" s="28"/>
      <c r="N216" s="30"/>
      <c r="O216" s="26"/>
      <c r="P216" s="31"/>
      <c r="Q216" s="21"/>
      <c r="R216" s="28"/>
      <c r="S216" s="22"/>
      <c r="T216" s="26"/>
      <c r="U216" s="26"/>
      <c r="V216" s="31"/>
      <c r="W216" s="26">
        <f t="shared" si="136"/>
        <v>0</v>
      </c>
      <c r="X216" s="36">
        <f t="shared" si="124"/>
        <v>0</v>
      </c>
      <c r="Y216" s="37" t="str">
        <f t="shared" si="110"/>
        <v/>
      </c>
      <c r="Z216" s="38"/>
      <c r="AA216" s="38"/>
      <c r="AB216" s="38"/>
      <c r="AC216" s="38"/>
      <c r="AD216" s="157">
        <f t="shared" si="134"/>
        <v>0</v>
      </c>
      <c r="AE216" s="34"/>
      <c r="AF216" s="35"/>
      <c r="AG216" s="40"/>
      <c r="AH216" s="44"/>
      <c r="AI216" s="13"/>
      <c r="AJ216" s="46"/>
      <c r="AK216" s="45"/>
      <c r="AL216" s="23"/>
      <c r="AM216" s="138"/>
      <c r="AN216" s="24"/>
      <c r="AO216" s="50"/>
      <c r="AP216" s="54"/>
      <c r="AQ216" s="54"/>
      <c r="AR216" s="119"/>
      <c r="AS216" s="55"/>
      <c r="AT216" s="300"/>
      <c r="AU216" s="298">
        <f t="shared" si="133"/>
        <v>0</v>
      </c>
      <c r="AV216" s="357" t="str">
        <f t="shared" si="135"/>
        <v/>
      </c>
      <c r="BB216" s="14" t="s">
        <v>211</v>
      </c>
      <c r="BC216" t="str">
        <f t="shared" si="125"/>
        <v>25</v>
      </c>
      <c r="BD216">
        <f t="shared" si="131"/>
        <v>10</v>
      </c>
      <c r="BE216" s="98">
        <f t="shared" si="132"/>
        <v>19</v>
      </c>
      <c r="BF216" t="str">
        <f t="shared" si="126"/>
        <v>D</v>
      </c>
      <c r="BG216" t="str">
        <f t="shared" si="127"/>
        <v>https://www.coreplan.io/app/ddh1-drilling/speewah-mining-speewah-fluorite-project-wa/plods/1663-251019D</v>
      </c>
      <c r="BH216" t="str">
        <f t="shared" si="128"/>
        <v>2025-10</v>
      </c>
    </row>
    <row r="217" spans="1:60">
      <c r="A217" s="510" t="e">
        <f>VLOOKUP(F217,'Tenement Lookup'!A:BH,60,FALSE)</f>
        <v>#N/A</v>
      </c>
      <c r="C217" s="152" t="str">
        <f t="shared" si="129"/>
        <v/>
      </c>
      <c r="D217" s="1">
        <f t="shared" si="130"/>
        <v>45948.71</v>
      </c>
      <c r="E217" t="s">
        <v>172</v>
      </c>
      <c r="H217" s="4"/>
      <c r="I217" s="4"/>
      <c r="J217" s="4"/>
      <c r="K217" s="21"/>
      <c r="L217" s="28"/>
      <c r="M217" s="28"/>
      <c r="N217" s="30"/>
      <c r="O217" s="26"/>
      <c r="P217" s="31"/>
      <c r="Q217" s="21"/>
      <c r="R217" s="28"/>
      <c r="S217" s="22"/>
      <c r="T217" s="26"/>
      <c r="U217" s="26"/>
      <c r="V217" s="31"/>
      <c r="W217" s="26">
        <f t="shared" si="136"/>
        <v>0</v>
      </c>
      <c r="X217" s="36">
        <f t="shared" si="124"/>
        <v>0</v>
      </c>
      <c r="Y217" s="37" t="str">
        <f t="shared" si="110"/>
        <v/>
      </c>
      <c r="Z217" s="38"/>
      <c r="AA217" s="38"/>
      <c r="AB217" s="38"/>
      <c r="AC217" s="38"/>
      <c r="AD217" s="157">
        <f t="shared" si="134"/>
        <v>0</v>
      </c>
      <c r="AE217" s="34"/>
      <c r="AF217" s="35"/>
      <c r="AG217" s="40"/>
      <c r="AH217" s="44"/>
      <c r="AI217" s="13"/>
      <c r="AJ217" s="46"/>
      <c r="AK217" s="45"/>
      <c r="AL217" s="23"/>
      <c r="AM217" s="138"/>
      <c r="AN217" s="24"/>
      <c r="AO217" s="50"/>
      <c r="AP217" s="54"/>
      <c r="AQ217" s="54"/>
      <c r="AR217" s="119"/>
      <c r="AS217" s="55"/>
      <c r="AT217" s="300"/>
      <c r="AU217" s="298">
        <f t="shared" si="133"/>
        <v>0</v>
      </c>
      <c r="AV217" s="357" t="str">
        <f t="shared" si="135"/>
        <v/>
      </c>
      <c r="BB217" s="14" t="s">
        <v>211</v>
      </c>
      <c r="BC217" t="str">
        <f t="shared" si="125"/>
        <v>25</v>
      </c>
      <c r="BD217">
        <f t="shared" si="131"/>
        <v>10</v>
      </c>
      <c r="BE217" s="98">
        <f t="shared" si="132"/>
        <v>19</v>
      </c>
      <c r="BF217" t="str">
        <f t="shared" si="126"/>
        <v>N</v>
      </c>
      <c r="BG217" t="str">
        <f t="shared" si="127"/>
        <v>https://www.coreplan.io/app/ddh1-drilling/speewah-mining-speewah-fluorite-project-wa/plods/1663-251019N</v>
      </c>
      <c r="BH217" t="str">
        <f t="shared" si="128"/>
        <v>2025-10</v>
      </c>
    </row>
    <row r="218" spans="1:60">
      <c r="A218" s="510" t="e">
        <f>VLOOKUP(F218,'Tenement Lookup'!A:BH,60,FALSE)</f>
        <v>#N/A</v>
      </c>
      <c r="C218" s="152" t="str">
        <f t="shared" si="129"/>
        <v/>
      </c>
      <c r="D218" s="1">
        <f t="shared" si="130"/>
        <v>45949.21</v>
      </c>
      <c r="E218" t="s">
        <v>171</v>
      </c>
      <c r="H218" s="4"/>
      <c r="I218" s="4"/>
      <c r="J218" s="4"/>
      <c r="K218" s="21"/>
      <c r="L218" s="28"/>
      <c r="M218" s="28"/>
      <c r="N218" s="30"/>
      <c r="O218" s="26"/>
      <c r="P218" s="31"/>
      <c r="Q218" s="21"/>
      <c r="R218" s="28"/>
      <c r="S218" s="22"/>
      <c r="T218" s="26"/>
      <c r="U218" s="26"/>
      <c r="V218" s="31"/>
      <c r="W218" s="26">
        <f t="shared" si="136"/>
        <v>0</v>
      </c>
      <c r="X218" s="36">
        <f t="shared" si="124"/>
        <v>0</v>
      </c>
      <c r="Y218" s="37" t="str">
        <f t="shared" ref="Y218:Y242" si="137">IF(F218&lt;&gt;"",IF(X218&lt;(AE218*$AE$2),(AE218*$AE$2),X218),"")</f>
        <v/>
      </c>
      <c r="Z218" s="38"/>
      <c r="AA218" s="38"/>
      <c r="AB218" s="38"/>
      <c r="AC218" s="38"/>
      <c r="AD218" s="157">
        <f t="shared" si="134"/>
        <v>0</v>
      </c>
      <c r="AE218" s="34"/>
      <c r="AF218" s="35"/>
      <c r="AG218" s="40"/>
      <c r="AH218" s="44"/>
      <c r="AI218" s="13"/>
      <c r="AJ218" s="46"/>
      <c r="AK218" s="45"/>
      <c r="AL218" s="23"/>
      <c r="AM218" s="138"/>
      <c r="AN218" s="24"/>
      <c r="AO218" s="50"/>
      <c r="AP218" s="54"/>
      <c r="AQ218" s="54"/>
      <c r="AR218" s="119"/>
      <c r="AS218" s="55"/>
      <c r="AT218" s="300"/>
      <c r="AU218" s="298">
        <f t="shared" si="133"/>
        <v>0</v>
      </c>
      <c r="AV218" s="357" t="str">
        <f t="shared" si="135"/>
        <v/>
      </c>
      <c r="BB218" s="14" t="s">
        <v>211</v>
      </c>
      <c r="BC218" t="str">
        <f t="shared" si="125"/>
        <v>25</v>
      </c>
      <c r="BD218">
        <f t="shared" si="131"/>
        <v>10</v>
      </c>
      <c r="BE218" s="98">
        <f t="shared" si="132"/>
        <v>20</v>
      </c>
      <c r="BF218" t="str">
        <f t="shared" si="126"/>
        <v>D</v>
      </c>
      <c r="BG218" t="str">
        <f t="shared" si="127"/>
        <v>https://www.coreplan.io/app/ddh1-drilling/speewah-mining-speewah-fluorite-project-wa/plods/1663-251020D</v>
      </c>
      <c r="BH218" t="str">
        <f t="shared" si="128"/>
        <v>2025-10</v>
      </c>
    </row>
    <row r="219" spans="1:60">
      <c r="A219" s="510" t="e">
        <f>VLOOKUP(F219,'Tenement Lookup'!A:BH,60,FALSE)</f>
        <v>#N/A</v>
      </c>
      <c r="C219" s="152" t="str">
        <f t="shared" si="129"/>
        <v/>
      </c>
      <c r="D219" s="1">
        <f t="shared" si="130"/>
        <v>45949.71</v>
      </c>
      <c r="E219" t="s">
        <v>172</v>
      </c>
      <c r="H219" s="4"/>
      <c r="I219" s="4"/>
      <c r="J219" s="4"/>
      <c r="K219" s="21"/>
      <c r="L219" s="28"/>
      <c r="M219" s="28"/>
      <c r="N219" s="30"/>
      <c r="O219" s="26"/>
      <c r="P219" s="31"/>
      <c r="Q219" s="21"/>
      <c r="R219" s="28"/>
      <c r="S219" s="22"/>
      <c r="T219" s="26"/>
      <c r="U219" s="26"/>
      <c r="V219" s="31"/>
      <c r="W219" s="26">
        <f t="shared" si="136"/>
        <v>0</v>
      </c>
      <c r="X219" s="36">
        <f t="shared" si="124"/>
        <v>0</v>
      </c>
      <c r="Y219" s="37" t="str">
        <f t="shared" si="137"/>
        <v/>
      </c>
      <c r="Z219" s="38"/>
      <c r="AA219" s="38"/>
      <c r="AB219" s="38"/>
      <c r="AC219" s="38"/>
      <c r="AD219" s="157">
        <f t="shared" si="134"/>
        <v>0</v>
      </c>
      <c r="AE219" s="34"/>
      <c r="AF219" s="35"/>
      <c r="AG219" s="40"/>
      <c r="AH219" s="44"/>
      <c r="AI219" s="13"/>
      <c r="AJ219" s="46"/>
      <c r="AK219" s="45"/>
      <c r="AL219" s="23"/>
      <c r="AM219" s="138"/>
      <c r="AN219" s="24"/>
      <c r="AO219" s="50"/>
      <c r="AP219" s="54"/>
      <c r="AQ219" s="54"/>
      <c r="AR219" s="119"/>
      <c r="AS219" s="55"/>
      <c r="AT219" s="300"/>
      <c r="AU219" s="298">
        <f t="shared" si="133"/>
        <v>0</v>
      </c>
      <c r="AV219" s="357" t="str">
        <f t="shared" si="135"/>
        <v/>
      </c>
      <c r="BB219" s="14" t="s">
        <v>211</v>
      </c>
      <c r="BC219" t="str">
        <f t="shared" si="125"/>
        <v>25</v>
      </c>
      <c r="BD219">
        <f t="shared" si="131"/>
        <v>10</v>
      </c>
      <c r="BE219" s="98">
        <f t="shared" si="132"/>
        <v>20</v>
      </c>
      <c r="BF219" t="str">
        <f t="shared" si="126"/>
        <v>N</v>
      </c>
      <c r="BG219" t="str">
        <f t="shared" si="127"/>
        <v>https://www.coreplan.io/app/ddh1-drilling/speewah-mining-speewah-fluorite-project-wa/plods/1663-251020N</v>
      </c>
      <c r="BH219" t="str">
        <f t="shared" si="128"/>
        <v>2025-10</v>
      </c>
    </row>
    <row r="220" spans="1:60">
      <c r="A220" s="510" t="e">
        <f>VLOOKUP(F220,'Tenement Lookup'!A:BH,60,FALSE)</f>
        <v>#N/A</v>
      </c>
      <c r="C220" s="152" t="str">
        <f t="shared" si="129"/>
        <v/>
      </c>
      <c r="D220" s="1">
        <f t="shared" si="130"/>
        <v>45950.21</v>
      </c>
      <c r="E220" t="s">
        <v>171</v>
      </c>
      <c r="H220" s="4"/>
      <c r="I220" s="4"/>
      <c r="J220" s="4"/>
      <c r="K220" s="21"/>
      <c r="L220" s="28"/>
      <c r="M220" s="28"/>
      <c r="N220" s="30"/>
      <c r="O220" s="26"/>
      <c r="P220" s="31"/>
      <c r="Q220" s="21"/>
      <c r="R220" s="28"/>
      <c r="S220" s="22"/>
      <c r="T220" s="26"/>
      <c r="U220" s="26"/>
      <c r="V220" s="31"/>
      <c r="W220" s="26">
        <f t="shared" si="136"/>
        <v>0</v>
      </c>
      <c r="X220" s="36">
        <f t="shared" si="124"/>
        <v>0</v>
      </c>
      <c r="Y220" s="37" t="str">
        <f t="shared" si="137"/>
        <v/>
      </c>
      <c r="Z220" s="38"/>
      <c r="AA220" s="38"/>
      <c r="AB220" s="38"/>
      <c r="AC220" s="38"/>
      <c r="AD220" s="157">
        <f t="shared" si="134"/>
        <v>0</v>
      </c>
      <c r="AE220" s="34"/>
      <c r="AF220" s="35"/>
      <c r="AG220" s="40"/>
      <c r="AH220" s="44"/>
      <c r="AI220" s="13"/>
      <c r="AJ220" s="46"/>
      <c r="AK220" s="45"/>
      <c r="AL220" s="23"/>
      <c r="AM220" s="138"/>
      <c r="AN220" s="24"/>
      <c r="AO220" s="50"/>
      <c r="AP220" s="54"/>
      <c r="AQ220" s="54"/>
      <c r="AR220" s="119"/>
      <c r="AS220" s="55"/>
      <c r="AT220" s="300"/>
      <c r="AU220" s="298">
        <f t="shared" si="133"/>
        <v>0</v>
      </c>
      <c r="AV220" s="357" t="str">
        <f t="shared" si="135"/>
        <v/>
      </c>
      <c r="BB220" s="14" t="s">
        <v>211</v>
      </c>
      <c r="BC220" t="str">
        <f t="shared" si="125"/>
        <v>25</v>
      </c>
      <c r="BD220">
        <f t="shared" si="131"/>
        <v>10</v>
      </c>
      <c r="BE220" s="98">
        <f t="shared" si="132"/>
        <v>21</v>
      </c>
      <c r="BF220" t="str">
        <f t="shared" si="126"/>
        <v>D</v>
      </c>
      <c r="BG220" t="str">
        <f t="shared" si="127"/>
        <v>https://www.coreplan.io/app/ddh1-drilling/speewah-mining-speewah-fluorite-project-wa/plods/1663-251021D</v>
      </c>
      <c r="BH220" t="str">
        <f t="shared" si="128"/>
        <v>2025-10</v>
      </c>
    </row>
    <row r="221" spans="1:60">
      <c r="A221" s="510" t="e">
        <f>VLOOKUP(F221,'Tenement Lookup'!A:BH,60,FALSE)</f>
        <v>#N/A</v>
      </c>
      <c r="C221" s="152" t="str">
        <f t="shared" si="129"/>
        <v/>
      </c>
      <c r="D221" s="1">
        <f t="shared" si="130"/>
        <v>45950.71</v>
      </c>
      <c r="E221" t="s">
        <v>172</v>
      </c>
      <c r="H221" s="4"/>
      <c r="I221" s="4"/>
      <c r="J221" s="4"/>
      <c r="K221" s="21"/>
      <c r="L221" s="28"/>
      <c r="M221" s="28"/>
      <c r="N221" s="30"/>
      <c r="O221" s="26"/>
      <c r="P221" s="31"/>
      <c r="Q221" s="21"/>
      <c r="R221" s="28"/>
      <c r="S221" s="22"/>
      <c r="T221" s="26"/>
      <c r="U221" s="26"/>
      <c r="V221" s="31"/>
      <c r="W221" s="26">
        <f t="shared" si="136"/>
        <v>0</v>
      </c>
      <c r="X221" s="36">
        <f t="shared" si="124"/>
        <v>0</v>
      </c>
      <c r="Y221" s="37" t="str">
        <f t="shared" si="137"/>
        <v/>
      </c>
      <c r="Z221" s="38"/>
      <c r="AA221" s="38"/>
      <c r="AB221" s="38"/>
      <c r="AC221" s="38"/>
      <c r="AD221" s="157">
        <f t="shared" si="134"/>
        <v>0</v>
      </c>
      <c r="AE221" s="34"/>
      <c r="AF221" s="35"/>
      <c r="AG221" s="40"/>
      <c r="AH221" s="44"/>
      <c r="AI221" s="13"/>
      <c r="AJ221" s="46"/>
      <c r="AK221" s="45"/>
      <c r="AL221" s="23"/>
      <c r="AM221" s="138"/>
      <c r="AN221" s="24"/>
      <c r="AO221" s="50"/>
      <c r="AP221" s="54"/>
      <c r="AQ221" s="54"/>
      <c r="AR221" s="119"/>
      <c r="AS221" s="55"/>
      <c r="AT221" s="300"/>
      <c r="AU221" s="298">
        <f t="shared" si="133"/>
        <v>0</v>
      </c>
      <c r="AV221" s="357" t="str">
        <f t="shared" si="135"/>
        <v/>
      </c>
      <c r="BB221" s="14" t="s">
        <v>211</v>
      </c>
      <c r="BC221" t="str">
        <f t="shared" si="125"/>
        <v>25</v>
      </c>
      <c r="BD221">
        <f t="shared" si="131"/>
        <v>10</v>
      </c>
      <c r="BE221" s="98">
        <f t="shared" si="132"/>
        <v>21</v>
      </c>
      <c r="BF221" t="str">
        <f t="shared" si="126"/>
        <v>N</v>
      </c>
      <c r="BG221" t="str">
        <f t="shared" si="127"/>
        <v>https://www.coreplan.io/app/ddh1-drilling/speewah-mining-speewah-fluorite-project-wa/plods/1663-251021N</v>
      </c>
      <c r="BH221" t="str">
        <f t="shared" si="128"/>
        <v>2025-10</v>
      </c>
    </row>
    <row r="222" spans="1:60">
      <c r="A222" s="510" t="e">
        <f>VLOOKUP(F222,'Tenement Lookup'!A:BH,60,FALSE)</f>
        <v>#N/A</v>
      </c>
      <c r="C222" s="152" t="str">
        <f t="shared" si="129"/>
        <v/>
      </c>
      <c r="D222" s="1">
        <f t="shared" si="130"/>
        <v>45951.21</v>
      </c>
      <c r="E222" t="s">
        <v>171</v>
      </c>
      <c r="H222" s="4"/>
      <c r="I222" s="4"/>
      <c r="J222" s="4"/>
      <c r="K222" s="21"/>
      <c r="L222" s="28"/>
      <c r="M222" s="28"/>
      <c r="N222" s="30"/>
      <c r="O222" s="26"/>
      <c r="P222" s="31"/>
      <c r="Q222" s="21"/>
      <c r="R222" s="28"/>
      <c r="S222" s="22"/>
      <c r="T222" s="26"/>
      <c r="U222" s="26"/>
      <c r="V222" s="31"/>
      <c r="W222" s="26">
        <f t="shared" si="136"/>
        <v>0</v>
      </c>
      <c r="X222" s="36">
        <f t="shared" si="124"/>
        <v>0</v>
      </c>
      <c r="Y222" s="37" t="str">
        <f t="shared" si="137"/>
        <v/>
      </c>
      <c r="Z222" s="38"/>
      <c r="AA222" s="38"/>
      <c r="AB222" s="38"/>
      <c r="AC222" s="38"/>
      <c r="AD222" s="157">
        <f t="shared" si="134"/>
        <v>0</v>
      </c>
      <c r="AE222" s="34"/>
      <c r="AF222" s="35"/>
      <c r="AG222" s="40"/>
      <c r="AH222" s="44"/>
      <c r="AI222" s="13"/>
      <c r="AJ222" s="46"/>
      <c r="AK222" s="45"/>
      <c r="AL222" s="23"/>
      <c r="AM222" s="138"/>
      <c r="AN222" s="24"/>
      <c r="AO222" s="50"/>
      <c r="AP222" s="54"/>
      <c r="AQ222" s="54"/>
      <c r="AR222" s="119"/>
      <c r="AS222" s="55"/>
      <c r="AT222" s="300"/>
      <c r="AU222" s="298">
        <f t="shared" si="133"/>
        <v>0</v>
      </c>
      <c r="AV222" s="357" t="str">
        <f t="shared" si="135"/>
        <v/>
      </c>
      <c r="BB222" s="14" t="s">
        <v>211</v>
      </c>
      <c r="BC222" t="str">
        <f t="shared" si="125"/>
        <v>25</v>
      </c>
      <c r="BD222">
        <f t="shared" si="131"/>
        <v>10</v>
      </c>
      <c r="BE222" s="98">
        <f t="shared" si="132"/>
        <v>22</v>
      </c>
      <c r="BF222" t="str">
        <f t="shared" si="126"/>
        <v>D</v>
      </c>
      <c r="BG222" t="str">
        <f t="shared" si="127"/>
        <v>https://www.coreplan.io/app/ddh1-drilling/speewah-mining-speewah-fluorite-project-wa/plods/1663-251022D</v>
      </c>
      <c r="BH222" t="str">
        <f t="shared" si="128"/>
        <v>2025-10</v>
      </c>
    </row>
    <row r="223" spans="1:60">
      <c r="A223" s="510" t="e">
        <f>VLOOKUP(F223,'Tenement Lookup'!A:BH,60,FALSE)</f>
        <v>#N/A</v>
      </c>
      <c r="C223" s="152" t="str">
        <f t="shared" si="129"/>
        <v/>
      </c>
      <c r="D223" s="1">
        <f t="shared" si="130"/>
        <v>45951.71</v>
      </c>
      <c r="E223" t="s">
        <v>172</v>
      </c>
      <c r="H223" s="4"/>
      <c r="I223" s="4"/>
      <c r="J223" s="4"/>
      <c r="K223" s="21"/>
      <c r="L223" s="28"/>
      <c r="M223" s="28"/>
      <c r="N223" s="30"/>
      <c r="O223" s="26"/>
      <c r="P223" s="31"/>
      <c r="Q223" s="21"/>
      <c r="R223" s="28"/>
      <c r="S223" s="22"/>
      <c r="T223" s="26"/>
      <c r="U223" s="26"/>
      <c r="V223" s="31"/>
      <c r="W223" s="26">
        <f t="shared" si="136"/>
        <v>0</v>
      </c>
      <c r="X223" s="36">
        <f t="shared" si="124"/>
        <v>0</v>
      </c>
      <c r="Y223" s="37" t="str">
        <f t="shared" si="137"/>
        <v/>
      </c>
      <c r="Z223" s="38"/>
      <c r="AA223" s="38"/>
      <c r="AB223" s="38"/>
      <c r="AC223" s="38"/>
      <c r="AD223" s="157">
        <f t="shared" si="134"/>
        <v>0</v>
      </c>
      <c r="AE223" s="34"/>
      <c r="AF223" s="35"/>
      <c r="AG223" s="40"/>
      <c r="AH223" s="44"/>
      <c r="AI223" s="13"/>
      <c r="AJ223" s="46"/>
      <c r="AK223" s="45"/>
      <c r="AL223" s="23"/>
      <c r="AM223" s="138"/>
      <c r="AN223" s="24"/>
      <c r="AO223" s="50"/>
      <c r="AP223" s="54"/>
      <c r="AQ223" s="54"/>
      <c r="AR223" s="119"/>
      <c r="AS223" s="55"/>
      <c r="AT223" s="300"/>
      <c r="AU223" s="298">
        <f t="shared" si="133"/>
        <v>0</v>
      </c>
      <c r="AV223" s="357" t="str">
        <f t="shared" si="135"/>
        <v/>
      </c>
      <c r="BB223" s="14" t="s">
        <v>211</v>
      </c>
      <c r="BC223" t="str">
        <f t="shared" ref="BC223:BC241" si="138">RIGHT(YEAR(D223),2)</f>
        <v>25</v>
      </c>
      <c r="BD223">
        <f t="shared" si="131"/>
        <v>10</v>
      </c>
      <c r="BE223" s="98">
        <f t="shared" si="132"/>
        <v>22</v>
      </c>
      <c r="BF223" t="str">
        <f t="shared" ref="BF223:BF241" si="139">LEFT(E223,1)</f>
        <v>N</v>
      </c>
      <c r="BG223" t="str">
        <f t="shared" ref="BG223:BG241" si="140">CONCATENATE(BB223,BC223,BD223,BE223,BF223)</f>
        <v>https://www.coreplan.io/app/ddh1-drilling/speewah-mining-speewah-fluorite-project-wa/plods/1663-251022N</v>
      </c>
      <c r="BH223" t="str">
        <f t="shared" ref="BH223:BH241" si="141">TEXT(D223, "yyyy-mm")</f>
        <v>2025-10</v>
      </c>
    </row>
    <row r="224" spans="1:60">
      <c r="A224" s="510" t="e">
        <f>VLOOKUP(F224,'Tenement Lookup'!A:BH,60,FALSE)</f>
        <v>#N/A</v>
      </c>
      <c r="C224" s="152" t="str">
        <f t="shared" si="129"/>
        <v/>
      </c>
      <c r="D224" s="1">
        <f t="shared" si="130"/>
        <v>45952.21</v>
      </c>
      <c r="E224" t="s">
        <v>171</v>
      </c>
      <c r="H224" s="4"/>
      <c r="I224" s="4"/>
      <c r="J224" s="4"/>
      <c r="K224" s="21"/>
      <c r="L224" s="28"/>
      <c r="M224" s="28"/>
      <c r="N224" s="30"/>
      <c r="O224" s="26"/>
      <c r="P224" s="31"/>
      <c r="Q224" s="21"/>
      <c r="R224" s="28"/>
      <c r="S224" s="22"/>
      <c r="T224" s="26"/>
      <c r="U224" s="26"/>
      <c r="V224" s="31"/>
      <c r="W224" s="26">
        <f t="shared" si="136"/>
        <v>0</v>
      </c>
      <c r="X224" s="36">
        <f t="shared" si="124"/>
        <v>0</v>
      </c>
      <c r="Y224" s="37" t="str">
        <f t="shared" si="137"/>
        <v/>
      </c>
      <c r="Z224" s="38"/>
      <c r="AA224" s="38"/>
      <c r="AB224" s="38"/>
      <c r="AC224" s="38"/>
      <c r="AD224" s="157">
        <f t="shared" si="134"/>
        <v>0</v>
      </c>
      <c r="AE224" s="34"/>
      <c r="AF224" s="35"/>
      <c r="AG224" s="40"/>
      <c r="AH224" s="44"/>
      <c r="AI224" s="13"/>
      <c r="AJ224" s="46"/>
      <c r="AK224" s="45"/>
      <c r="AL224" s="23"/>
      <c r="AM224" s="138"/>
      <c r="AN224" s="24"/>
      <c r="AO224" s="50"/>
      <c r="AP224" s="54"/>
      <c r="AQ224" s="54"/>
      <c r="AR224" s="119"/>
      <c r="AS224" s="55"/>
      <c r="AT224" s="300"/>
      <c r="AU224" s="298">
        <f t="shared" si="133"/>
        <v>0</v>
      </c>
      <c r="AV224" s="357" t="str">
        <f t="shared" si="135"/>
        <v/>
      </c>
      <c r="BB224" s="14" t="s">
        <v>211</v>
      </c>
      <c r="BC224" t="str">
        <f t="shared" si="138"/>
        <v>25</v>
      </c>
      <c r="BD224">
        <f t="shared" si="131"/>
        <v>10</v>
      </c>
      <c r="BE224" s="98">
        <f t="shared" si="132"/>
        <v>23</v>
      </c>
      <c r="BF224" t="str">
        <f t="shared" si="139"/>
        <v>D</v>
      </c>
      <c r="BG224" t="str">
        <f t="shared" si="140"/>
        <v>https://www.coreplan.io/app/ddh1-drilling/speewah-mining-speewah-fluorite-project-wa/plods/1663-251023D</v>
      </c>
      <c r="BH224" t="str">
        <f t="shared" si="141"/>
        <v>2025-10</v>
      </c>
    </row>
    <row r="225" spans="1:60">
      <c r="A225" s="510" t="e">
        <f>VLOOKUP(F225,'Tenement Lookup'!A:BH,60,FALSE)</f>
        <v>#N/A</v>
      </c>
      <c r="C225" s="152" t="str">
        <f t="shared" si="129"/>
        <v/>
      </c>
      <c r="D225" s="1">
        <f t="shared" si="130"/>
        <v>45952.71</v>
      </c>
      <c r="E225" t="s">
        <v>172</v>
      </c>
      <c r="H225" s="4"/>
      <c r="I225" s="4"/>
      <c r="J225" s="4"/>
      <c r="K225" s="21"/>
      <c r="L225" s="28"/>
      <c r="M225" s="28"/>
      <c r="N225" s="30"/>
      <c r="O225" s="26"/>
      <c r="P225" s="31"/>
      <c r="Q225" s="21"/>
      <c r="R225" s="28"/>
      <c r="S225" s="22"/>
      <c r="T225" s="26"/>
      <c r="U225" s="26"/>
      <c r="V225" s="31"/>
      <c r="W225" s="26">
        <f t="shared" si="136"/>
        <v>0</v>
      </c>
      <c r="X225" s="36">
        <f t="shared" si="124"/>
        <v>0</v>
      </c>
      <c r="Y225" s="37" t="str">
        <f t="shared" si="137"/>
        <v/>
      </c>
      <c r="Z225" s="38"/>
      <c r="AA225" s="38"/>
      <c r="AB225" s="38"/>
      <c r="AC225" s="38"/>
      <c r="AD225" s="157">
        <f t="shared" si="134"/>
        <v>0</v>
      </c>
      <c r="AE225" s="34"/>
      <c r="AF225" s="35"/>
      <c r="AG225" s="40"/>
      <c r="AH225" s="44"/>
      <c r="AI225" s="13"/>
      <c r="AJ225" s="46"/>
      <c r="AK225" s="45"/>
      <c r="AL225" s="23"/>
      <c r="AM225" s="138"/>
      <c r="AN225" s="24"/>
      <c r="AO225" s="50"/>
      <c r="AP225" s="54"/>
      <c r="AQ225" s="54"/>
      <c r="AR225" s="119"/>
      <c r="AS225" s="55"/>
      <c r="AT225" s="300"/>
      <c r="AU225" s="298">
        <f t="shared" si="133"/>
        <v>0</v>
      </c>
      <c r="AV225" s="357" t="str">
        <f t="shared" si="135"/>
        <v/>
      </c>
      <c r="BB225" s="14" t="s">
        <v>211</v>
      </c>
      <c r="BC225" t="str">
        <f t="shared" si="138"/>
        <v>25</v>
      </c>
      <c r="BD225">
        <f t="shared" si="131"/>
        <v>10</v>
      </c>
      <c r="BE225" s="98">
        <f t="shared" si="132"/>
        <v>23</v>
      </c>
      <c r="BF225" t="str">
        <f t="shared" si="139"/>
        <v>N</v>
      </c>
      <c r="BG225" t="str">
        <f t="shared" si="140"/>
        <v>https://www.coreplan.io/app/ddh1-drilling/speewah-mining-speewah-fluorite-project-wa/plods/1663-251023N</v>
      </c>
      <c r="BH225" t="str">
        <f t="shared" si="141"/>
        <v>2025-10</v>
      </c>
    </row>
    <row r="226" spans="1:60">
      <c r="A226" s="510" t="e">
        <f>VLOOKUP(F226,'Tenement Lookup'!A:BH,60,FALSE)</f>
        <v>#N/A</v>
      </c>
      <c r="C226" s="152" t="str">
        <f t="shared" si="129"/>
        <v/>
      </c>
      <c r="D226" s="1">
        <f t="shared" si="130"/>
        <v>45953.21</v>
      </c>
      <c r="E226" t="s">
        <v>171</v>
      </c>
      <c r="H226" s="4"/>
      <c r="I226" s="4"/>
      <c r="J226" s="4"/>
      <c r="K226" s="21"/>
      <c r="L226" s="28"/>
      <c r="M226" s="28"/>
      <c r="N226" s="30"/>
      <c r="O226" s="26"/>
      <c r="P226" s="31"/>
      <c r="Q226" s="21"/>
      <c r="R226" s="28"/>
      <c r="S226" s="22"/>
      <c r="T226" s="26"/>
      <c r="U226" s="26"/>
      <c r="V226" s="31"/>
      <c r="W226" s="26">
        <f t="shared" si="136"/>
        <v>0</v>
      </c>
      <c r="X226" s="36">
        <f t="shared" si="124"/>
        <v>0</v>
      </c>
      <c r="Y226" s="37" t="str">
        <f t="shared" si="137"/>
        <v/>
      </c>
      <c r="Z226" s="38"/>
      <c r="AA226" s="38"/>
      <c r="AB226" s="38"/>
      <c r="AC226" s="38"/>
      <c r="AD226" s="157">
        <f t="shared" si="134"/>
        <v>0</v>
      </c>
      <c r="AE226" s="34"/>
      <c r="AF226" s="35"/>
      <c r="AG226" s="40"/>
      <c r="AH226" s="44"/>
      <c r="AI226" s="13"/>
      <c r="AJ226" s="46"/>
      <c r="AK226" s="45"/>
      <c r="AL226" s="23"/>
      <c r="AM226" s="138"/>
      <c r="AN226" s="24"/>
      <c r="AO226" s="50"/>
      <c r="AP226" s="54"/>
      <c r="AQ226" s="54"/>
      <c r="AR226" s="119"/>
      <c r="AS226" s="55"/>
      <c r="AT226" s="300"/>
      <c r="AU226" s="298">
        <f t="shared" si="133"/>
        <v>0</v>
      </c>
      <c r="AV226" s="357" t="str">
        <f t="shared" si="135"/>
        <v/>
      </c>
      <c r="BB226" s="14" t="s">
        <v>211</v>
      </c>
      <c r="BC226" t="str">
        <f t="shared" si="138"/>
        <v>25</v>
      </c>
      <c r="BD226">
        <f t="shared" si="131"/>
        <v>10</v>
      </c>
      <c r="BE226" s="98">
        <f t="shared" si="132"/>
        <v>24</v>
      </c>
      <c r="BF226" t="str">
        <f t="shared" si="139"/>
        <v>D</v>
      </c>
      <c r="BG226" t="str">
        <f t="shared" si="140"/>
        <v>https://www.coreplan.io/app/ddh1-drilling/speewah-mining-speewah-fluorite-project-wa/plods/1663-251024D</v>
      </c>
      <c r="BH226" t="str">
        <f t="shared" si="141"/>
        <v>2025-10</v>
      </c>
    </row>
    <row r="227" spans="1:60">
      <c r="A227" s="510" t="e">
        <f>VLOOKUP(F227,'Tenement Lookup'!A:BH,60,FALSE)</f>
        <v>#N/A</v>
      </c>
      <c r="C227" s="152" t="str">
        <f t="shared" si="129"/>
        <v/>
      </c>
      <c r="D227" s="1">
        <f t="shared" si="130"/>
        <v>45953.71</v>
      </c>
      <c r="E227" t="s">
        <v>172</v>
      </c>
      <c r="H227" s="4"/>
      <c r="I227" s="4"/>
      <c r="J227" s="4"/>
      <c r="K227" s="21"/>
      <c r="L227" s="28"/>
      <c r="M227" s="28"/>
      <c r="N227" s="30"/>
      <c r="O227" s="26"/>
      <c r="P227" s="31"/>
      <c r="Q227" s="21"/>
      <c r="R227" s="28"/>
      <c r="S227" s="22"/>
      <c r="T227" s="26"/>
      <c r="U227" s="26"/>
      <c r="V227" s="31"/>
      <c r="W227" s="26">
        <f t="shared" si="136"/>
        <v>0</v>
      </c>
      <c r="X227" s="36">
        <f t="shared" si="124"/>
        <v>0</v>
      </c>
      <c r="Y227" s="37" t="str">
        <f t="shared" si="137"/>
        <v/>
      </c>
      <c r="Z227" s="38"/>
      <c r="AA227" s="38"/>
      <c r="AB227" s="38"/>
      <c r="AC227" s="38"/>
      <c r="AD227" s="157">
        <f t="shared" si="134"/>
        <v>0</v>
      </c>
      <c r="AE227" s="34"/>
      <c r="AF227" s="35"/>
      <c r="AG227" s="40"/>
      <c r="AH227" s="44"/>
      <c r="AI227" s="13"/>
      <c r="AJ227" s="46"/>
      <c r="AK227" s="45"/>
      <c r="AL227" s="23"/>
      <c r="AM227" s="138"/>
      <c r="AN227" s="24"/>
      <c r="AO227" s="50"/>
      <c r="AP227" s="54"/>
      <c r="AQ227" s="54"/>
      <c r="AR227" s="119"/>
      <c r="AS227" s="55"/>
      <c r="AT227" s="300"/>
      <c r="AU227" s="298">
        <f t="shared" si="133"/>
        <v>0</v>
      </c>
      <c r="AV227" s="357" t="str">
        <f t="shared" si="135"/>
        <v/>
      </c>
      <c r="BB227" s="14" t="s">
        <v>211</v>
      </c>
      <c r="BC227" t="str">
        <f t="shared" si="138"/>
        <v>25</v>
      </c>
      <c r="BD227">
        <f t="shared" si="131"/>
        <v>10</v>
      </c>
      <c r="BE227" s="98">
        <f t="shared" si="132"/>
        <v>24</v>
      </c>
      <c r="BF227" t="str">
        <f t="shared" si="139"/>
        <v>N</v>
      </c>
      <c r="BG227" t="str">
        <f t="shared" si="140"/>
        <v>https://www.coreplan.io/app/ddh1-drilling/speewah-mining-speewah-fluorite-project-wa/plods/1663-251024N</v>
      </c>
      <c r="BH227" t="str">
        <f t="shared" si="141"/>
        <v>2025-10</v>
      </c>
    </row>
    <row r="228" spans="1:60">
      <c r="A228" s="510" t="e">
        <f>VLOOKUP(F228,'Tenement Lookup'!A:BH,60,FALSE)</f>
        <v>#N/A</v>
      </c>
      <c r="C228" s="152" t="str">
        <f t="shared" ref="C228:C242" si="142">IFERROR(IF(FIND("MET",F228),"MET",IF(FIND("GT",F228),"GT",)),"")</f>
        <v/>
      </c>
      <c r="D228" s="1">
        <f t="shared" si="130"/>
        <v>45954.21</v>
      </c>
      <c r="E228" t="s">
        <v>171</v>
      </c>
      <c r="H228" s="4"/>
      <c r="I228" s="4"/>
      <c r="J228" s="4"/>
      <c r="K228" s="21"/>
      <c r="L228" s="28"/>
      <c r="M228" s="28"/>
      <c r="N228" s="30"/>
      <c r="O228" s="26"/>
      <c r="P228" s="31"/>
      <c r="Q228" s="21"/>
      <c r="R228" s="28"/>
      <c r="S228" s="22"/>
      <c r="T228" s="26"/>
      <c r="U228" s="26"/>
      <c r="V228" s="31"/>
      <c r="W228" s="26">
        <f t="shared" si="136"/>
        <v>0</v>
      </c>
      <c r="X228" s="36">
        <f t="shared" si="124"/>
        <v>0</v>
      </c>
      <c r="Y228" s="37" t="str">
        <f t="shared" si="137"/>
        <v/>
      </c>
      <c r="Z228" s="38"/>
      <c r="AA228" s="38"/>
      <c r="AB228" s="38"/>
      <c r="AC228" s="38"/>
      <c r="AD228" s="157">
        <f t="shared" si="134"/>
        <v>0</v>
      </c>
      <c r="AE228" s="34"/>
      <c r="AF228" s="35"/>
      <c r="AG228" s="40"/>
      <c r="AH228" s="44"/>
      <c r="AI228" s="13"/>
      <c r="AJ228" s="46"/>
      <c r="AK228" s="45"/>
      <c r="AL228" s="23"/>
      <c r="AM228" s="138"/>
      <c r="AN228" s="24"/>
      <c r="AO228" s="50"/>
      <c r="AP228" s="54"/>
      <c r="AQ228" s="54"/>
      <c r="AR228" s="119"/>
      <c r="AS228" s="55"/>
      <c r="AT228" s="300"/>
      <c r="AU228" s="298">
        <f t="shared" si="133"/>
        <v>0</v>
      </c>
      <c r="AV228" s="357" t="str">
        <f t="shared" si="135"/>
        <v/>
      </c>
      <c r="BB228" s="14" t="s">
        <v>211</v>
      </c>
      <c r="BC228" t="str">
        <f t="shared" si="138"/>
        <v>25</v>
      </c>
      <c r="BD228">
        <f t="shared" si="131"/>
        <v>10</v>
      </c>
      <c r="BE228" s="98">
        <f t="shared" si="132"/>
        <v>25</v>
      </c>
      <c r="BF228" t="str">
        <f t="shared" si="139"/>
        <v>D</v>
      </c>
      <c r="BG228" t="str">
        <f t="shared" si="140"/>
        <v>https://www.coreplan.io/app/ddh1-drilling/speewah-mining-speewah-fluorite-project-wa/plods/1663-251025D</v>
      </c>
      <c r="BH228" t="str">
        <f t="shared" si="141"/>
        <v>2025-10</v>
      </c>
    </row>
    <row r="229" spans="1:60">
      <c r="A229" s="510" t="e">
        <f>VLOOKUP(F229,'Tenement Lookup'!A:BH,60,FALSE)</f>
        <v>#N/A</v>
      </c>
      <c r="C229" s="152" t="str">
        <f t="shared" si="142"/>
        <v/>
      </c>
      <c r="D229" s="1">
        <f t="shared" si="130"/>
        <v>45954.71</v>
      </c>
      <c r="E229" t="s">
        <v>172</v>
      </c>
      <c r="H229" s="4"/>
      <c r="I229" s="4"/>
      <c r="J229" s="4"/>
      <c r="K229" s="21"/>
      <c r="L229" s="28"/>
      <c r="M229" s="28"/>
      <c r="N229" s="30"/>
      <c r="O229" s="26"/>
      <c r="P229" s="31"/>
      <c r="Q229" s="21"/>
      <c r="R229" s="28"/>
      <c r="S229" s="22"/>
      <c r="T229" s="26"/>
      <c r="U229" s="26"/>
      <c r="V229" s="31"/>
      <c r="W229" s="26">
        <f t="shared" si="136"/>
        <v>0</v>
      </c>
      <c r="X229" s="36">
        <f t="shared" si="124"/>
        <v>0</v>
      </c>
      <c r="Y229" s="37" t="str">
        <f t="shared" si="137"/>
        <v/>
      </c>
      <c r="Z229" s="38"/>
      <c r="AA229" s="38"/>
      <c r="AB229" s="38"/>
      <c r="AC229" s="38"/>
      <c r="AD229" s="157">
        <f t="shared" si="134"/>
        <v>0</v>
      </c>
      <c r="AE229" s="34"/>
      <c r="AF229" s="35"/>
      <c r="AG229" s="40"/>
      <c r="AH229" s="44"/>
      <c r="AI229" s="13"/>
      <c r="AJ229" s="46"/>
      <c r="AK229" s="45"/>
      <c r="AL229" s="23"/>
      <c r="AM229" s="138"/>
      <c r="AN229" s="24"/>
      <c r="AO229" s="50"/>
      <c r="AP229" s="54"/>
      <c r="AQ229" s="54"/>
      <c r="AR229" s="119"/>
      <c r="AS229" s="55"/>
      <c r="AT229" s="300"/>
      <c r="AU229" s="298">
        <f t="shared" si="133"/>
        <v>0</v>
      </c>
      <c r="AV229" s="357" t="str">
        <f t="shared" si="135"/>
        <v/>
      </c>
      <c r="BB229" s="14" t="s">
        <v>211</v>
      </c>
      <c r="BC229" t="str">
        <f t="shared" si="138"/>
        <v>25</v>
      </c>
      <c r="BD229">
        <f t="shared" si="131"/>
        <v>10</v>
      </c>
      <c r="BE229" s="98">
        <f t="shared" si="132"/>
        <v>25</v>
      </c>
      <c r="BF229" t="str">
        <f t="shared" si="139"/>
        <v>N</v>
      </c>
      <c r="BG229" t="str">
        <f t="shared" si="140"/>
        <v>https://www.coreplan.io/app/ddh1-drilling/speewah-mining-speewah-fluorite-project-wa/plods/1663-251025N</v>
      </c>
      <c r="BH229" t="str">
        <f t="shared" si="141"/>
        <v>2025-10</v>
      </c>
    </row>
    <row r="230" spans="1:60">
      <c r="A230" s="510" t="e">
        <f>VLOOKUP(F230,'Tenement Lookup'!A:BH,60,FALSE)</f>
        <v>#N/A</v>
      </c>
      <c r="C230" s="152" t="str">
        <f t="shared" si="142"/>
        <v/>
      </c>
      <c r="D230" s="1">
        <f t="shared" si="130"/>
        <v>45955.21</v>
      </c>
      <c r="E230" t="s">
        <v>171</v>
      </c>
      <c r="H230" s="4"/>
      <c r="I230" s="4"/>
      <c r="J230" s="4"/>
      <c r="K230" s="21"/>
      <c r="L230" s="28"/>
      <c r="M230" s="28"/>
      <c r="N230" s="30"/>
      <c r="O230" s="26"/>
      <c r="P230" s="31"/>
      <c r="Q230" s="21"/>
      <c r="R230" s="28"/>
      <c r="S230" s="22"/>
      <c r="T230" s="26"/>
      <c r="U230" s="26"/>
      <c r="V230" s="31"/>
      <c r="W230" s="26">
        <f t="shared" si="136"/>
        <v>0</v>
      </c>
      <c r="X230" s="36">
        <f t="shared" si="124"/>
        <v>0</v>
      </c>
      <c r="Y230" s="37" t="str">
        <f t="shared" si="137"/>
        <v/>
      </c>
      <c r="Z230" s="38"/>
      <c r="AA230" s="38"/>
      <c r="AB230" s="38"/>
      <c r="AC230" s="38"/>
      <c r="AD230" s="157">
        <f t="shared" si="134"/>
        <v>0</v>
      </c>
      <c r="AE230" s="34"/>
      <c r="AF230" s="35"/>
      <c r="AG230" s="40"/>
      <c r="AH230" s="44"/>
      <c r="AI230" s="13"/>
      <c r="AJ230" s="46"/>
      <c r="AK230" s="45"/>
      <c r="AL230" s="23"/>
      <c r="AM230" s="138"/>
      <c r="AN230" s="24"/>
      <c r="AO230" s="50"/>
      <c r="AP230" s="54"/>
      <c r="AQ230" s="54"/>
      <c r="AR230" s="119"/>
      <c r="AS230" s="55"/>
      <c r="AT230" s="300"/>
      <c r="AU230" s="298">
        <f t="shared" si="133"/>
        <v>0</v>
      </c>
      <c r="AV230" s="357" t="str">
        <f t="shared" si="135"/>
        <v/>
      </c>
      <c r="BB230" s="14" t="s">
        <v>211</v>
      </c>
      <c r="BC230" t="str">
        <f t="shared" si="138"/>
        <v>25</v>
      </c>
      <c r="BD230">
        <f t="shared" si="131"/>
        <v>10</v>
      </c>
      <c r="BE230" s="98">
        <f t="shared" si="132"/>
        <v>26</v>
      </c>
      <c r="BF230" t="str">
        <f t="shared" si="139"/>
        <v>D</v>
      </c>
      <c r="BG230" t="str">
        <f t="shared" si="140"/>
        <v>https://www.coreplan.io/app/ddh1-drilling/speewah-mining-speewah-fluorite-project-wa/plods/1663-251026D</v>
      </c>
      <c r="BH230" t="str">
        <f t="shared" si="141"/>
        <v>2025-10</v>
      </c>
    </row>
    <row r="231" spans="1:60">
      <c r="A231" s="510" t="e">
        <f>VLOOKUP(F231,'Tenement Lookup'!A:BH,60,FALSE)</f>
        <v>#N/A</v>
      </c>
      <c r="C231" s="152" t="str">
        <f t="shared" si="142"/>
        <v/>
      </c>
      <c r="D231" s="1">
        <f t="shared" si="130"/>
        <v>45955.71</v>
      </c>
      <c r="E231" t="s">
        <v>172</v>
      </c>
      <c r="H231" s="4"/>
      <c r="I231" s="4"/>
      <c r="J231" s="4"/>
      <c r="K231" s="21"/>
      <c r="L231" s="28"/>
      <c r="M231" s="28"/>
      <c r="N231" s="30"/>
      <c r="O231" s="26"/>
      <c r="P231" s="31"/>
      <c r="Q231" s="21"/>
      <c r="R231" s="28"/>
      <c r="S231" s="22"/>
      <c r="T231" s="26"/>
      <c r="U231" s="26"/>
      <c r="V231" s="31"/>
      <c r="W231" s="26">
        <f t="shared" si="136"/>
        <v>0</v>
      </c>
      <c r="X231" s="36">
        <f t="shared" si="124"/>
        <v>0</v>
      </c>
      <c r="Y231" s="37" t="str">
        <f t="shared" si="137"/>
        <v/>
      </c>
      <c r="Z231" s="38"/>
      <c r="AA231" s="38"/>
      <c r="AB231" s="38"/>
      <c r="AC231" s="38"/>
      <c r="AD231" s="157">
        <f t="shared" si="134"/>
        <v>0</v>
      </c>
      <c r="AE231" s="34"/>
      <c r="AF231" s="35"/>
      <c r="AG231" s="40"/>
      <c r="AH231" s="44"/>
      <c r="AI231" s="13"/>
      <c r="AJ231" s="46"/>
      <c r="AK231" s="45"/>
      <c r="AL231" s="23"/>
      <c r="AM231" s="138"/>
      <c r="AN231" s="24"/>
      <c r="AO231" s="50"/>
      <c r="AP231" s="54"/>
      <c r="AQ231" s="54"/>
      <c r="AR231" s="119"/>
      <c r="AS231" s="55"/>
      <c r="AT231" s="300"/>
      <c r="AU231" s="298">
        <f t="shared" si="133"/>
        <v>0</v>
      </c>
      <c r="AV231" s="357" t="str">
        <f t="shared" si="135"/>
        <v/>
      </c>
      <c r="BB231" s="14" t="s">
        <v>211</v>
      </c>
      <c r="BC231" t="str">
        <f t="shared" si="138"/>
        <v>25</v>
      </c>
      <c r="BD231">
        <f t="shared" si="131"/>
        <v>10</v>
      </c>
      <c r="BE231" s="98">
        <f t="shared" si="132"/>
        <v>26</v>
      </c>
      <c r="BF231" t="str">
        <f t="shared" si="139"/>
        <v>N</v>
      </c>
      <c r="BG231" t="str">
        <f t="shared" si="140"/>
        <v>https://www.coreplan.io/app/ddh1-drilling/speewah-mining-speewah-fluorite-project-wa/plods/1663-251026N</v>
      </c>
      <c r="BH231" t="str">
        <f t="shared" si="141"/>
        <v>2025-10</v>
      </c>
    </row>
    <row r="232" spans="1:60">
      <c r="A232" s="510" t="e">
        <f>VLOOKUP(F232,'Tenement Lookup'!A:BH,60,FALSE)</f>
        <v>#N/A</v>
      </c>
      <c r="C232" s="152" t="str">
        <f t="shared" si="142"/>
        <v/>
      </c>
      <c r="D232" s="1">
        <f t="shared" si="130"/>
        <v>45956.21</v>
      </c>
      <c r="E232" t="s">
        <v>171</v>
      </c>
      <c r="H232" s="4"/>
      <c r="I232" s="4"/>
      <c r="J232" s="4"/>
      <c r="K232" s="21"/>
      <c r="L232" s="28"/>
      <c r="M232" s="28"/>
      <c r="N232" s="30"/>
      <c r="O232" s="26"/>
      <c r="P232" s="31"/>
      <c r="Q232" s="21"/>
      <c r="R232" s="28"/>
      <c r="S232" s="22"/>
      <c r="T232" s="26"/>
      <c r="U232" s="26"/>
      <c r="V232" s="31"/>
      <c r="W232" s="26">
        <f t="shared" si="136"/>
        <v>0</v>
      </c>
      <c r="X232" s="36">
        <f t="shared" si="124"/>
        <v>0</v>
      </c>
      <c r="Y232" s="37" t="str">
        <f t="shared" si="137"/>
        <v/>
      </c>
      <c r="Z232" s="38"/>
      <c r="AA232" s="38"/>
      <c r="AB232" s="38"/>
      <c r="AC232" s="38"/>
      <c r="AD232" s="157">
        <f t="shared" si="134"/>
        <v>0</v>
      </c>
      <c r="AE232" s="34"/>
      <c r="AF232" s="35"/>
      <c r="AG232" s="40"/>
      <c r="AH232" s="44"/>
      <c r="AI232" s="13"/>
      <c r="AJ232" s="46"/>
      <c r="AK232" s="45"/>
      <c r="AL232" s="23"/>
      <c r="AM232" s="138"/>
      <c r="AN232" s="24"/>
      <c r="AO232" s="50"/>
      <c r="AP232" s="54"/>
      <c r="AQ232" s="54"/>
      <c r="AR232" s="119"/>
      <c r="AS232" s="55"/>
      <c r="AT232" s="300"/>
      <c r="AU232" s="298">
        <f t="shared" si="133"/>
        <v>0</v>
      </c>
      <c r="AV232" s="357" t="str">
        <f t="shared" si="135"/>
        <v/>
      </c>
      <c r="BB232" s="14" t="s">
        <v>211</v>
      </c>
      <c r="BC232" t="str">
        <f t="shared" si="138"/>
        <v>25</v>
      </c>
      <c r="BD232">
        <f t="shared" si="131"/>
        <v>10</v>
      </c>
      <c r="BE232" s="98">
        <f t="shared" si="132"/>
        <v>27</v>
      </c>
      <c r="BF232" t="str">
        <f t="shared" si="139"/>
        <v>D</v>
      </c>
      <c r="BG232" t="str">
        <f t="shared" si="140"/>
        <v>https://www.coreplan.io/app/ddh1-drilling/speewah-mining-speewah-fluorite-project-wa/plods/1663-251027D</v>
      </c>
      <c r="BH232" t="str">
        <f t="shared" si="141"/>
        <v>2025-10</v>
      </c>
    </row>
    <row r="233" spans="1:60">
      <c r="A233" s="510" t="e">
        <f>VLOOKUP(F233,'Tenement Lookup'!A:BH,60,FALSE)</f>
        <v>#N/A</v>
      </c>
      <c r="C233" s="152" t="str">
        <f t="shared" si="142"/>
        <v/>
      </c>
      <c r="D233" s="1">
        <f t="shared" si="130"/>
        <v>45956.71</v>
      </c>
      <c r="E233" t="s">
        <v>172</v>
      </c>
      <c r="H233" s="4"/>
      <c r="I233" s="4"/>
      <c r="J233" s="4"/>
      <c r="K233" s="21"/>
      <c r="L233" s="28"/>
      <c r="M233" s="28"/>
      <c r="N233" s="30"/>
      <c r="O233" s="26"/>
      <c r="P233" s="31"/>
      <c r="Q233" s="21"/>
      <c r="R233" s="28"/>
      <c r="S233" s="22"/>
      <c r="T233" s="26"/>
      <c r="U233" s="26"/>
      <c r="V233" s="31"/>
      <c r="W233" s="26">
        <f t="shared" si="136"/>
        <v>0</v>
      </c>
      <c r="X233" s="36">
        <f t="shared" si="124"/>
        <v>0</v>
      </c>
      <c r="Y233" s="37" t="str">
        <f t="shared" si="137"/>
        <v/>
      </c>
      <c r="Z233" s="38"/>
      <c r="AA233" s="38"/>
      <c r="AB233" s="38"/>
      <c r="AC233" s="38"/>
      <c r="AD233" s="157">
        <f t="shared" si="134"/>
        <v>0</v>
      </c>
      <c r="AE233" s="34"/>
      <c r="AF233" s="35"/>
      <c r="AG233" s="40"/>
      <c r="AH233" s="44"/>
      <c r="AI233" s="13"/>
      <c r="AJ233" s="46"/>
      <c r="AK233" s="45"/>
      <c r="AL233" s="23"/>
      <c r="AM233" s="138"/>
      <c r="AN233" s="24"/>
      <c r="AO233" s="50"/>
      <c r="AP233" s="54"/>
      <c r="AQ233" s="54"/>
      <c r="AR233" s="119"/>
      <c r="AS233" s="55"/>
      <c r="AT233" s="300"/>
      <c r="AU233" s="298">
        <f t="shared" si="133"/>
        <v>0</v>
      </c>
      <c r="AV233" s="357" t="str">
        <f t="shared" si="135"/>
        <v/>
      </c>
      <c r="BB233" s="14" t="s">
        <v>211</v>
      </c>
      <c r="BC233" t="str">
        <f t="shared" si="138"/>
        <v>25</v>
      </c>
      <c r="BD233">
        <f t="shared" si="131"/>
        <v>10</v>
      </c>
      <c r="BE233" s="98">
        <f t="shared" si="132"/>
        <v>27</v>
      </c>
      <c r="BF233" t="str">
        <f t="shared" si="139"/>
        <v>N</v>
      </c>
      <c r="BG233" t="str">
        <f t="shared" si="140"/>
        <v>https://www.coreplan.io/app/ddh1-drilling/speewah-mining-speewah-fluorite-project-wa/plods/1663-251027N</v>
      </c>
      <c r="BH233" t="str">
        <f t="shared" si="141"/>
        <v>2025-10</v>
      </c>
    </row>
    <row r="234" spans="1:60">
      <c r="A234" s="510" t="e">
        <f>VLOOKUP(F234,'Tenement Lookup'!A:BH,60,FALSE)</f>
        <v>#N/A</v>
      </c>
      <c r="C234" s="152" t="str">
        <f t="shared" si="142"/>
        <v/>
      </c>
      <c r="D234" s="1">
        <f t="shared" si="130"/>
        <v>45957.21</v>
      </c>
      <c r="E234" t="s">
        <v>171</v>
      </c>
      <c r="H234" s="4"/>
      <c r="I234" s="4"/>
      <c r="J234" s="4"/>
      <c r="K234" s="21"/>
      <c r="L234" s="28"/>
      <c r="M234" s="28"/>
      <c r="N234" s="30"/>
      <c r="O234" s="26"/>
      <c r="P234" s="31"/>
      <c r="Q234" s="21"/>
      <c r="R234" s="28"/>
      <c r="S234" s="22"/>
      <c r="T234" s="26"/>
      <c r="U234" s="26"/>
      <c r="V234" s="31"/>
      <c r="W234" s="26">
        <f t="shared" si="136"/>
        <v>0</v>
      </c>
      <c r="X234" s="36">
        <f t="shared" si="124"/>
        <v>0</v>
      </c>
      <c r="Y234" s="37" t="str">
        <f t="shared" si="137"/>
        <v/>
      </c>
      <c r="Z234" s="38"/>
      <c r="AA234" s="38"/>
      <c r="AB234" s="38"/>
      <c r="AC234" s="38"/>
      <c r="AD234" s="157">
        <f t="shared" si="134"/>
        <v>0</v>
      </c>
      <c r="AE234" s="34"/>
      <c r="AF234" s="35"/>
      <c r="AG234" s="40"/>
      <c r="AH234" s="44"/>
      <c r="AI234" s="13"/>
      <c r="AJ234" s="46"/>
      <c r="AK234" s="45"/>
      <c r="AL234" s="23"/>
      <c r="AM234" s="138"/>
      <c r="AN234" s="24"/>
      <c r="AO234" s="50"/>
      <c r="AP234" s="54"/>
      <c r="AQ234" s="54"/>
      <c r="AR234" s="119"/>
      <c r="AS234" s="55"/>
      <c r="AT234" s="300"/>
      <c r="AU234" s="298">
        <f t="shared" si="133"/>
        <v>0</v>
      </c>
      <c r="AV234" s="357" t="str">
        <f t="shared" si="135"/>
        <v/>
      </c>
      <c r="BB234" s="14" t="s">
        <v>211</v>
      </c>
      <c r="BC234" t="str">
        <f t="shared" si="138"/>
        <v>25</v>
      </c>
      <c r="BD234">
        <f t="shared" si="131"/>
        <v>10</v>
      </c>
      <c r="BE234" s="98">
        <f t="shared" si="132"/>
        <v>28</v>
      </c>
      <c r="BF234" t="str">
        <f t="shared" si="139"/>
        <v>D</v>
      </c>
      <c r="BG234" t="str">
        <f t="shared" si="140"/>
        <v>https://www.coreplan.io/app/ddh1-drilling/speewah-mining-speewah-fluorite-project-wa/plods/1663-251028D</v>
      </c>
      <c r="BH234" t="str">
        <f t="shared" si="141"/>
        <v>2025-10</v>
      </c>
    </row>
    <row r="235" spans="1:60">
      <c r="A235" s="510" t="e">
        <f>VLOOKUP(F235,'Tenement Lookup'!A:BH,60,FALSE)</f>
        <v>#N/A</v>
      </c>
      <c r="C235" s="152" t="str">
        <f t="shared" si="142"/>
        <v/>
      </c>
      <c r="D235" s="1">
        <f t="shared" si="130"/>
        <v>45957.71</v>
      </c>
      <c r="E235" t="s">
        <v>172</v>
      </c>
      <c r="H235" s="4"/>
      <c r="I235" s="4"/>
      <c r="J235" s="4"/>
      <c r="K235" s="21"/>
      <c r="L235" s="28"/>
      <c r="M235" s="28"/>
      <c r="N235" s="30"/>
      <c r="O235" s="26"/>
      <c r="P235" s="31"/>
      <c r="Q235" s="21"/>
      <c r="R235" s="28"/>
      <c r="S235" s="22"/>
      <c r="T235" s="26"/>
      <c r="U235" s="26"/>
      <c r="V235" s="31"/>
      <c r="W235" s="26">
        <f t="shared" si="136"/>
        <v>0</v>
      </c>
      <c r="X235" s="36">
        <f t="shared" si="124"/>
        <v>0</v>
      </c>
      <c r="Y235" s="37" t="str">
        <f t="shared" si="137"/>
        <v/>
      </c>
      <c r="Z235" s="38"/>
      <c r="AA235" s="38"/>
      <c r="AB235" s="38"/>
      <c r="AC235" s="38"/>
      <c r="AD235" s="157">
        <f t="shared" si="134"/>
        <v>0</v>
      </c>
      <c r="AE235" s="34"/>
      <c r="AF235" s="35"/>
      <c r="AG235" s="40"/>
      <c r="AH235" s="44"/>
      <c r="AI235" s="13"/>
      <c r="AJ235" s="46"/>
      <c r="AK235" s="45"/>
      <c r="AL235" s="23"/>
      <c r="AM235" s="138"/>
      <c r="AN235" s="24"/>
      <c r="AO235" s="50"/>
      <c r="AP235" s="54"/>
      <c r="AQ235" s="54"/>
      <c r="AR235" s="119"/>
      <c r="AS235" s="55"/>
      <c r="AT235" s="300"/>
      <c r="AU235" s="298">
        <f t="shared" si="133"/>
        <v>0</v>
      </c>
      <c r="AV235" s="357" t="str">
        <f t="shared" si="135"/>
        <v/>
      </c>
      <c r="BB235" s="14" t="s">
        <v>211</v>
      </c>
      <c r="BC235" t="str">
        <f t="shared" si="138"/>
        <v>25</v>
      </c>
      <c r="BD235">
        <f t="shared" si="131"/>
        <v>10</v>
      </c>
      <c r="BE235" s="98">
        <f t="shared" si="132"/>
        <v>28</v>
      </c>
      <c r="BF235" t="str">
        <f t="shared" si="139"/>
        <v>N</v>
      </c>
      <c r="BG235" t="str">
        <f t="shared" si="140"/>
        <v>https://www.coreplan.io/app/ddh1-drilling/speewah-mining-speewah-fluorite-project-wa/plods/1663-251028N</v>
      </c>
      <c r="BH235" t="str">
        <f t="shared" si="141"/>
        <v>2025-10</v>
      </c>
    </row>
    <row r="236" spans="1:60">
      <c r="A236" s="510" t="e">
        <f>VLOOKUP(F236,'Tenement Lookup'!A:BH,60,FALSE)</f>
        <v>#N/A</v>
      </c>
      <c r="C236" s="152" t="str">
        <f t="shared" si="142"/>
        <v/>
      </c>
      <c r="D236" s="1">
        <f t="shared" si="130"/>
        <v>45958.21</v>
      </c>
      <c r="E236" t="s">
        <v>171</v>
      </c>
      <c r="H236" s="4"/>
      <c r="I236" s="4"/>
      <c r="J236" s="4"/>
      <c r="K236" s="21"/>
      <c r="L236" s="28"/>
      <c r="M236" s="28"/>
      <c r="N236" s="30"/>
      <c r="O236" s="26"/>
      <c r="P236" s="31"/>
      <c r="Q236" s="21"/>
      <c r="R236" s="28"/>
      <c r="S236" s="22"/>
      <c r="T236" s="26"/>
      <c r="U236" s="26"/>
      <c r="V236" s="31"/>
      <c r="W236" s="26">
        <f t="shared" si="136"/>
        <v>0</v>
      </c>
      <c r="X236" s="36">
        <f t="shared" si="124"/>
        <v>0</v>
      </c>
      <c r="Y236" s="37" t="str">
        <f t="shared" si="137"/>
        <v/>
      </c>
      <c r="Z236" s="38"/>
      <c r="AA236" s="38"/>
      <c r="AB236" s="38"/>
      <c r="AC236" s="38"/>
      <c r="AD236" s="157">
        <f t="shared" si="134"/>
        <v>0</v>
      </c>
      <c r="AE236" s="34"/>
      <c r="AF236" s="35"/>
      <c r="AG236" s="40"/>
      <c r="AH236" s="44"/>
      <c r="AI236" s="13"/>
      <c r="AJ236" s="46"/>
      <c r="AK236" s="45"/>
      <c r="AL236" s="23"/>
      <c r="AM236" s="138"/>
      <c r="AN236" s="24"/>
      <c r="AO236" s="50"/>
      <c r="AP236" s="54"/>
      <c r="AQ236" s="54"/>
      <c r="AR236" s="119"/>
      <c r="AS236" s="55"/>
      <c r="AT236" s="300"/>
      <c r="AU236" s="298">
        <f t="shared" si="133"/>
        <v>0</v>
      </c>
      <c r="AV236" s="357" t="str">
        <f t="shared" si="135"/>
        <v/>
      </c>
      <c r="BB236" s="14" t="s">
        <v>211</v>
      </c>
      <c r="BC236" t="str">
        <f t="shared" si="138"/>
        <v>25</v>
      </c>
      <c r="BD236">
        <f t="shared" si="131"/>
        <v>10</v>
      </c>
      <c r="BE236" s="98">
        <f t="shared" si="132"/>
        <v>29</v>
      </c>
      <c r="BF236" t="str">
        <f t="shared" si="139"/>
        <v>D</v>
      </c>
      <c r="BG236" t="str">
        <f t="shared" si="140"/>
        <v>https://www.coreplan.io/app/ddh1-drilling/speewah-mining-speewah-fluorite-project-wa/plods/1663-251029D</v>
      </c>
      <c r="BH236" t="str">
        <f t="shared" si="141"/>
        <v>2025-10</v>
      </c>
    </row>
    <row r="237" spans="1:60">
      <c r="A237" s="510" t="e">
        <f>VLOOKUP(F237,'Tenement Lookup'!A:BH,60,FALSE)</f>
        <v>#N/A</v>
      </c>
      <c r="C237" s="152" t="str">
        <f t="shared" si="142"/>
        <v/>
      </c>
      <c r="D237" s="1">
        <f t="shared" si="130"/>
        <v>45958.71</v>
      </c>
      <c r="E237" t="s">
        <v>172</v>
      </c>
      <c r="H237" s="4"/>
      <c r="I237" s="4"/>
      <c r="J237" s="4"/>
      <c r="K237" s="21"/>
      <c r="L237" s="28"/>
      <c r="M237" s="28"/>
      <c r="N237" s="30"/>
      <c r="O237" s="26"/>
      <c r="P237" s="31"/>
      <c r="Q237" s="21"/>
      <c r="R237" s="28"/>
      <c r="S237" s="22"/>
      <c r="T237" s="26"/>
      <c r="U237" s="26"/>
      <c r="V237" s="31"/>
      <c r="W237" s="26">
        <f t="shared" si="136"/>
        <v>0</v>
      </c>
      <c r="X237" s="36">
        <f t="shared" si="124"/>
        <v>0</v>
      </c>
      <c r="Y237" s="37" t="str">
        <f t="shared" si="137"/>
        <v/>
      </c>
      <c r="Z237" s="38"/>
      <c r="AA237" s="38"/>
      <c r="AB237" s="38"/>
      <c r="AC237" s="38"/>
      <c r="AD237" s="157">
        <f t="shared" si="134"/>
        <v>0</v>
      </c>
      <c r="AE237" s="34"/>
      <c r="AF237" s="35"/>
      <c r="AG237" s="40"/>
      <c r="AH237" s="44"/>
      <c r="AI237" s="13"/>
      <c r="AJ237" s="46"/>
      <c r="AK237" s="45"/>
      <c r="AL237" s="23"/>
      <c r="AM237" s="138"/>
      <c r="AN237" s="24"/>
      <c r="AO237" s="50"/>
      <c r="AP237" s="54"/>
      <c r="AQ237" s="54"/>
      <c r="AR237" s="119"/>
      <c r="AS237" s="55"/>
      <c r="AT237" s="300"/>
      <c r="AU237" s="298">
        <f t="shared" si="133"/>
        <v>0</v>
      </c>
      <c r="AV237" s="357" t="str">
        <f t="shared" si="135"/>
        <v/>
      </c>
      <c r="BB237" s="14" t="s">
        <v>211</v>
      </c>
      <c r="BC237" t="str">
        <f t="shared" si="138"/>
        <v>25</v>
      </c>
      <c r="BD237">
        <f t="shared" si="131"/>
        <v>10</v>
      </c>
      <c r="BE237" s="98">
        <f t="shared" si="132"/>
        <v>29</v>
      </c>
      <c r="BF237" t="str">
        <f t="shared" si="139"/>
        <v>N</v>
      </c>
      <c r="BG237" t="str">
        <f t="shared" si="140"/>
        <v>https://www.coreplan.io/app/ddh1-drilling/speewah-mining-speewah-fluorite-project-wa/plods/1663-251029N</v>
      </c>
      <c r="BH237" t="str">
        <f t="shared" si="141"/>
        <v>2025-10</v>
      </c>
    </row>
    <row r="238" spans="1:60">
      <c r="A238" s="510" t="e">
        <f>VLOOKUP(F238,'Tenement Lookup'!A:BH,60,FALSE)</f>
        <v>#N/A</v>
      </c>
      <c r="C238" s="152" t="str">
        <f t="shared" si="142"/>
        <v/>
      </c>
      <c r="D238" s="1">
        <f t="shared" si="130"/>
        <v>45959.21</v>
      </c>
      <c r="E238" t="s">
        <v>171</v>
      </c>
      <c r="H238" s="4"/>
      <c r="I238" s="4"/>
      <c r="J238" s="4"/>
      <c r="K238" s="21"/>
      <c r="L238" s="28"/>
      <c r="M238" s="28"/>
      <c r="N238" s="30"/>
      <c r="O238" s="26"/>
      <c r="P238" s="31"/>
      <c r="Q238" s="21"/>
      <c r="R238" s="28"/>
      <c r="S238" s="22"/>
      <c r="T238" s="26"/>
      <c r="U238" s="26"/>
      <c r="V238" s="31"/>
      <c r="W238" s="26">
        <f t="shared" si="136"/>
        <v>0</v>
      </c>
      <c r="X238" s="36">
        <f t="shared" si="124"/>
        <v>0</v>
      </c>
      <c r="Y238" s="37" t="str">
        <f t="shared" si="137"/>
        <v/>
      </c>
      <c r="Z238" s="38"/>
      <c r="AA238" s="38"/>
      <c r="AB238" s="38"/>
      <c r="AC238" s="38"/>
      <c r="AD238" s="157">
        <f t="shared" si="134"/>
        <v>0</v>
      </c>
      <c r="AE238" s="34"/>
      <c r="AF238" s="35"/>
      <c r="AG238" s="40"/>
      <c r="AH238" s="44"/>
      <c r="AI238" s="13"/>
      <c r="AJ238" s="46"/>
      <c r="AK238" s="45"/>
      <c r="AL238" s="23"/>
      <c r="AM238" s="138"/>
      <c r="AN238" s="24"/>
      <c r="AO238" s="50"/>
      <c r="AP238" s="54"/>
      <c r="AQ238" s="54"/>
      <c r="AR238" s="119"/>
      <c r="AS238" s="55"/>
      <c r="AT238" s="300"/>
      <c r="AU238" s="298">
        <f t="shared" si="133"/>
        <v>0</v>
      </c>
      <c r="AV238" s="357" t="str">
        <f t="shared" si="135"/>
        <v/>
      </c>
      <c r="BB238" s="14" t="s">
        <v>211</v>
      </c>
      <c r="BC238" t="str">
        <f t="shared" si="138"/>
        <v>25</v>
      </c>
      <c r="BD238">
        <f t="shared" si="131"/>
        <v>10</v>
      </c>
      <c r="BE238" s="98">
        <f t="shared" si="132"/>
        <v>30</v>
      </c>
      <c r="BF238" t="str">
        <f t="shared" si="139"/>
        <v>D</v>
      </c>
      <c r="BG238" t="str">
        <f t="shared" si="140"/>
        <v>https://www.coreplan.io/app/ddh1-drilling/speewah-mining-speewah-fluorite-project-wa/plods/1663-251030D</v>
      </c>
      <c r="BH238" t="str">
        <f t="shared" si="141"/>
        <v>2025-10</v>
      </c>
    </row>
    <row r="239" spans="1:60">
      <c r="A239" s="510" t="e">
        <f>VLOOKUP(F239,'Tenement Lookup'!A:BH,60,FALSE)</f>
        <v>#N/A</v>
      </c>
      <c r="C239" s="152" t="str">
        <f t="shared" si="142"/>
        <v/>
      </c>
      <c r="D239" s="1">
        <f t="shared" si="130"/>
        <v>45959.71</v>
      </c>
      <c r="E239" t="s">
        <v>172</v>
      </c>
      <c r="H239" s="4"/>
      <c r="I239" s="4"/>
      <c r="J239" s="4"/>
      <c r="K239" s="21"/>
      <c r="L239" s="28"/>
      <c r="M239" s="28"/>
      <c r="N239" s="30"/>
      <c r="O239" s="26"/>
      <c r="P239" s="31"/>
      <c r="Q239" s="21"/>
      <c r="R239" s="28"/>
      <c r="S239" s="22"/>
      <c r="T239" s="26"/>
      <c r="U239" s="26"/>
      <c r="V239" s="31"/>
      <c r="W239" s="26">
        <f t="shared" si="136"/>
        <v>0</v>
      </c>
      <c r="X239" s="36">
        <f t="shared" si="124"/>
        <v>0</v>
      </c>
      <c r="Y239" s="37" t="str">
        <f t="shared" si="137"/>
        <v/>
      </c>
      <c r="Z239" s="38"/>
      <c r="AA239" s="38"/>
      <c r="AB239" s="38"/>
      <c r="AC239" s="38"/>
      <c r="AD239" s="157">
        <f t="shared" si="134"/>
        <v>0</v>
      </c>
      <c r="AE239" s="34"/>
      <c r="AF239" s="35"/>
      <c r="AG239" s="40"/>
      <c r="AH239" s="44"/>
      <c r="AI239" s="13"/>
      <c r="AJ239" s="46"/>
      <c r="AK239" s="45"/>
      <c r="AL239" s="23"/>
      <c r="AM239" s="138"/>
      <c r="AN239" s="24"/>
      <c r="AO239" s="50"/>
      <c r="AP239" s="54"/>
      <c r="AQ239" s="54"/>
      <c r="AR239" s="119"/>
      <c r="AS239" s="55"/>
      <c r="AT239" s="300"/>
      <c r="AU239" s="298">
        <f t="shared" si="133"/>
        <v>0</v>
      </c>
      <c r="AV239" s="357" t="str">
        <f t="shared" si="135"/>
        <v/>
      </c>
      <c r="BB239" s="14" t="s">
        <v>211</v>
      </c>
      <c r="BC239" t="str">
        <f t="shared" si="138"/>
        <v>25</v>
      </c>
      <c r="BD239">
        <f t="shared" si="131"/>
        <v>10</v>
      </c>
      <c r="BE239" s="98">
        <f t="shared" si="132"/>
        <v>30</v>
      </c>
      <c r="BF239" t="str">
        <f t="shared" si="139"/>
        <v>N</v>
      </c>
      <c r="BG239" t="str">
        <f t="shared" si="140"/>
        <v>https://www.coreplan.io/app/ddh1-drilling/speewah-mining-speewah-fluorite-project-wa/plods/1663-251030N</v>
      </c>
      <c r="BH239" t="str">
        <f t="shared" si="141"/>
        <v>2025-10</v>
      </c>
    </row>
    <row r="240" spans="1:60">
      <c r="A240" s="510" t="e">
        <f>VLOOKUP(F240,'Tenement Lookup'!A:BH,60,FALSE)</f>
        <v>#N/A</v>
      </c>
      <c r="C240" s="152" t="str">
        <f t="shared" si="142"/>
        <v/>
      </c>
      <c r="D240" s="1">
        <f t="shared" si="130"/>
        <v>45960.21</v>
      </c>
      <c r="E240" t="s">
        <v>171</v>
      </c>
      <c r="H240" s="4"/>
      <c r="I240" s="4"/>
      <c r="J240" s="4"/>
      <c r="K240" s="21"/>
      <c r="L240" s="28"/>
      <c r="M240" s="28"/>
      <c r="N240" s="30"/>
      <c r="O240" s="26"/>
      <c r="P240" s="31"/>
      <c r="Q240" s="21"/>
      <c r="R240" s="28"/>
      <c r="S240" s="22"/>
      <c r="T240" s="26"/>
      <c r="U240" s="26"/>
      <c r="V240" s="31"/>
      <c r="W240" s="26">
        <f t="shared" si="136"/>
        <v>0</v>
      </c>
      <c r="X240" s="36">
        <f t="shared" si="124"/>
        <v>0</v>
      </c>
      <c r="Y240" s="37" t="str">
        <f t="shared" si="137"/>
        <v/>
      </c>
      <c r="Z240" s="38"/>
      <c r="AA240" s="38"/>
      <c r="AB240" s="38"/>
      <c r="AC240" s="38"/>
      <c r="AD240" s="157">
        <f t="shared" si="134"/>
        <v>0</v>
      </c>
      <c r="AE240" s="34"/>
      <c r="AF240" s="35"/>
      <c r="AG240" s="40"/>
      <c r="AH240" s="44"/>
      <c r="AI240" s="13"/>
      <c r="AJ240" s="46"/>
      <c r="AK240" s="45"/>
      <c r="AL240" s="23"/>
      <c r="AM240" s="138"/>
      <c r="AN240" s="24"/>
      <c r="AO240" s="50"/>
      <c r="AP240" s="54"/>
      <c r="AQ240" s="54"/>
      <c r="AR240" s="119"/>
      <c r="AS240" s="55"/>
      <c r="AT240" s="300"/>
      <c r="AU240" s="298">
        <f t="shared" si="133"/>
        <v>0</v>
      </c>
      <c r="AV240" s="357" t="str">
        <f t="shared" si="135"/>
        <v/>
      </c>
      <c r="BB240" s="14" t="s">
        <v>211</v>
      </c>
      <c r="BC240" t="str">
        <f t="shared" si="138"/>
        <v>25</v>
      </c>
      <c r="BD240" t="e">
        <f t="shared" si="131"/>
        <v>#VALUE!</v>
      </c>
      <c r="BE240" s="98" t="e">
        <f t="shared" si="132"/>
        <v>#VALUE!</v>
      </c>
      <c r="BF240" t="str">
        <f t="shared" si="139"/>
        <v>D</v>
      </c>
      <c r="BG240" t="e">
        <f t="shared" si="140"/>
        <v>#VALUE!</v>
      </c>
      <c r="BH240" t="str">
        <f t="shared" si="141"/>
        <v>2025-10</v>
      </c>
    </row>
    <row r="241" spans="1:92">
      <c r="A241" s="510" t="e">
        <f>VLOOKUP(F241,'Tenement Lookup'!A:BH,60,FALSE)</f>
        <v>#N/A</v>
      </c>
      <c r="C241" s="152" t="str">
        <f t="shared" si="142"/>
        <v/>
      </c>
      <c r="D241" s="1">
        <f t="shared" si="130"/>
        <v>45960.71</v>
      </c>
      <c r="E241" t="s">
        <v>172</v>
      </c>
      <c r="H241" s="4"/>
      <c r="I241" s="4"/>
      <c r="J241" s="4"/>
      <c r="K241" s="21"/>
      <c r="L241" s="28"/>
      <c r="M241" s="28"/>
      <c r="N241" s="30"/>
      <c r="O241" s="26"/>
      <c r="P241" s="31"/>
      <c r="Q241" s="21"/>
      <c r="R241" s="28"/>
      <c r="S241" s="22"/>
      <c r="T241" s="26"/>
      <c r="U241" s="26"/>
      <c r="V241" s="31"/>
      <c r="W241" s="26">
        <f t="shared" si="136"/>
        <v>0</v>
      </c>
      <c r="X241" s="36">
        <f t="shared" si="124"/>
        <v>0</v>
      </c>
      <c r="Y241" s="37" t="str">
        <f t="shared" si="137"/>
        <v/>
      </c>
      <c r="Z241" s="38"/>
      <c r="AA241" s="38"/>
      <c r="AB241" s="38"/>
      <c r="AC241" s="38"/>
      <c r="AD241" s="157">
        <f t="shared" si="134"/>
        <v>0</v>
      </c>
      <c r="AE241" s="34"/>
      <c r="AF241" s="35"/>
      <c r="AG241" s="40"/>
      <c r="AH241" s="44"/>
      <c r="AI241" s="13"/>
      <c r="AJ241" s="46"/>
      <c r="AK241" s="45"/>
      <c r="AL241" s="23"/>
      <c r="AM241" s="138"/>
      <c r="AN241" s="24"/>
      <c r="AO241" s="50"/>
      <c r="AP241" s="54"/>
      <c r="AQ241" s="54"/>
      <c r="AR241" s="119"/>
      <c r="AS241" s="55"/>
      <c r="AT241" s="300"/>
      <c r="AU241" s="298">
        <f t="shared" si="133"/>
        <v>0</v>
      </c>
      <c r="AV241" s="357" t="str">
        <f t="shared" si="135"/>
        <v/>
      </c>
      <c r="BB241" s="14" t="s">
        <v>211</v>
      </c>
      <c r="BC241" t="str">
        <f t="shared" si="138"/>
        <v>25</v>
      </c>
      <c r="BD241" t="str">
        <f t="shared" si="131"/>
        <v>01</v>
      </c>
      <c r="BE241" s="98" t="str">
        <f t="shared" si="132"/>
        <v>00</v>
      </c>
      <c r="BF241" t="str">
        <f t="shared" si="139"/>
        <v>N</v>
      </c>
      <c r="BG241" t="str">
        <f t="shared" si="140"/>
        <v>https://www.coreplan.io/app/ddh1-drilling/speewah-mining-speewah-fluorite-project-wa/plods/1663-250100N</v>
      </c>
      <c r="BH241" t="str">
        <f t="shared" si="141"/>
        <v>2025-10</v>
      </c>
    </row>
    <row r="242" spans="1:92">
      <c r="A242" s="510" t="e">
        <f>VLOOKUP(F242,'Tenement Lookup'!A:BH,60,FALSE)</f>
        <v>#N/A</v>
      </c>
      <c r="C242" s="152" t="str">
        <f t="shared" si="142"/>
        <v/>
      </c>
      <c r="D242" s="12" t="s">
        <v>190</v>
      </c>
      <c r="E242" s="12" t="s">
        <v>190</v>
      </c>
      <c r="F242" s="12" t="s">
        <v>190</v>
      </c>
      <c r="G242" s="12" t="s">
        <v>190</v>
      </c>
      <c r="H242" s="13" t="s">
        <v>190</v>
      </c>
      <c r="I242" s="13" t="s">
        <v>190</v>
      </c>
      <c r="J242" s="13" t="s">
        <v>190</v>
      </c>
      <c r="K242" s="29" t="s">
        <v>190</v>
      </c>
      <c r="L242" s="29" t="s">
        <v>190</v>
      </c>
      <c r="M242" s="29" t="s">
        <v>190</v>
      </c>
      <c r="N242" s="32" t="s">
        <v>190</v>
      </c>
      <c r="O242" s="27" t="s">
        <v>190</v>
      </c>
      <c r="P242" s="33" t="s">
        <v>190</v>
      </c>
      <c r="Q242" s="34" t="s">
        <v>190</v>
      </c>
      <c r="R242" s="29" t="s">
        <v>190</v>
      </c>
      <c r="S242" s="35" t="s">
        <v>190</v>
      </c>
      <c r="T242" s="27" t="s">
        <v>190</v>
      </c>
      <c r="U242" s="27" t="s">
        <v>190</v>
      </c>
      <c r="V242" s="27" t="s">
        <v>190</v>
      </c>
      <c r="W242" s="26" t="str">
        <f t="shared" si="136"/>
        <v/>
      </c>
      <c r="X242" s="36" t="str">
        <f t="shared" si="124"/>
        <v/>
      </c>
      <c r="Y242" s="37" t="e">
        <f t="shared" si="137"/>
        <v>#VALUE!</v>
      </c>
      <c r="Z242" s="39"/>
      <c r="AA242" s="39" t="s">
        <v>190</v>
      </c>
      <c r="AB242" s="39" t="s">
        <v>190</v>
      </c>
      <c r="AC242" s="39" t="s">
        <v>190</v>
      </c>
      <c r="AD242" s="157">
        <f t="shared" si="134"/>
        <v>0</v>
      </c>
      <c r="AE242" s="12" t="s">
        <v>190</v>
      </c>
      <c r="AF242" s="12" t="s">
        <v>190</v>
      </c>
      <c r="AG242" s="41" t="s">
        <v>190</v>
      </c>
      <c r="AH242" s="13" t="s">
        <v>190</v>
      </c>
      <c r="AI242" s="13" t="s">
        <v>190</v>
      </c>
      <c r="AJ242" s="47" t="s">
        <v>190</v>
      </c>
      <c r="AK242" s="48" t="s">
        <v>190</v>
      </c>
      <c r="AL242" s="49" t="s">
        <v>190</v>
      </c>
      <c r="AM242" s="139"/>
      <c r="AN242" s="25" t="s">
        <v>190</v>
      </c>
      <c r="AO242" s="51" t="s">
        <v>190</v>
      </c>
      <c r="AP242" s="55" t="s">
        <v>190</v>
      </c>
      <c r="AQ242" s="55"/>
      <c r="AR242" s="119" t="s">
        <v>190</v>
      </c>
      <c r="AS242" s="55" t="s">
        <v>190</v>
      </c>
      <c r="AT242" s="300"/>
      <c r="AU242" s="298" t="e">
        <f t="shared" si="133"/>
        <v>#VALUE!</v>
      </c>
      <c r="AV242" s="357" t="str">
        <f t="shared" si="135"/>
        <v/>
      </c>
      <c r="AW242" s="12" t="s">
        <v>190</v>
      </c>
      <c r="AX242" s="12" t="s">
        <v>190</v>
      </c>
      <c r="AY242" s="12" t="s">
        <v>190</v>
      </c>
      <c r="AZ242" s="12" t="s">
        <v>190</v>
      </c>
      <c r="BA242" s="12" t="s">
        <v>190</v>
      </c>
      <c r="BB242" s="12" t="s">
        <v>190</v>
      </c>
      <c r="BC242" s="12" t="s">
        <v>190</v>
      </c>
      <c r="BD242" s="12" t="s">
        <v>190</v>
      </c>
      <c r="BE242" s="12" t="s">
        <v>190</v>
      </c>
      <c r="BF242" s="12" t="s">
        <v>190</v>
      </c>
      <c r="BG242" s="12" t="s">
        <v>190</v>
      </c>
      <c r="BH242" s="12" t="s">
        <v>190</v>
      </c>
      <c r="BI242" s="12" t="s">
        <v>190</v>
      </c>
      <c r="BJ242" s="12" t="s">
        <v>190</v>
      </c>
      <c r="BK242" s="12" t="s">
        <v>190</v>
      </c>
      <c r="BL242" s="12" t="s">
        <v>190</v>
      </c>
      <c r="BM242" s="12" t="s">
        <v>190</v>
      </c>
      <c r="BN242" s="12" t="s">
        <v>190</v>
      </c>
      <c r="BO242" s="12" t="s">
        <v>190</v>
      </c>
      <c r="BP242" s="12" t="s">
        <v>190</v>
      </c>
      <c r="BQ242" s="12" t="s">
        <v>190</v>
      </c>
      <c r="BR242" s="12" t="s">
        <v>190</v>
      </c>
      <c r="BS242" s="12" t="s">
        <v>190</v>
      </c>
      <c r="BT242" s="12" t="s">
        <v>190</v>
      </c>
      <c r="BU242" s="12" t="s">
        <v>190</v>
      </c>
      <c r="BV242" s="12" t="s">
        <v>190</v>
      </c>
      <c r="BW242" s="12" t="s">
        <v>190</v>
      </c>
      <c r="BX242" s="12" t="s">
        <v>190</v>
      </c>
      <c r="BY242" s="12" t="s">
        <v>190</v>
      </c>
      <c r="BZ242" s="12" t="s">
        <v>190</v>
      </c>
      <c r="CA242" s="12" t="s">
        <v>190</v>
      </c>
      <c r="CB242" s="12" t="s">
        <v>190</v>
      </c>
      <c r="CC242" s="12" t="s">
        <v>190</v>
      </c>
      <c r="CD242" s="12" t="s">
        <v>190</v>
      </c>
      <c r="CE242" s="12" t="s">
        <v>190</v>
      </c>
      <c r="CF242" s="12" t="s">
        <v>190</v>
      </c>
      <c r="CG242" s="12" t="s">
        <v>190</v>
      </c>
      <c r="CH242" s="12" t="s">
        <v>190</v>
      </c>
      <c r="CI242" s="12" t="s">
        <v>190</v>
      </c>
      <c r="CJ242" s="12" t="s">
        <v>190</v>
      </c>
      <c r="CK242" s="12" t="s">
        <v>190</v>
      </c>
      <c r="CL242" s="12" t="s">
        <v>190</v>
      </c>
      <c r="CM242" s="12" t="s">
        <v>190</v>
      </c>
      <c r="CN242" s="12" t="s">
        <v>190</v>
      </c>
    </row>
  </sheetData>
  <autoFilter ref="C2:CN242" xr:uid="{E1705D3F-9174-496A-A7A0-40357341E8A2}"/>
  <phoneticPr fontId="3" type="noConversion"/>
  <conditionalFormatting sqref="A6:A242">
    <cfRule type="expression" dxfId="103" priority="1">
      <formula>$D196=TODAY()-1</formula>
    </cfRule>
  </conditionalFormatting>
  <conditionalFormatting sqref="AA6:AZ8 D6:W26 AS6:AS67 Z6:Z241 X6:Y242 BF7:BH7 BF8:AAI241 AA9:AT10 AW9:AY190 AU9:AV242 AZ10 AZ11:BA13 AA11:AC241 AD11:AD242 AZ14 AZ15:BA23 AZ24:AZ52 H27:W45 D27:G67 H46:L67 M46:V190 W46:W242 AZ53:BA54 AZ55 AZ56:BA59 AZ60:AZ61 AZ62:BA101 D68:L113 AZ102:AZ103 AZ104:BA105 AZ106 AZ107:BA190 D114:F114 H114:L114 D115:L190 D191:V241 AW191:BA241">
    <cfRule type="expression" dxfId="102" priority="8">
      <formula>$C6=TODAY()</formula>
    </cfRule>
  </conditionalFormatting>
  <conditionalFormatting sqref="AE11:AT241">
    <cfRule type="expression" dxfId="101" priority="5">
      <formula>$C11=TODAY()</formula>
    </cfRule>
  </conditionalFormatting>
  <conditionalFormatting sqref="AN6:AN190">
    <cfRule type="expression" dxfId="100" priority="15" stopIfTrue="1">
      <formula>ISBLANK(AN6)</formula>
    </cfRule>
    <cfRule type="cellIs" dxfId="99" priority="16" operator="equal">
      <formula>AN6&gt;12</formula>
    </cfRule>
    <cfRule type="cellIs" dxfId="98" priority="17" operator="equal">
      <formula>AN6=12</formula>
    </cfRule>
  </conditionalFormatting>
  <conditionalFormatting sqref="AS2:AT3">
    <cfRule type="expression" dxfId="97" priority="6">
      <formula>$AS2&lt;&gt;$AT2</formula>
    </cfRule>
  </conditionalFormatting>
  <conditionalFormatting sqref="AS6:AT1048576">
    <cfRule type="expression" dxfId="96" priority="4">
      <formula>$AS6&lt;&gt;$AT6</formula>
    </cfRule>
  </conditionalFormatting>
  <conditionalFormatting sqref="AX6:AX190">
    <cfRule type="expression" dxfId="95" priority="18">
      <formula>TEXT(D6,"yyyy-mm")&lt;&gt;TEXT(D7,"yyyy-mm")</formula>
    </cfRule>
  </conditionalFormatting>
  <conditionalFormatting sqref="AZ9:BA9">
    <cfRule type="expression" dxfId="94" priority="14">
      <formula>$C9=TODAY()</formula>
    </cfRule>
  </conditionalFormatting>
  <conditionalFormatting sqref="BB7:BE241">
    <cfRule type="expression" dxfId="93" priority="7">
      <formula>$C7=TODAY()</formula>
    </cfRule>
  </conditionalFormatting>
  <conditionalFormatting sqref="BB6:BH6">
    <cfRule type="expression" dxfId="92" priority="10">
      <formula>$C6=TODAY()</formula>
    </cfRule>
  </conditionalFormatting>
  <hyperlinks>
    <hyperlink ref="BB8:BB190" r:id="rId1" display="https://www.coreplan.io/app/ddh1-drilling/speewah-mining-speewah-fluorite-project-wa/plods/1663-" xr:uid="{74293CF6-E469-46A9-BEB1-35EC3339C0D8}"/>
    <hyperlink ref="BB6" r:id="rId2" xr:uid="{2CA75581-EF93-4360-8306-5B6D3A919F88}"/>
    <hyperlink ref="BB7" r:id="rId3" xr:uid="{A042A4E1-4C9C-4137-9FCA-F700C87A4729}"/>
    <hyperlink ref="BB191" r:id="rId4" xr:uid="{E0C66062-FD19-4F1C-9D15-A31FB82373E1}"/>
    <hyperlink ref="BB192" r:id="rId5" xr:uid="{3AFD6BEC-8B47-471F-A39B-A78FC84D9881}"/>
    <hyperlink ref="BB193" r:id="rId6" xr:uid="{518CAF27-A45F-4EE0-9BAE-733BA090CC6F}"/>
    <hyperlink ref="BB194" r:id="rId7" xr:uid="{A29ABCAB-F594-4EC3-8D5D-3CC8EC9C3939}"/>
    <hyperlink ref="BB195" r:id="rId8" xr:uid="{DD96DCB6-A050-4395-B07C-5DAB4FAB2520}"/>
    <hyperlink ref="BB196" r:id="rId9" xr:uid="{57D741D5-D241-4F44-808D-A2761ACEDE11}"/>
    <hyperlink ref="BB197" r:id="rId10" xr:uid="{9FA937B6-8595-450F-B864-4DB4415159D1}"/>
    <hyperlink ref="BB198" r:id="rId11" xr:uid="{9044CB23-C978-4546-BE95-954F25DC7125}"/>
    <hyperlink ref="BB199" r:id="rId12" xr:uid="{C42F0135-1A1D-4FF3-8E34-960FB7B19459}"/>
    <hyperlink ref="BB200" r:id="rId13" xr:uid="{D09BA77A-FD0E-45B3-BF85-1A5C884F6144}"/>
    <hyperlink ref="BB201" r:id="rId14" xr:uid="{60D224D0-F999-4DE5-9DD3-7E55B1F8F71C}"/>
    <hyperlink ref="BB202" r:id="rId15" xr:uid="{177A8E9E-3C94-47E5-B775-DE223E9844A5}"/>
    <hyperlink ref="BB203" r:id="rId16" xr:uid="{062CCD10-557C-43BF-BFB9-45BEC42C4D7E}"/>
    <hyperlink ref="BB204" r:id="rId17" xr:uid="{F836BD9C-179F-4BA7-8E30-4DF4416C6199}"/>
    <hyperlink ref="BB205" r:id="rId18" xr:uid="{75C6D0E8-2A2C-455C-9C37-069D7DDB1B6A}"/>
    <hyperlink ref="BB206" r:id="rId19" xr:uid="{B810AB0D-D935-4F16-AA17-1589B275FB53}"/>
    <hyperlink ref="BB207" r:id="rId20" xr:uid="{451C0206-2738-4363-8128-FABD69F2A54C}"/>
    <hyperlink ref="BB208" r:id="rId21" xr:uid="{21A0B1EE-B3FC-4EFA-88DB-D79ED785958E}"/>
    <hyperlink ref="BB209" r:id="rId22" xr:uid="{7C000983-679C-42F3-AB2A-4658DF4BDB9B}"/>
    <hyperlink ref="BB210" r:id="rId23" xr:uid="{AE2110CC-DE25-4B41-8905-92A078407110}"/>
    <hyperlink ref="BB211" r:id="rId24" xr:uid="{28D4344B-3156-4401-8822-B4912EC705EB}"/>
    <hyperlink ref="BB212" r:id="rId25" xr:uid="{4FA08E7A-89AD-45E3-9E75-2D40F73F2A23}"/>
    <hyperlink ref="BB213" r:id="rId26" xr:uid="{0E7019C6-E0D6-421F-8132-449A29D95DC9}"/>
    <hyperlink ref="BB214" r:id="rId27" xr:uid="{B13B115C-5D4D-43A7-AF38-F092C2F66655}"/>
    <hyperlink ref="BB215" r:id="rId28" xr:uid="{C6338F60-5816-4AA4-8E3B-75D3B61AC999}"/>
    <hyperlink ref="BB216" r:id="rId29" xr:uid="{A7CC9B67-7C1F-454F-B8D0-5D272EA2644B}"/>
    <hyperlink ref="BB217" r:id="rId30" xr:uid="{9BF042C2-A640-44AD-8245-DD96DD9EAEE2}"/>
    <hyperlink ref="BB218" r:id="rId31" xr:uid="{07BBA15A-CA32-46A3-9DCB-2883C2E89C74}"/>
    <hyperlink ref="BB219" r:id="rId32" xr:uid="{EEB4E5C2-DEC4-4719-988E-5054B848B742}"/>
    <hyperlink ref="BB220" r:id="rId33" xr:uid="{A8B84537-DCE5-4EA2-8910-64AD2C2D9F3B}"/>
    <hyperlink ref="BB221" r:id="rId34" xr:uid="{8B41B30D-756D-46CD-A0CB-3B8EEE932EB1}"/>
    <hyperlink ref="BB222" r:id="rId35" xr:uid="{90EA80A0-9589-4AF5-A45B-FDB23E18D205}"/>
    <hyperlink ref="BB223" r:id="rId36" xr:uid="{9D352B90-EB22-414B-A949-41C6F33EE08A}"/>
    <hyperlink ref="BB224" r:id="rId37" xr:uid="{276AC791-E87E-4D1B-B936-961FD664D5A9}"/>
    <hyperlink ref="BB225" r:id="rId38" xr:uid="{3D4DA4F6-3301-49A6-8B7D-29B07916E5B2}"/>
    <hyperlink ref="BB226" r:id="rId39" xr:uid="{0FD9C4FB-B9D3-47D2-A07E-DAD25F05578C}"/>
    <hyperlink ref="BB227" r:id="rId40" xr:uid="{73BE2A45-C7CE-4A55-8CBE-E3FB0334C8EE}"/>
    <hyperlink ref="BB228" r:id="rId41" xr:uid="{85466894-2853-4AA7-85F8-119A1FFA23DF}"/>
    <hyperlink ref="BB229" r:id="rId42" xr:uid="{57479919-183A-4A0E-8424-D8FC852C6BD7}"/>
    <hyperlink ref="BB230" r:id="rId43" xr:uid="{E0523F7F-240E-4F69-9005-22ABF23292D2}"/>
    <hyperlink ref="BB231" r:id="rId44" xr:uid="{FB27F128-7761-44E3-94F1-D00723AE9FA8}"/>
    <hyperlink ref="BB232" r:id="rId45" xr:uid="{7E6D2A8B-9B3F-4104-94E3-09DDE0CC5FC3}"/>
    <hyperlink ref="BB233" r:id="rId46" xr:uid="{02E48A3A-61C8-4A8A-96D2-0346A5CD6459}"/>
    <hyperlink ref="BB234" r:id="rId47" xr:uid="{52606A1F-47B0-42DC-B06B-F74F3D9B4641}"/>
    <hyperlink ref="BB235" r:id="rId48" xr:uid="{17F2474A-5B94-41E4-8BAB-4226211A74B6}"/>
    <hyperlink ref="BB236" r:id="rId49" xr:uid="{36A1BAD8-84C4-40BF-A23C-27D2BDB83435}"/>
    <hyperlink ref="BB237" r:id="rId50" xr:uid="{4317AD14-4906-42C2-96A2-67214E03BD3F}"/>
    <hyperlink ref="BB238" r:id="rId51" xr:uid="{EF8BB70D-5B3F-46F4-9127-0A21BB00F2D7}"/>
    <hyperlink ref="BB239" r:id="rId52" xr:uid="{6BB1DF3A-949B-4ADA-AF92-F108E6992F2F}"/>
    <hyperlink ref="BB240" r:id="rId53" xr:uid="{04265142-573D-4502-BBFD-80B3AF0D5B17}"/>
    <hyperlink ref="BB241" r:id="rId54" xr:uid="{E93E7749-E70B-4CCE-9BF6-05937EE8F363}"/>
  </hyperlinks>
  <pageMargins left="0.7" right="0.7" top="0.75" bottom="0.75" header="0.3" footer="0.3"/>
  <pageSetup paperSize="9" orientation="portrait" horizontalDpi="4294967293" r:id="rId55"/>
  <legacyDrawing r:id="rId5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26251-3D9F-4EED-8355-B4F229A4EE20}">
  <dimension ref="A2:B29"/>
  <sheetViews>
    <sheetView workbookViewId="0">
      <selection activeCell="E7" sqref="E7"/>
    </sheetView>
  </sheetViews>
  <sheetFormatPr defaultRowHeight="15"/>
  <cols>
    <col min="1" max="1" width="16.140625" bestFit="1" customWidth="1"/>
    <col min="2" max="2" width="18.140625" bestFit="1" customWidth="1"/>
    <col min="3" max="39" width="15.5703125" bestFit="1" customWidth="1"/>
    <col min="40" max="40" width="7.28515625" bestFit="1" customWidth="1"/>
    <col min="41" max="41" width="11.28515625" bestFit="1" customWidth="1"/>
  </cols>
  <sheetData>
    <row r="2" spans="1:2">
      <c r="A2" t="s">
        <v>1418</v>
      </c>
    </row>
    <row r="3" spans="1:2">
      <c r="A3" t="s">
        <v>1417</v>
      </c>
    </row>
    <row r="4" spans="1:2">
      <c r="A4" s="149" t="s">
        <v>4</v>
      </c>
      <c r="B4" t="s">
        <v>5</v>
      </c>
    </row>
    <row r="5" spans="1:2">
      <c r="A5" s="150" t="s">
        <v>1344</v>
      </c>
      <c r="B5">
        <v>201985.62999999998</v>
      </c>
    </row>
    <row r="6" spans="1:2">
      <c r="A6" s="386" t="s">
        <v>1399</v>
      </c>
      <c r="B6">
        <v>6631</v>
      </c>
    </row>
    <row r="7" spans="1:2">
      <c r="A7" s="386" t="s">
        <v>1400</v>
      </c>
      <c r="B7">
        <v>11719.27</v>
      </c>
    </row>
    <row r="8" spans="1:2">
      <c r="A8" s="386" t="s">
        <v>1401</v>
      </c>
      <c r="B8">
        <v>8832.93</v>
      </c>
    </row>
    <row r="9" spans="1:2">
      <c r="A9" s="386" t="s">
        <v>1402</v>
      </c>
      <c r="B9">
        <v>13499.67</v>
      </c>
    </row>
    <row r="10" spans="1:2">
      <c r="A10" s="386" t="s">
        <v>1403</v>
      </c>
      <c r="B10">
        <v>12691.119999999999</v>
      </c>
    </row>
    <row r="11" spans="1:2">
      <c r="A11" s="386" t="s">
        <v>1404</v>
      </c>
      <c r="B11">
        <v>12104.720000000001</v>
      </c>
    </row>
    <row r="12" spans="1:2">
      <c r="A12" s="386" t="s">
        <v>1405</v>
      </c>
      <c r="B12">
        <v>12466.16</v>
      </c>
    </row>
    <row r="13" spans="1:2">
      <c r="A13" s="386" t="s">
        <v>1406</v>
      </c>
      <c r="B13">
        <v>12530.86</v>
      </c>
    </row>
    <row r="14" spans="1:2">
      <c r="A14" s="386" t="s">
        <v>1407</v>
      </c>
      <c r="B14">
        <v>14383.55</v>
      </c>
    </row>
    <row r="15" spans="1:2">
      <c r="A15" s="386" t="s">
        <v>1408</v>
      </c>
      <c r="B15">
        <v>12976.119999999999</v>
      </c>
    </row>
    <row r="16" spans="1:2">
      <c r="A16" s="386" t="s">
        <v>1409</v>
      </c>
      <c r="B16">
        <v>12660.43</v>
      </c>
    </row>
    <row r="17" spans="1:2">
      <c r="A17" s="386" t="s">
        <v>1410</v>
      </c>
      <c r="B17">
        <v>12701.55</v>
      </c>
    </row>
    <row r="18" spans="1:2">
      <c r="A18" s="386" t="s">
        <v>1411</v>
      </c>
      <c r="B18">
        <v>13260.43</v>
      </c>
    </row>
    <row r="19" spans="1:2">
      <c r="A19" s="386" t="s">
        <v>1412</v>
      </c>
      <c r="B19">
        <v>12349.05</v>
      </c>
    </row>
    <row r="20" spans="1:2">
      <c r="A20" s="386" t="s">
        <v>1413</v>
      </c>
      <c r="B20">
        <v>12564.720000000001</v>
      </c>
    </row>
    <row r="21" spans="1:2">
      <c r="A21" s="386" t="s">
        <v>1414</v>
      </c>
      <c r="B21">
        <v>11654.05</v>
      </c>
    </row>
    <row r="22" spans="1:2">
      <c r="A22" s="386" t="s">
        <v>1415</v>
      </c>
      <c r="B22">
        <v>8960</v>
      </c>
    </row>
    <row r="23" spans="1:2">
      <c r="A23" s="150" t="s">
        <v>1396</v>
      </c>
      <c r="B23">
        <v>3780</v>
      </c>
    </row>
    <row r="24" spans="1:2">
      <c r="A24" s="386" t="s">
        <v>1397</v>
      </c>
      <c r="B24">
        <v>2520</v>
      </c>
    </row>
    <row r="25" spans="1:2">
      <c r="A25" s="386" t="s">
        <v>1398</v>
      </c>
      <c r="B25">
        <v>1260</v>
      </c>
    </row>
    <row r="26" spans="1:2">
      <c r="A26" s="150" t="s">
        <v>13</v>
      </c>
      <c r="B26">
        <v>0</v>
      </c>
    </row>
    <row r="27" spans="1:2">
      <c r="A27" s="386" t="s">
        <v>1416</v>
      </c>
    </row>
    <row r="28" spans="1:2">
      <c r="A28" s="386" t="s">
        <v>1399</v>
      </c>
      <c r="B28">
        <v>0</v>
      </c>
    </row>
    <row r="29" spans="1:2">
      <c r="A29" s="150" t="s">
        <v>15</v>
      </c>
      <c r="B29">
        <v>205765.62999999998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9288F-3030-4EED-8527-474BEFB44057}">
  <dimension ref="A1:D681"/>
  <sheetViews>
    <sheetView topLeftCell="A507" workbookViewId="0">
      <selection activeCell="H504" sqref="H504"/>
    </sheetView>
  </sheetViews>
  <sheetFormatPr defaultRowHeight="15"/>
  <cols>
    <col min="1" max="1" width="12.28515625" bestFit="1" customWidth="1"/>
    <col min="2" max="2" width="13.42578125" style="1" bestFit="1" customWidth="1"/>
    <col min="3" max="3" width="13.42578125" style="514" bestFit="1" customWidth="1"/>
    <col min="7" max="7" width="12.28515625" bestFit="1" customWidth="1"/>
    <col min="8" max="9" width="11.28515625" bestFit="1" customWidth="1"/>
    <col min="10" max="10" width="6.85546875" bestFit="1" customWidth="1"/>
  </cols>
  <sheetData>
    <row r="1" spans="1:4" ht="18" customHeight="1" thickBot="1">
      <c r="A1" s="194" t="s">
        <v>1395</v>
      </c>
      <c r="B1" s="511" t="s">
        <v>125</v>
      </c>
      <c r="C1" s="512" t="s">
        <v>165</v>
      </c>
      <c r="D1" t="s">
        <v>1394</v>
      </c>
    </row>
    <row r="2" spans="1:4">
      <c r="A2" s="510" t="s">
        <v>1303</v>
      </c>
      <c r="B2" s="1">
        <v>45826.21</v>
      </c>
      <c r="C2" s="513">
        <v>7425.14</v>
      </c>
      <c r="D2" t="s">
        <v>1392</v>
      </c>
    </row>
    <row r="3" spans="1:4">
      <c r="A3" s="510" t="s">
        <v>1303</v>
      </c>
      <c r="B3" s="1">
        <v>45826.71</v>
      </c>
      <c r="C3" s="513">
        <v>6098.98</v>
      </c>
      <c r="D3" t="s">
        <v>1392</v>
      </c>
    </row>
    <row r="4" spans="1:4">
      <c r="A4" s="510" t="s">
        <v>1303</v>
      </c>
      <c r="B4" s="1">
        <v>45827.21</v>
      </c>
      <c r="C4" s="513">
        <v>8376.43</v>
      </c>
      <c r="D4" t="s">
        <v>1392</v>
      </c>
    </row>
    <row r="5" spans="1:4">
      <c r="A5" s="510" t="s">
        <v>1303</v>
      </c>
      <c r="B5" s="1">
        <v>45827.71</v>
      </c>
      <c r="C5" s="513">
        <v>7243.5</v>
      </c>
      <c r="D5" t="s">
        <v>1392</v>
      </c>
    </row>
    <row r="6" spans="1:4">
      <c r="A6" s="510" t="s">
        <v>1303</v>
      </c>
      <c r="B6" s="1">
        <v>45828.21</v>
      </c>
      <c r="C6" s="513">
        <v>8300.7199999999993</v>
      </c>
      <c r="D6" t="s">
        <v>1392</v>
      </c>
    </row>
    <row r="7" spans="1:4">
      <c r="A7" s="510" t="s">
        <v>1303</v>
      </c>
      <c r="B7" s="1">
        <v>45828.71</v>
      </c>
      <c r="C7" s="513">
        <v>6130.43</v>
      </c>
      <c r="D7" t="s">
        <v>1392</v>
      </c>
    </row>
    <row r="8" spans="1:4">
      <c r="A8" s="510" t="s">
        <v>1303</v>
      </c>
      <c r="B8" s="1">
        <v>45829.21</v>
      </c>
      <c r="C8" s="513">
        <v>6315</v>
      </c>
      <c r="D8" t="s">
        <v>1392</v>
      </c>
    </row>
    <row r="9" spans="1:4">
      <c r="A9" s="510" t="s">
        <v>1303</v>
      </c>
      <c r="B9" s="1">
        <v>45829.71</v>
      </c>
      <c r="C9" s="513">
        <v>6582.65</v>
      </c>
      <c r="D9" t="s">
        <v>1392</v>
      </c>
    </row>
    <row r="10" spans="1:4">
      <c r="A10" s="510" t="s">
        <v>1396</v>
      </c>
      <c r="B10" s="1">
        <v>45830</v>
      </c>
      <c r="C10" s="514">
        <v>6182.5</v>
      </c>
      <c r="D10" t="s">
        <v>1393</v>
      </c>
    </row>
    <row r="11" spans="1:4">
      <c r="A11" s="510" t="s">
        <v>1303</v>
      </c>
      <c r="B11" s="1">
        <v>45830.21</v>
      </c>
      <c r="C11" s="513">
        <v>6955</v>
      </c>
      <c r="D11" t="s">
        <v>1392</v>
      </c>
    </row>
    <row r="12" spans="1:4">
      <c r="A12" s="510" t="s">
        <v>1303</v>
      </c>
      <c r="B12" s="1">
        <v>45830.71</v>
      </c>
      <c r="C12" s="513">
        <v>6102.93</v>
      </c>
      <c r="D12" t="s">
        <v>1392</v>
      </c>
    </row>
    <row r="13" spans="1:4">
      <c r="A13" s="510" t="s">
        <v>1396</v>
      </c>
      <c r="B13" s="1">
        <v>45831</v>
      </c>
      <c r="C13" s="514">
        <v>4846.25</v>
      </c>
      <c r="D13" t="s">
        <v>1393</v>
      </c>
    </row>
    <row r="14" spans="1:4">
      <c r="A14" s="510" t="s">
        <v>1303</v>
      </c>
      <c r="B14" s="1">
        <v>45831.21</v>
      </c>
      <c r="C14" s="513">
        <v>6765</v>
      </c>
      <c r="D14" t="s">
        <v>1392</v>
      </c>
    </row>
    <row r="15" spans="1:4">
      <c r="A15" s="510" t="s">
        <v>1303</v>
      </c>
      <c r="B15" s="1">
        <v>45831.71</v>
      </c>
      <c r="C15" s="513">
        <v>5817</v>
      </c>
      <c r="D15" t="s">
        <v>1392</v>
      </c>
    </row>
    <row r="16" spans="1:4">
      <c r="A16" s="510" t="s">
        <v>1303</v>
      </c>
      <c r="B16" s="1">
        <v>45832</v>
      </c>
      <c r="C16" s="514">
        <v>8518.7199999999993</v>
      </c>
      <c r="D16" t="s">
        <v>1393</v>
      </c>
    </row>
    <row r="17" spans="1:4">
      <c r="A17" s="510" t="s">
        <v>1303</v>
      </c>
      <c r="B17" s="1">
        <v>45832.21</v>
      </c>
      <c r="C17" s="513">
        <v>7165.08</v>
      </c>
      <c r="D17" t="s">
        <v>1392</v>
      </c>
    </row>
    <row r="18" spans="1:4">
      <c r="A18" s="510" t="s">
        <v>1303</v>
      </c>
      <c r="B18" s="1">
        <v>45832.71</v>
      </c>
      <c r="C18" s="513">
        <v>6567</v>
      </c>
      <c r="D18" t="s">
        <v>1392</v>
      </c>
    </row>
    <row r="19" spans="1:4">
      <c r="A19" s="510" t="s">
        <v>1303</v>
      </c>
      <c r="B19" s="1">
        <v>45833</v>
      </c>
      <c r="C19" s="514">
        <v>8467.4699999999993</v>
      </c>
      <c r="D19" t="s">
        <v>1393</v>
      </c>
    </row>
    <row r="20" spans="1:4">
      <c r="A20" s="510" t="s">
        <v>1303</v>
      </c>
      <c r="B20" s="1">
        <v>45833.21</v>
      </c>
      <c r="C20" s="513">
        <v>2985</v>
      </c>
      <c r="D20" t="s">
        <v>1392</v>
      </c>
    </row>
    <row r="21" spans="1:4">
      <c r="A21" s="510" t="s">
        <v>1303</v>
      </c>
      <c r="B21" s="1">
        <v>45833.71</v>
      </c>
      <c r="C21" s="513">
        <v>5885</v>
      </c>
      <c r="D21" t="s">
        <v>1392</v>
      </c>
    </row>
    <row r="22" spans="1:4">
      <c r="A22" s="510" t="s">
        <v>1303</v>
      </c>
      <c r="B22" s="1">
        <v>45834</v>
      </c>
      <c r="C22" s="514">
        <v>12779.32</v>
      </c>
      <c r="D22" t="s">
        <v>1393</v>
      </c>
    </row>
    <row r="23" spans="1:4">
      <c r="A23" s="510" t="s">
        <v>1303</v>
      </c>
      <c r="B23" s="1">
        <v>45834.21</v>
      </c>
      <c r="C23" s="513">
        <v>7643.93</v>
      </c>
      <c r="D23" t="s">
        <v>1392</v>
      </c>
    </row>
    <row r="24" spans="1:4">
      <c r="A24" s="510" t="s">
        <v>1303</v>
      </c>
      <c r="B24" s="1">
        <v>45834.71</v>
      </c>
      <c r="C24" s="513">
        <v>5885</v>
      </c>
      <c r="D24" t="s">
        <v>1392</v>
      </c>
    </row>
    <row r="25" spans="1:4">
      <c r="A25" s="510" t="s">
        <v>1303</v>
      </c>
      <c r="B25" s="1">
        <v>45835</v>
      </c>
      <c r="C25" s="514">
        <v>14215.87</v>
      </c>
      <c r="D25" t="s">
        <v>1393</v>
      </c>
    </row>
    <row r="26" spans="1:4">
      <c r="A26" s="510" t="s">
        <v>1303</v>
      </c>
      <c r="B26" s="1">
        <v>45835.21</v>
      </c>
      <c r="C26" s="513">
        <v>7223.35</v>
      </c>
      <c r="D26" t="s">
        <v>1392</v>
      </c>
    </row>
    <row r="27" spans="1:4">
      <c r="A27" s="510" t="s">
        <v>1303</v>
      </c>
      <c r="B27" s="1">
        <v>45835.71</v>
      </c>
      <c r="C27" s="513">
        <v>6292.22</v>
      </c>
      <c r="D27" t="s">
        <v>1392</v>
      </c>
    </row>
    <row r="28" spans="1:4">
      <c r="A28" s="510" t="s">
        <v>1303</v>
      </c>
      <c r="B28" s="1">
        <v>45836</v>
      </c>
      <c r="C28" s="514">
        <v>13713.07</v>
      </c>
      <c r="D28" t="s">
        <v>1393</v>
      </c>
    </row>
    <row r="29" spans="1:4">
      <c r="A29" s="510" t="s">
        <v>1303</v>
      </c>
      <c r="B29" s="1">
        <v>45836.21</v>
      </c>
      <c r="C29" s="513">
        <v>7220.4300000000012</v>
      </c>
      <c r="D29" t="s">
        <v>1392</v>
      </c>
    </row>
    <row r="30" spans="1:4">
      <c r="A30" s="510" t="s">
        <v>1303</v>
      </c>
      <c r="B30" s="1">
        <v>45836.71</v>
      </c>
      <c r="C30" s="513">
        <v>5402.93</v>
      </c>
      <c r="D30" t="s">
        <v>1392</v>
      </c>
    </row>
    <row r="31" spans="1:4">
      <c r="A31" s="510" t="s">
        <v>1303</v>
      </c>
      <c r="B31" s="1">
        <v>45837</v>
      </c>
      <c r="C31" s="514">
        <v>72410.94</v>
      </c>
      <c r="D31" t="s">
        <v>1393</v>
      </c>
    </row>
    <row r="32" spans="1:4">
      <c r="A32" s="510" t="s">
        <v>1303</v>
      </c>
      <c r="B32" s="1">
        <v>45837.21</v>
      </c>
      <c r="C32" s="513">
        <v>7341.12</v>
      </c>
      <c r="D32" t="s">
        <v>1392</v>
      </c>
    </row>
    <row r="33" spans="1:4">
      <c r="A33" s="510" t="s">
        <v>1303</v>
      </c>
      <c r="B33" s="1">
        <v>45837.71</v>
      </c>
      <c r="C33" s="513">
        <v>6190</v>
      </c>
      <c r="D33" t="s">
        <v>1392</v>
      </c>
    </row>
    <row r="34" spans="1:4">
      <c r="A34" s="510" t="s">
        <v>1303</v>
      </c>
      <c r="B34" s="1">
        <v>45838</v>
      </c>
      <c r="C34" s="514">
        <v>13179.93</v>
      </c>
      <c r="D34" t="s">
        <v>1393</v>
      </c>
    </row>
    <row r="35" spans="1:4">
      <c r="A35" s="510" t="s">
        <v>1303</v>
      </c>
      <c r="B35" s="1">
        <v>45838.21</v>
      </c>
      <c r="C35" s="513">
        <v>7541.68</v>
      </c>
      <c r="D35" t="s">
        <v>1392</v>
      </c>
    </row>
    <row r="36" spans="1:4">
      <c r="A36" s="510" t="s">
        <v>1303</v>
      </c>
      <c r="B36" s="1">
        <v>45838.71</v>
      </c>
      <c r="C36" s="513">
        <v>5135</v>
      </c>
      <c r="D36" t="s">
        <v>1392</v>
      </c>
    </row>
    <row r="37" spans="1:4">
      <c r="A37" s="510" t="s">
        <v>1303</v>
      </c>
      <c r="B37" s="1">
        <v>45839</v>
      </c>
      <c r="C37" s="514">
        <v>9943.369999999999</v>
      </c>
      <c r="D37" t="s">
        <v>1393</v>
      </c>
    </row>
    <row r="38" spans="1:4">
      <c r="A38" s="510" t="s">
        <v>1303</v>
      </c>
      <c r="B38" s="1">
        <v>45839.21</v>
      </c>
      <c r="C38" s="513">
        <v>4961</v>
      </c>
      <c r="D38" t="s">
        <v>1392</v>
      </c>
    </row>
    <row r="39" spans="1:4">
      <c r="A39" s="510" t="s">
        <v>1303</v>
      </c>
      <c r="B39" s="1">
        <v>45839.71</v>
      </c>
      <c r="C39" s="513">
        <v>6280</v>
      </c>
      <c r="D39" t="s">
        <v>1392</v>
      </c>
    </row>
    <row r="40" spans="1:4">
      <c r="A40" s="510" t="s">
        <v>1303</v>
      </c>
      <c r="B40" s="1">
        <v>45840</v>
      </c>
      <c r="C40" s="514">
        <v>13952.12</v>
      </c>
      <c r="D40" t="s">
        <v>1393</v>
      </c>
    </row>
    <row r="41" spans="1:4">
      <c r="A41" s="510" t="s">
        <v>1303</v>
      </c>
      <c r="B41" s="1">
        <v>45840.21</v>
      </c>
      <c r="C41" s="513">
        <v>6585</v>
      </c>
      <c r="D41" t="s">
        <v>1392</v>
      </c>
    </row>
    <row r="42" spans="1:4">
      <c r="A42" s="510" t="s">
        <v>1303</v>
      </c>
      <c r="B42" s="1">
        <v>45840.71</v>
      </c>
      <c r="C42" s="513">
        <v>5885</v>
      </c>
      <c r="D42" t="s">
        <v>1392</v>
      </c>
    </row>
    <row r="43" spans="1:4">
      <c r="A43" s="510" t="s">
        <v>1303</v>
      </c>
      <c r="B43" s="1">
        <v>45841</v>
      </c>
      <c r="C43" s="514">
        <v>14014.619999999999</v>
      </c>
      <c r="D43" t="s">
        <v>1393</v>
      </c>
    </row>
    <row r="44" spans="1:4">
      <c r="A44" s="510" t="s">
        <v>1303</v>
      </c>
      <c r="B44" s="1">
        <v>45841.21</v>
      </c>
      <c r="C44" s="513">
        <v>7116</v>
      </c>
      <c r="D44" t="s">
        <v>1392</v>
      </c>
    </row>
    <row r="45" spans="1:4">
      <c r="A45" s="510" t="s">
        <v>1303</v>
      </c>
      <c r="B45" s="1">
        <v>45841.71</v>
      </c>
      <c r="C45" s="513">
        <v>5935</v>
      </c>
      <c r="D45" t="s">
        <v>1392</v>
      </c>
    </row>
    <row r="46" spans="1:4">
      <c r="A46" s="510" t="s">
        <v>1303</v>
      </c>
      <c r="B46" s="1">
        <v>45842</v>
      </c>
      <c r="C46" s="514">
        <v>5672.72</v>
      </c>
      <c r="D46" t="s">
        <v>1393</v>
      </c>
    </row>
    <row r="47" spans="1:4">
      <c r="A47" s="510" t="s">
        <v>1303</v>
      </c>
      <c r="B47" s="1">
        <v>45842.21</v>
      </c>
      <c r="C47" s="513">
        <v>6925.49</v>
      </c>
      <c r="D47" t="s">
        <v>1392</v>
      </c>
    </row>
    <row r="48" spans="1:4">
      <c r="A48" s="510" t="s">
        <v>1303</v>
      </c>
      <c r="B48" s="1">
        <v>45842.71</v>
      </c>
      <c r="C48" s="513">
        <v>5902.93</v>
      </c>
      <c r="D48" t="s">
        <v>1392</v>
      </c>
    </row>
    <row r="49" spans="1:4">
      <c r="A49" s="510" t="s">
        <v>1396</v>
      </c>
      <c r="B49" s="1">
        <v>45843</v>
      </c>
      <c r="C49" s="513">
        <v>1260</v>
      </c>
      <c r="D49" t="s">
        <v>1391</v>
      </c>
    </row>
    <row r="50" spans="1:4">
      <c r="A50" s="510" t="s">
        <v>1303</v>
      </c>
      <c r="B50" s="1">
        <v>45843</v>
      </c>
      <c r="C50" s="514">
        <v>11038.68</v>
      </c>
      <c r="D50" t="s">
        <v>1393</v>
      </c>
    </row>
    <row r="51" spans="1:4">
      <c r="A51" s="510" t="s">
        <v>1396</v>
      </c>
      <c r="B51" s="1">
        <v>45843.21</v>
      </c>
      <c r="C51" s="513">
        <v>1260</v>
      </c>
      <c r="D51" t="s">
        <v>1391</v>
      </c>
    </row>
    <row r="52" spans="1:4">
      <c r="A52" s="510" t="s">
        <v>1303</v>
      </c>
      <c r="B52" s="1">
        <v>45843.21</v>
      </c>
      <c r="C52" s="513">
        <v>6752.93</v>
      </c>
      <c r="D52" t="s">
        <v>1392</v>
      </c>
    </row>
    <row r="53" spans="1:4">
      <c r="A53" s="510" t="s">
        <v>1303</v>
      </c>
      <c r="B53" s="1">
        <v>45843.71</v>
      </c>
      <c r="C53" s="513">
        <v>5772.93</v>
      </c>
      <c r="D53" t="s">
        <v>1392</v>
      </c>
    </row>
    <row r="54" spans="1:4">
      <c r="A54" s="510" t="s">
        <v>1303</v>
      </c>
      <c r="B54" s="1">
        <v>45844</v>
      </c>
      <c r="C54" s="514">
        <v>16075.869999999999</v>
      </c>
      <c r="D54" t="s">
        <v>1393</v>
      </c>
    </row>
    <row r="55" spans="1:4">
      <c r="A55" s="510" t="s">
        <v>1396</v>
      </c>
      <c r="B55" s="1">
        <v>45844.21</v>
      </c>
      <c r="C55" s="513">
        <v>1260</v>
      </c>
      <c r="D55" t="s">
        <v>1391</v>
      </c>
    </row>
    <row r="56" spans="1:4">
      <c r="A56" s="510" t="s">
        <v>1303</v>
      </c>
      <c r="B56" s="1">
        <v>45844.21</v>
      </c>
      <c r="C56" s="513">
        <v>7283.93</v>
      </c>
      <c r="D56" t="s">
        <v>1392</v>
      </c>
    </row>
    <row r="57" spans="1:4">
      <c r="A57" s="510" t="s">
        <v>1396</v>
      </c>
      <c r="B57" s="1">
        <v>45844.71</v>
      </c>
      <c r="C57" s="513">
        <v>0</v>
      </c>
      <c r="D57" t="s">
        <v>1391</v>
      </c>
    </row>
    <row r="58" spans="1:4">
      <c r="A58" s="510" t="s">
        <v>1303</v>
      </c>
      <c r="B58" s="1">
        <v>45844.71</v>
      </c>
      <c r="C58" s="513">
        <v>5472.93</v>
      </c>
      <c r="D58" t="s">
        <v>1392</v>
      </c>
    </row>
    <row r="59" spans="1:4">
      <c r="A59" s="510" t="s">
        <v>1303</v>
      </c>
      <c r="B59" s="1">
        <v>45845</v>
      </c>
      <c r="C59" s="514">
        <v>13284.93</v>
      </c>
      <c r="D59" t="s">
        <v>1393</v>
      </c>
    </row>
    <row r="60" spans="1:4">
      <c r="A60" s="510" t="s">
        <v>1344</v>
      </c>
      <c r="B60" s="1">
        <v>45845.21</v>
      </c>
      <c r="C60" s="513">
        <v>6631</v>
      </c>
      <c r="D60" t="s">
        <v>1391</v>
      </c>
    </row>
    <row r="61" spans="1:4">
      <c r="A61" s="510" t="s">
        <v>1303</v>
      </c>
      <c r="B61" s="1">
        <v>45845.21</v>
      </c>
      <c r="C61" s="513">
        <v>6907.05</v>
      </c>
      <c r="D61" t="s">
        <v>1392</v>
      </c>
    </row>
    <row r="62" spans="1:4">
      <c r="A62" s="510" t="s">
        <v>1344</v>
      </c>
      <c r="B62" s="1">
        <v>45845.71</v>
      </c>
      <c r="C62" s="513">
        <v>5952.93</v>
      </c>
      <c r="D62" t="s">
        <v>1392</v>
      </c>
    </row>
    <row r="63" spans="1:4">
      <c r="A63" s="510" t="s">
        <v>1303</v>
      </c>
      <c r="B63" s="1">
        <v>45846</v>
      </c>
      <c r="C63" s="514">
        <v>2422.5</v>
      </c>
      <c r="D63" t="s">
        <v>1393</v>
      </c>
    </row>
    <row r="64" spans="1:4">
      <c r="A64" s="510" t="s">
        <v>1344</v>
      </c>
      <c r="B64" s="1">
        <v>45846.21</v>
      </c>
      <c r="C64" s="513">
        <v>7096.34</v>
      </c>
      <c r="D64" t="s">
        <v>1391</v>
      </c>
    </row>
    <row r="65" spans="1:4">
      <c r="A65" s="510" t="s">
        <v>1344</v>
      </c>
      <c r="B65" s="1">
        <v>45846.21</v>
      </c>
      <c r="C65" s="513">
        <v>6870.86</v>
      </c>
      <c r="D65" t="s">
        <v>1392</v>
      </c>
    </row>
    <row r="66" spans="1:4">
      <c r="A66" s="510" t="s">
        <v>1344</v>
      </c>
      <c r="B66" s="1">
        <v>45846.71</v>
      </c>
      <c r="C66" s="513">
        <v>4622.93</v>
      </c>
      <c r="D66" t="s">
        <v>1391</v>
      </c>
    </row>
    <row r="67" spans="1:4">
      <c r="A67" s="510" t="s">
        <v>1344</v>
      </c>
      <c r="B67" s="1">
        <v>45846.71</v>
      </c>
      <c r="C67" s="513">
        <v>5972.9300000000012</v>
      </c>
      <c r="D67" t="s">
        <v>1392</v>
      </c>
    </row>
    <row r="68" spans="1:4">
      <c r="A68" s="510" t="s">
        <v>1303</v>
      </c>
      <c r="B68" s="1">
        <v>45847</v>
      </c>
      <c r="C68" s="514">
        <v>1452.5</v>
      </c>
      <c r="D68" t="s">
        <v>1393</v>
      </c>
    </row>
    <row r="69" spans="1:4">
      <c r="A69" s="510" t="s">
        <v>1344</v>
      </c>
      <c r="B69" s="1">
        <v>45847.21</v>
      </c>
      <c r="C69" s="513">
        <v>2550</v>
      </c>
      <c r="D69" t="s">
        <v>1391</v>
      </c>
    </row>
    <row r="70" spans="1:4">
      <c r="A70" s="510" t="s">
        <v>1344</v>
      </c>
      <c r="B70" s="1">
        <v>45847.21</v>
      </c>
      <c r="C70" s="513">
        <v>3885.86</v>
      </c>
      <c r="D70" t="s">
        <v>1392</v>
      </c>
    </row>
    <row r="71" spans="1:4">
      <c r="A71" s="510" t="s">
        <v>1344</v>
      </c>
      <c r="B71" s="1">
        <v>45847.71</v>
      </c>
      <c r="C71" s="513">
        <v>6282.93</v>
      </c>
      <c r="D71" t="s">
        <v>1391</v>
      </c>
    </row>
    <row r="72" spans="1:4">
      <c r="A72" s="510" t="s">
        <v>1344</v>
      </c>
      <c r="B72" s="1">
        <v>45847.71</v>
      </c>
      <c r="C72" s="513">
        <v>5871.4900000000007</v>
      </c>
      <c r="D72" t="s">
        <v>1392</v>
      </c>
    </row>
    <row r="73" spans="1:4">
      <c r="A73" s="510" t="s">
        <v>1303</v>
      </c>
      <c r="B73" s="1">
        <v>45848</v>
      </c>
      <c r="C73" s="514">
        <v>1272.5</v>
      </c>
      <c r="D73" t="s">
        <v>1393</v>
      </c>
    </row>
    <row r="74" spans="1:4">
      <c r="A74" s="510" t="s">
        <v>1344</v>
      </c>
      <c r="B74" s="1">
        <v>45848.21</v>
      </c>
      <c r="C74" s="513">
        <v>6862.99</v>
      </c>
      <c r="D74" t="s">
        <v>1391</v>
      </c>
    </row>
    <row r="75" spans="1:4">
      <c r="A75" s="510" t="s">
        <v>1344</v>
      </c>
      <c r="B75" s="1">
        <v>45848.21</v>
      </c>
      <c r="C75" s="513">
        <v>6190.72</v>
      </c>
      <c r="D75" t="s">
        <v>1392</v>
      </c>
    </row>
    <row r="76" spans="1:4">
      <c r="A76" s="510" t="s">
        <v>1344</v>
      </c>
      <c r="B76" s="1">
        <v>45848.71</v>
      </c>
      <c r="C76" s="513">
        <v>6636.68</v>
      </c>
      <c r="D76" t="s">
        <v>1391</v>
      </c>
    </row>
    <row r="77" spans="1:4">
      <c r="A77" s="510" t="s">
        <v>1344</v>
      </c>
      <c r="B77" s="1">
        <v>45848.71</v>
      </c>
      <c r="C77" s="513">
        <v>6300.8</v>
      </c>
      <c r="D77" t="s">
        <v>1392</v>
      </c>
    </row>
    <row r="78" spans="1:4">
      <c r="A78" s="510" t="s">
        <v>1303</v>
      </c>
      <c r="B78" s="1">
        <v>45849</v>
      </c>
      <c r="C78" s="514">
        <v>11762.12</v>
      </c>
      <c r="D78" t="s">
        <v>1393</v>
      </c>
    </row>
    <row r="79" spans="1:4">
      <c r="A79" s="510" t="s">
        <v>1344</v>
      </c>
      <c r="B79" s="1">
        <v>45849.21</v>
      </c>
      <c r="C79" s="513">
        <v>6435</v>
      </c>
      <c r="D79" t="s">
        <v>1391</v>
      </c>
    </row>
    <row r="80" spans="1:4">
      <c r="A80" s="510" t="s">
        <v>1344</v>
      </c>
      <c r="B80" s="1">
        <v>45849.21</v>
      </c>
      <c r="C80" s="513">
        <v>7009.72</v>
      </c>
      <c r="D80" t="s">
        <v>1392</v>
      </c>
    </row>
    <row r="81" spans="1:4">
      <c r="A81" s="510" t="s">
        <v>1344</v>
      </c>
      <c r="B81" s="1">
        <v>45849.71</v>
      </c>
      <c r="C81" s="513">
        <v>6256.12</v>
      </c>
      <c r="D81" t="s">
        <v>1391</v>
      </c>
    </row>
    <row r="82" spans="1:4">
      <c r="A82" s="510" t="s">
        <v>1344</v>
      </c>
      <c r="B82" s="1">
        <v>45849.71</v>
      </c>
      <c r="C82" s="513">
        <v>5977.93</v>
      </c>
      <c r="D82" t="s">
        <v>1392</v>
      </c>
    </row>
    <row r="83" spans="1:4">
      <c r="A83" s="510" t="s">
        <v>1303</v>
      </c>
      <c r="B83" s="1">
        <v>45850</v>
      </c>
      <c r="C83" s="514">
        <v>12387.119999999999</v>
      </c>
      <c r="D83" t="s">
        <v>1393</v>
      </c>
    </row>
    <row r="84" spans="1:4">
      <c r="A84" s="510" t="s">
        <v>1344</v>
      </c>
      <c r="B84" s="1">
        <v>45850.21</v>
      </c>
      <c r="C84" s="513">
        <v>6356.79</v>
      </c>
      <c r="D84" t="s">
        <v>1391</v>
      </c>
    </row>
    <row r="85" spans="1:4">
      <c r="A85" s="510" t="s">
        <v>1344</v>
      </c>
      <c r="B85" s="1">
        <v>45850.21</v>
      </c>
      <c r="C85" s="513">
        <v>6894.72</v>
      </c>
      <c r="D85" t="s">
        <v>1392</v>
      </c>
    </row>
    <row r="86" spans="1:4">
      <c r="A86" s="510" t="s">
        <v>1344</v>
      </c>
      <c r="B86" s="1">
        <v>45850.71</v>
      </c>
      <c r="C86" s="513">
        <v>5747.93</v>
      </c>
      <c r="D86" t="s">
        <v>1391</v>
      </c>
    </row>
    <row r="87" spans="1:4">
      <c r="A87" s="510" t="s">
        <v>1344</v>
      </c>
      <c r="B87" s="1">
        <v>45850.71</v>
      </c>
      <c r="C87" s="513">
        <v>5747.93</v>
      </c>
      <c r="D87" t="s">
        <v>1392</v>
      </c>
    </row>
    <row r="88" spans="1:4">
      <c r="A88" s="510" t="s">
        <v>1303</v>
      </c>
      <c r="B88" s="1">
        <v>45851</v>
      </c>
      <c r="C88" s="514">
        <v>12688.67</v>
      </c>
      <c r="D88" t="s">
        <v>1393</v>
      </c>
    </row>
    <row r="89" spans="1:4">
      <c r="A89" s="510" t="s">
        <v>1344</v>
      </c>
      <c r="B89" s="1">
        <v>45851.21</v>
      </c>
      <c r="C89" s="513">
        <v>6488.23</v>
      </c>
      <c r="D89" t="s">
        <v>1391</v>
      </c>
    </row>
    <row r="90" spans="1:4">
      <c r="A90" s="510" t="s">
        <v>1344</v>
      </c>
      <c r="B90" s="1">
        <v>45851.21</v>
      </c>
      <c r="C90" s="513">
        <v>6805</v>
      </c>
      <c r="D90" t="s">
        <v>1392</v>
      </c>
    </row>
    <row r="91" spans="1:4">
      <c r="A91" s="510" t="s">
        <v>1344</v>
      </c>
      <c r="B91" s="1">
        <v>45851.71</v>
      </c>
      <c r="C91" s="513">
        <v>5977.93</v>
      </c>
      <c r="D91" t="s">
        <v>1391</v>
      </c>
    </row>
    <row r="92" spans="1:4">
      <c r="A92" s="510" t="s">
        <v>1303</v>
      </c>
      <c r="B92" s="1">
        <v>45851.71</v>
      </c>
      <c r="C92" s="513">
        <v>5952.93</v>
      </c>
      <c r="D92" t="s">
        <v>1392</v>
      </c>
    </row>
    <row r="93" spans="1:4">
      <c r="A93" s="510" t="s">
        <v>1303</v>
      </c>
      <c r="B93" s="1">
        <v>45852</v>
      </c>
      <c r="C93" s="514">
        <v>11780.87</v>
      </c>
      <c r="D93" t="s">
        <v>1393</v>
      </c>
    </row>
    <row r="94" spans="1:4">
      <c r="A94" s="510" t="s">
        <v>1344</v>
      </c>
      <c r="B94" s="1">
        <v>45852.21</v>
      </c>
      <c r="C94" s="513">
        <v>6435</v>
      </c>
      <c r="D94" t="s">
        <v>1391</v>
      </c>
    </row>
    <row r="95" spans="1:4">
      <c r="A95" s="510" t="s">
        <v>1303</v>
      </c>
      <c r="B95" s="1">
        <v>45852.21</v>
      </c>
      <c r="C95" s="513">
        <v>6830</v>
      </c>
      <c r="D95" t="s">
        <v>1392</v>
      </c>
    </row>
    <row r="96" spans="1:4">
      <c r="A96" s="510" t="s">
        <v>1344</v>
      </c>
      <c r="B96" s="1">
        <v>45852.71</v>
      </c>
      <c r="C96" s="513">
        <v>6095.86</v>
      </c>
      <c r="D96" t="s">
        <v>1391</v>
      </c>
    </row>
    <row r="97" spans="1:4">
      <c r="A97" s="510" t="s">
        <v>1303</v>
      </c>
      <c r="B97" s="1">
        <v>45852.71</v>
      </c>
      <c r="C97" s="513">
        <v>6071.49</v>
      </c>
      <c r="D97" t="s">
        <v>1392</v>
      </c>
    </row>
    <row r="98" spans="1:4">
      <c r="A98" s="510" t="s">
        <v>1303</v>
      </c>
      <c r="B98" s="1">
        <v>45853</v>
      </c>
      <c r="C98" s="514">
        <v>16039.4</v>
      </c>
      <c r="D98" t="s">
        <v>1393</v>
      </c>
    </row>
    <row r="99" spans="1:4">
      <c r="A99" s="510" t="s">
        <v>1344</v>
      </c>
      <c r="B99" s="1">
        <v>45853.21</v>
      </c>
      <c r="C99" s="513">
        <v>7734.5599999999995</v>
      </c>
      <c r="D99" t="s">
        <v>1391</v>
      </c>
    </row>
    <row r="100" spans="1:4">
      <c r="A100" s="510" t="s">
        <v>1303</v>
      </c>
      <c r="B100" s="1">
        <v>45853.21</v>
      </c>
      <c r="C100" s="513">
        <v>6887.4</v>
      </c>
      <c r="D100" t="s">
        <v>1392</v>
      </c>
    </row>
    <row r="101" spans="1:4">
      <c r="A101" s="510" t="s">
        <v>1344</v>
      </c>
      <c r="B101" s="1">
        <v>45853.71</v>
      </c>
      <c r="C101" s="513">
        <v>6648.9899999999989</v>
      </c>
      <c r="D101" t="s">
        <v>1391</v>
      </c>
    </row>
    <row r="102" spans="1:4">
      <c r="A102" s="510" t="s">
        <v>1303</v>
      </c>
      <c r="B102" s="1">
        <v>45853.71</v>
      </c>
      <c r="C102" s="513">
        <v>7360.93</v>
      </c>
      <c r="D102" t="s">
        <v>1392</v>
      </c>
    </row>
    <row r="103" spans="1:4">
      <c r="A103" s="510" t="s">
        <v>1303</v>
      </c>
      <c r="B103" s="1">
        <v>45854</v>
      </c>
      <c r="C103" s="514">
        <v>5986.12</v>
      </c>
      <c r="D103" t="s">
        <v>1393</v>
      </c>
    </row>
    <row r="104" spans="1:4">
      <c r="A104" s="510" t="s">
        <v>1344</v>
      </c>
      <c r="B104" s="1">
        <v>45854.21</v>
      </c>
      <c r="C104" s="513">
        <v>6720</v>
      </c>
      <c r="D104" t="s">
        <v>1391</v>
      </c>
    </row>
    <row r="105" spans="1:4">
      <c r="A105" s="510" t="s">
        <v>1303</v>
      </c>
      <c r="B105" s="1">
        <v>45854.21</v>
      </c>
      <c r="C105" s="513">
        <v>1465</v>
      </c>
      <c r="D105" t="s">
        <v>1392</v>
      </c>
    </row>
    <row r="106" spans="1:4">
      <c r="A106" s="510" t="s">
        <v>1344</v>
      </c>
      <c r="B106" s="1">
        <v>45854.71</v>
      </c>
      <c r="C106" s="513">
        <v>6256.12</v>
      </c>
      <c r="D106" t="s">
        <v>1391</v>
      </c>
    </row>
    <row r="107" spans="1:4">
      <c r="A107" s="510" t="s">
        <v>1303</v>
      </c>
      <c r="B107" s="1">
        <v>45854.71</v>
      </c>
      <c r="C107" s="513">
        <v>7267.93</v>
      </c>
      <c r="D107" t="s">
        <v>1392</v>
      </c>
    </row>
    <row r="108" spans="1:4">
      <c r="A108" s="510" t="s">
        <v>1303</v>
      </c>
      <c r="B108" s="1">
        <v>45855</v>
      </c>
      <c r="C108" s="514">
        <v>12352.06</v>
      </c>
      <c r="D108" t="s">
        <v>1393</v>
      </c>
    </row>
    <row r="109" spans="1:4">
      <c r="A109" s="510" t="s">
        <v>1344</v>
      </c>
      <c r="B109" s="1">
        <v>45855.21</v>
      </c>
      <c r="C109" s="513">
        <v>6435</v>
      </c>
      <c r="D109" t="s">
        <v>1391</v>
      </c>
    </row>
    <row r="110" spans="1:4">
      <c r="A110" s="510" t="s">
        <v>1303</v>
      </c>
      <c r="B110" s="1">
        <v>45855.21</v>
      </c>
      <c r="C110" s="513">
        <v>6410</v>
      </c>
      <c r="D110" t="s">
        <v>1392</v>
      </c>
    </row>
    <row r="111" spans="1:4">
      <c r="A111" s="510" t="s">
        <v>1344</v>
      </c>
      <c r="B111" s="1">
        <v>45855.71</v>
      </c>
      <c r="C111" s="513">
        <v>6225.4300000000012</v>
      </c>
      <c r="D111" t="s">
        <v>1391</v>
      </c>
    </row>
    <row r="112" spans="1:4">
      <c r="A112" s="510" t="s">
        <v>1303</v>
      </c>
      <c r="B112" s="1">
        <v>45855.71</v>
      </c>
      <c r="C112" s="513">
        <v>6197.93</v>
      </c>
      <c r="D112" t="s">
        <v>1392</v>
      </c>
    </row>
    <row r="113" spans="1:4">
      <c r="A113" s="510" t="s">
        <v>1303</v>
      </c>
      <c r="B113" s="1">
        <v>45856</v>
      </c>
      <c r="C113" s="514">
        <v>13839.05</v>
      </c>
      <c r="D113" t="s">
        <v>1393</v>
      </c>
    </row>
    <row r="114" spans="1:4">
      <c r="A114" s="510" t="s">
        <v>1344</v>
      </c>
      <c r="B114" s="1">
        <v>45856.21</v>
      </c>
      <c r="C114" s="513">
        <v>6385</v>
      </c>
      <c r="D114" t="s">
        <v>1391</v>
      </c>
    </row>
    <row r="115" spans="1:4">
      <c r="A115" s="510" t="s">
        <v>1303</v>
      </c>
      <c r="B115" s="1">
        <v>45856.21</v>
      </c>
      <c r="C115" s="513">
        <v>6527.93</v>
      </c>
      <c r="D115" t="s">
        <v>1392</v>
      </c>
    </row>
    <row r="116" spans="1:4">
      <c r="A116" s="510" t="s">
        <v>1344</v>
      </c>
      <c r="B116" s="1">
        <v>45856.71</v>
      </c>
      <c r="C116" s="513">
        <v>6316.55</v>
      </c>
      <c r="D116" t="s">
        <v>1391</v>
      </c>
    </row>
    <row r="117" spans="1:4">
      <c r="A117" s="510" t="s">
        <v>1303</v>
      </c>
      <c r="B117" s="1">
        <v>45856.71</v>
      </c>
      <c r="C117" s="513">
        <v>6467.93</v>
      </c>
      <c r="D117" t="s">
        <v>1392</v>
      </c>
    </row>
    <row r="118" spans="1:4">
      <c r="A118" s="510" t="s">
        <v>1303</v>
      </c>
      <c r="B118" s="1">
        <v>45857</v>
      </c>
      <c r="C118" s="514">
        <v>16096.7</v>
      </c>
      <c r="D118" t="s">
        <v>1393</v>
      </c>
    </row>
    <row r="119" spans="1:4">
      <c r="A119" s="510" t="s">
        <v>1344</v>
      </c>
      <c r="B119" s="1">
        <v>45857.21</v>
      </c>
      <c r="C119" s="513">
        <v>6862.5000000000009</v>
      </c>
      <c r="D119" t="s">
        <v>1391</v>
      </c>
    </row>
    <row r="120" spans="1:4">
      <c r="A120" s="510" t="s">
        <v>1303</v>
      </c>
      <c r="B120" s="1">
        <v>45857.21</v>
      </c>
      <c r="C120" s="513">
        <v>6360</v>
      </c>
      <c r="D120" t="s">
        <v>1392</v>
      </c>
    </row>
    <row r="121" spans="1:4">
      <c r="A121" s="510" t="s">
        <v>1344</v>
      </c>
      <c r="B121" s="1">
        <v>45857.71</v>
      </c>
      <c r="C121" s="513">
        <v>6397.9299999999994</v>
      </c>
      <c r="D121" t="s">
        <v>1391</v>
      </c>
    </row>
    <row r="122" spans="1:4">
      <c r="A122" s="510" t="s">
        <v>1303</v>
      </c>
      <c r="B122" s="1">
        <v>45857.71</v>
      </c>
      <c r="C122" s="513">
        <v>5977.93</v>
      </c>
      <c r="D122" t="s">
        <v>1392</v>
      </c>
    </row>
    <row r="123" spans="1:4">
      <c r="A123" s="510" t="s">
        <v>1303</v>
      </c>
      <c r="B123" s="1">
        <v>45858</v>
      </c>
      <c r="C123" s="514">
        <v>17916.03</v>
      </c>
      <c r="D123" t="s">
        <v>1393</v>
      </c>
    </row>
    <row r="124" spans="1:4">
      <c r="A124" s="510" t="s">
        <v>1344</v>
      </c>
      <c r="B124" s="1">
        <v>45858.21</v>
      </c>
      <c r="C124" s="513">
        <v>6205</v>
      </c>
      <c r="D124" t="s">
        <v>1391</v>
      </c>
    </row>
    <row r="125" spans="1:4">
      <c r="A125" s="510" t="s">
        <v>1303</v>
      </c>
      <c r="B125" s="1">
        <v>45858.21</v>
      </c>
      <c r="C125" s="513">
        <v>6180</v>
      </c>
      <c r="D125" t="s">
        <v>1392</v>
      </c>
    </row>
    <row r="126" spans="1:4">
      <c r="A126" s="510" t="s">
        <v>1344</v>
      </c>
      <c r="B126" s="1">
        <v>45858.71</v>
      </c>
      <c r="C126" s="513">
        <v>6144.05</v>
      </c>
      <c r="D126" t="s">
        <v>1391</v>
      </c>
    </row>
    <row r="127" spans="1:4">
      <c r="A127" s="510" t="s">
        <v>1303</v>
      </c>
      <c r="B127" s="1">
        <v>45858.71</v>
      </c>
      <c r="C127" s="513">
        <v>5747.93</v>
      </c>
      <c r="D127" t="s">
        <v>1392</v>
      </c>
    </row>
    <row r="128" spans="1:4">
      <c r="A128" s="510" t="s">
        <v>1303</v>
      </c>
      <c r="B128" s="1">
        <v>45859</v>
      </c>
      <c r="C128" s="514">
        <v>14888.17</v>
      </c>
      <c r="D128" t="s">
        <v>1393</v>
      </c>
    </row>
    <row r="129" spans="1:4">
      <c r="A129" s="510" t="s">
        <v>1344</v>
      </c>
      <c r="B129" s="1">
        <v>45859.21</v>
      </c>
      <c r="C129" s="513">
        <v>6586.79</v>
      </c>
      <c r="D129" t="s">
        <v>1391</v>
      </c>
    </row>
    <row r="130" spans="1:4">
      <c r="A130" s="510" t="s">
        <v>1303</v>
      </c>
      <c r="B130" s="1">
        <v>45859.21</v>
      </c>
      <c r="C130" s="513">
        <v>6410</v>
      </c>
      <c r="D130" t="s">
        <v>1392</v>
      </c>
    </row>
    <row r="131" spans="1:4">
      <c r="A131" s="510" t="s">
        <v>1344</v>
      </c>
      <c r="B131" s="1">
        <v>45859.71</v>
      </c>
      <c r="C131" s="513">
        <v>5977.93</v>
      </c>
      <c r="D131" t="s">
        <v>1391</v>
      </c>
    </row>
    <row r="132" spans="1:4">
      <c r="A132" s="510" t="s">
        <v>1303</v>
      </c>
      <c r="B132" s="1">
        <v>45859.71</v>
      </c>
      <c r="C132" s="513">
        <v>5977.93</v>
      </c>
      <c r="D132" t="s">
        <v>1392</v>
      </c>
    </row>
    <row r="133" spans="1:4">
      <c r="A133" s="510" t="s">
        <v>1303</v>
      </c>
      <c r="B133" s="1">
        <v>45860</v>
      </c>
      <c r="C133" s="514">
        <v>15143.17</v>
      </c>
      <c r="D133" t="s">
        <v>1393</v>
      </c>
    </row>
    <row r="134" spans="1:4">
      <c r="A134" s="510" t="s">
        <v>1344</v>
      </c>
      <c r="B134" s="1">
        <v>45860.21</v>
      </c>
      <c r="C134" s="513">
        <v>6435</v>
      </c>
      <c r="D134" t="s">
        <v>1391</v>
      </c>
    </row>
    <row r="135" spans="1:4">
      <c r="A135" s="510" t="s">
        <v>1303</v>
      </c>
      <c r="B135" s="1">
        <v>45860.21</v>
      </c>
      <c r="C135" s="513">
        <v>6410</v>
      </c>
      <c r="D135" t="s">
        <v>1392</v>
      </c>
    </row>
    <row r="136" spans="1:4">
      <c r="A136" s="510" t="s">
        <v>1344</v>
      </c>
      <c r="B136" s="1">
        <v>45860.71</v>
      </c>
      <c r="C136" s="513">
        <v>5219.05</v>
      </c>
      <c r="D136" t="s">
        <v>1391</v>
      </c>
    </row>
    <row r="137" spans="1:4">
      <c r="A137" s="510" t="s">
        <v>1303</v>
      </c>
      <c r="B137" s="1">
        <v>45860.71</v>
      </c>
      <c r="C137" s="513">
        <v>5977.93</v>
      </c>
      <c r="D137" t="s">
        <v>1392</v>
      </c>
    </row>
    <row r="138" spans="1:4">
      <c r="A138" s="510" t="s">
        <v>1303</v>
      </c>
      <c r="B138" s="1">
        <v>45861</v>
      </c>
      <c r="C138" s="514">
        <v>13268.27</v>
      </c>
      <c r="D138" t="s">
        <v>1393</v>
      </c>
    </row>
    <row r="139" spans="1:4">
      <c r="A139" s="510" t="s">
        <v>1344</v>
      </c>
      <c r="B139" s="1">
        <v>45861.21</v>
      </c>
      <c r="C139" s="513">
        <v>3100</v>
      </c>
      <c r="D139" t="s">
        <v>1391</v>
      </c>
    </row>
    <row r="140" spans="1:4">
      <c r="A140" s="510" t="s">
        <v>1303</v>
      </c>
      <c r="B140" s="1">
        <v>45861.21</v>
      </c>
      <c r="C140" s="513">
        <v>6410</v>
      </c>
      <c r="D140" t="s">
        <v>1392</v>
      </c>
    </row>
    <row r="141" spans="1:4">
      <c r="A141" s="510" t="s">
        <v>1344</v>
      </c>
      <c r="B141" s="1">
        <v>45861.71</v>
      </c>
      <c r="C141" s="513">
        <v>5860</v>
      </c>
      <c r="D141" t="s">
        <v>1391</v>
      </c>
    </row>
    <row r="142" spans="1:4">
      <c r="A142" s="510" t="s">
        <v>1303</v>
      </c>
      <c r="B142" s="1">
        <v>45861.71</v>
      </c>
      <c r="C142" s="513">
        <v>5998.7</v>
      </c>
      <c r="D142" t="s">
        <v>1392</v>
      </c>
    </row>
    <row r="143" spans="1:4">
      <c r="A143" s="510" t="s">
        <v>1303</v>
      </c>
      <c r="B143" s="1">
        <v>45862</v>
      </c>
      <c r="C143" s="514">
        <v>702.12</v>
      </c>
      <c r="D143" t="s">
        <v>1393</v>
      </c>
    </row>
    <row r="144" spans="1:4">
      <c r="A144" s="510" t="s">
        <v>1344</v>
      </c>
      <c r="B144" s="1">
        <v>45862.21</v>
      </c>
      <c r="C144" s="513">
        <v>7041.06</v>
      </c>
      <c r="D144" t="s">
        <v>1391</v>
      </c>
    </row>
    <row r="145" spans="1:4">
      <c r="A145" s="510" t="s">
        <v>1303</v>
      </c>
      <c r="B145" s="1">
        <v>45862.21</v>
      </c>
      <c r="C145" s="513">
        <v>6410</v>
      </c>
      <c r="D145" t="s">
        <v>1392</v>
      </c>
    </row>
    <row r="146" spans="1:4">
      <c r="A146" s="510" t="s">
        <v>1344</v>
      </c>
      <c r="B146" s="1">
        <v>45862.71</v>
      </c>
      <c r="C146" s="513">
        <v>5860</v>
      </c>
      <c r="D146" t="s">
        <v>1391</v>
      </c>
    </row>
    <row r="147" spans="1:4">
      <c r="A147" s="510" t="s">
        <v>1303</v>
      </c>
      <c r="B147" s="1">
        <v>45862.71</v>
      </c>
      <c r="C147" s="513">
        <v>5998.7</v>
      </c>
      <c r="D147" t="s">
        <v>1392</v>
      </c>
    </row>
    <row r="148" spans="1:4">
      <c r="A148" s="510" t="s">
        <v>1303</v>
      </c>
      <c r="B148" s="1">
        <v>45863</v>
      </c>
      <c r="C148" s="514">
        <v>520</v>
      </c>
      <c r="D148" t="s">
        <v>1393</v>
      </c>
    </row>
    <row r="149" spans="1:4">
      <c r="A149" s="510" t="s">
        <v>1321</v>
      </c>
      <c r="B149" s="1">
        <v>45863.21</v>
      </c>
      <c r="C149" s="513">
        <v>6291.06</v>
      </c>
      <c r="D149" t="s">
        <v>1391</v>
      </c>
    </row>
    <row r="150" spans="1:4">
      <c r="A150" s="510" t="s">
        <v>1303</v>
      </c>
      <c r="B150" s="1">
        <v>45863.21</v>
      </c>
      <c r="C150" s="513">
        <v>6945.9999999999991</v>
      </c>
      <c r="D150" t="s">
        <v>1392</v>
      </c>
    </row>
    <row r="151" spans="1:4">
      <c r="A151" s="510" t="s">
        <v>1321</v>
      </c>
      <c r="B151" s="1">
        <v>45863.71</v>
      </c>
      <c r="C151" s="513">
        <v>5410</v>
      </c>
      <c r="D151" t="s">
        <v>1391</v>
      </c>
    </row>
    <row r="152" spans="1:4">
      <c r="A152" s="510" t="s">
        <v>1344</v>
      </c>
      <c r="B152" s="1">
        <v>45863.71</v>
      </c>
      <c r="C152" s="513">
        <v>5998.7</v>
      </c>
      <c r="D152" t="s">
        <v>1392</v>
      </c>
    </row>
    <row r="153" spans="1:4">
      <c r="A153" s="510" t="s">
        <v>1303</v>
      </c>
      <c r="B153" s="1">
        <v>45864</v>
      </c>
      <c r="C153" s="514">
        <v>15185.68</v>
      </c>
      <c r="D153" t="s">
        <v>1393</v>
      </c>
    </row>
    <row r="154" spans="1:4">
      <c r="A154" s="510" t="s">
        <v>1321</v>
      </c>
      <c r="B154" s="1">
        <v>45864.21</v>
      </c>
      <c r="C154" s="513">
        <v>6235</v>
      </c>
      <c r="D154" t="s">
        <v>1391</v>
      </c>
    </row>
    <row r="155" spans="1:4">
      <c r="A155" s="510" t="s">
        <v>1344</v>
      </c>
      <c r="B155" s="1">
        <v>45864.21</v>
      </c>
      <c r="C155" s="513">
        <v>6410</v>
      </c>
      <c r="D155" t="s">
        <v>1392</v>
      </c>
    </row>
    <row r="156" spans="1:4">
      <c r="A156" s="510" t="s">
        <v>1321</v>
      </c>
      <c r="B156" s="1">
        <v>45864.71</v>
      </c>
      <c r="C156" s="513">
        <v>5460</v>
      </c>
      <c r="D156" t="s">
        <v>1391</v>
      </c>
    </row>
    <row r="157" spans="1:4">
      <c r="A157" s="510" t="s">
        <v>1344</v>
      </c>
      <c r="B157" s="1">
        <v>45864.71</v>
      </c>
      <c r="C157" s="513">
        <v>5860</v>
      </c>
      <c r="D157" t="s">
        <v>1392</v>
      </c>
    </row>
    <row r="158" spans="1:4">
      <c r="A158" s="510" t="s">
        <v>1303</v>
      </c>
      <c r="B158" s="1">
        <v>45865</v>
      </c>
      <c r="C158" s="514">
        <v>15742.27</v>
      </c>
      <c r="D158" t="s">
        <v>1393</v>
      </c>
    </row>
    <row r="159" spans="1:4">
      <c r="A159" s="510" t="s">
        <v>1344</v>
      </c>
      <c r="B159" s="1">
        <v>45865.21</v>
      </c>
      <c r="C159" s="513">
        <v>5705</v>
      </c>
      <c r="D159" t="s">
        <v>1391</v>
      </c>
    </row>
    <row r="160" spans="1:4">
      <c r="A160" s="510" t="s">
        <v>1344</v>
      </c>
      <c r="B160" s="1">
        <v>45865.21</v>
      </c>
      <c r="C160" s="513">
        <v>6180</v>
      </c>
      <c r="D160" t="s">
        <v>1392</v>
      </c>
    </row>
    <row r="161" spans="1:4">
      <c r="A161" s="510" t="s">
        <v>1344</v>
      </c>
      <c r="B161" s="1">
        <v>45865.71</v>
      </c>
      <c r="C161" s="513">
        <v>6316.61</v>
      </c>
      <c r="D161" t="s">
        <v>1391</v>
      </c>
    </row>
    <row r="162" spans="1:4">
      <c r="A162" s="510" t="s">
        <v>1344</v>
      </c>
      <c r="B162" s="1">
        <v>45865.71</v>
      </c>
      <c r="C162" s="513">
        <v>5772.5</v>
      </c>
      <c r="D162" t="s">
        <v>1392</v>
      </c>
    </row>
    <row r="163" spans="1:4">
      <c r="A163" s="510" t="s">
        <v>1344</v>
      </c>
      <c r="B163" s="1">
        <v>45866</v>
      </c>
      <c r="C163" s="514">
        <v>16888.28</v>
      </c>
      <c r="D163" t="s">
        <v>1393</v>
      </c>
    </row>
    <row r="164" spans="1:4">
      <c r="A164" s="510" t="s">
        <v>1344</v>
      </c>
      <c r="B164" s="1">
        <v>45866.21</v>
      </c>
      <c r="C164" s="513">
        <v>6435</v>
      </c>
      <c r="D164" t="s">
        <v>1391</v>
      </c>
    </row>
    <row r="165" spans="1:4">
      <c r="A165" s="510" t="s">
        <v>1344</v>
      </c>
      <c r="B165" s="1">
        <v>45866.21</v>
      </c>
      <c r="C165" s="513">
        <v>7091.12</v>
      </c>
      <c r="D165" t="s">
        <v>1392</v>
      </c>
    </row>
    <row r="166" spans="1:4">
      <c r="A166" s="510" t="s">
        <v>1344</v>
      </c>
      <c r="B166" s="1">
        <v>45866.71</v>
      </c>
      <c r="C166" s="513">
        <v>5630</v>
      </c>
      <c r="D166" t="s">
        <v>1391</v>
      </c>
    </row>
    <row r="167" spans="1:4">
      <c r="A167" s="510" t="s">
        <v>1344</v>
      </c>
      <c r="B167" s="1">
        <v>45866.71</v>
      </c>
      <c r="C167" s="513">
        <v>6217.5</v>
      </c>
      <c r="D167" t="s">
        <v>1392</v>
      </c>
    </row>
    <row r="168" spans="1:4">
      <c r="A168" s="510" t="s">
        <v>1344</v>
      </c>
      <c r="B168" s="1">
        <v>45867</v>
      </c>
      <c r="C168" s="514">
        <v>13369.53</v>
      </c>
      <c r="D168" t="s">
        <v>1393</v>
      </c>
    </row>
    <row r="169" spans="1:4">
      <c r="A169" s="510" t="s">
        <v>1344</v>
      </c>
      <c r="B169" s="1">
        <v>45867.21</v>
      </c>
      <c r="C169" s="513">
        <v>3905</v>
      </c>
      <c r="D169" t="s">
        <v>1391</v>
      </c>
    </row>
    <row r="170" spans="1:4">
      <c r="A170" s="510" t="s">
        <v>1344</v>
      </c>
      <c r="B170" s="1">
        <v>45867.21</v>
      </c>
      <c r="C170" s="513">
        <v>7181.2</v>
      </c>
      <c r="D170" t="s">
        <v>1392</v>
      </c>
    </row>
    <row r="171" spans="1:4">
      <c r="A171" s="510" t="s">
        <v>1344</v>
      </c>
      <c r="B171" s="1">
        <v>45867.71</v>
      </c>
      <c r="C171" s="513">
        <v>4617.5</v>
      </c>
      <c r="D171" t="s">
        <v>1391</v>
      </c>
    </row>
    <row r="172" spans="1:4">
      <c r="A172" s="510" t="s">
        <v>1344</v>
      </c>
      <c r="B172" s="1">
        <v>45867.71</v>
      </c>
      <c r="C172" s="513">
        <v>4137.93</v>
      </c>
      <c r="D172" t="s">
        <v>1392</v>
      </c>
    </row>
    <row r="173" spans="1:4">
      <c r="A173" s="510" t="s">
        <v>1344</v>
      </c>
      <c r="B173" s="1">
        <v>45868</v>
      </c>
      <c r="C173" s="514">
        <v>9469.880000000001</v>
      </c>
      <c r="D173" t="s">
        <v>1393</v>
      </c>
    </row>
    <row r="174" spans="1:4">
      <c r="A174" s="510" t="s">
        <v>1344</v>
      </c>
      <c r="B174" s="1">
        <v>45868.21</v>
      </c>
      <c r="C174" s="513">
        <v>6385</v>
      </c>
      <c r="D174" t="s">
        <v>1391</v>
      </c>
    </row>
    <row r="175" spans="1:4">
      <c r="A175" s="510" t="s">
        <v>1344</v>
      </c>
      <c r="B175" s="1">
        <v>45868.21</v>
      </c>
      <c r="C175" s="513">
        <v>1350</v>
      </c>
      <c r="D175" t="s">
        <v>1392</v>
      </c>
    </row>
    <row r="176" spans="1:4">
      <c r="A176" s="510" t="s">
        <v>1344</v>
      </c>
      <c r="B176" s="1">
        <v>45868.71</v>
      </c>
      <c r="C176" s="513">
        <v>5435</v>
      </c>
      <c r="D176" t="s">
        <v>1391</v>
      </c>
    </row>
    <row r="177" spans="1:4">
      <c r="A177" s="510" t="s">
        <v>1344</v>
      </c>
      <c r="B177" s="1">
        <v>45868.71</v>
      </c>
      <c r="C177" s="513">
        <v>5835</v>
      </c>
      <c r="D177" t="s">
        <v>1392</v>
      </c>
    </row>
    <row r="178" spans="1:4">
      <c r="A178" s="510" t="s">
        <v>1303</v>
      </c>
      <c r="B178" s="1">
        <v>45869</v>
      </c>
      <c r="C178" s="514">
        <v>37276.89</v>
      </c>
      <c r="D178" t="s">
        <v>1393</v>
      </c>
    </row>
    <row r="179" spans="1:4">
      <c r="A179" s="510" t="s">
        <v>1321</v>
      </c>
      <c r="B179" s="1">
        <v>45869.21</v>
      </c>
      <c r="C179" s="513">
        <v>6135</v>
      </c>
      <c r="D179" t="s">
        <v>1391</v>
      </c>
    </row>
    <row r="180" spans="1:4">
      <c r="A180" s="510" t="s">
        <v>1344</v>
      </c>
      <c r="B180" s="1">
        <v>45869.21</v>
      </c>
      <c r="C180" s="513">
        <v>6674.57</v>
      </c>
      <c r="D180" t="s">
        <v>1392</v>
      </c>
    </row>
    <row r="181" spans="1:4">
      <c r="A181" s="510" t="s">
        <v>1344</v>
      </c>
      <c r="B181" s="1">
        <v>45869.71</v>
      </c>
      <c r="C181" s="513">
        <v>19846.120000000003</v>
      </c>
      <c r="D181" t="s">
        <v>1391</v>
      </c>
    </row>
    <row r="182" spans="1:4">
      <c r="A182" s="510" t="s">
        <v>1344</v>
      </c>
      <c r="B182" s="1">
        <v>45869.71</v>
      </c>
      <c r="C182" s="513">
        <v>28007.5</v>
      </c>
      <c r="D182" t="s">
        <v>1392</v>
      </c>
    </row>
    <row r="183" spans="1:4">
      <c r="A183" s="510" t="s">
        <v>1303</v>
      </c>
      <c r="B183" s="1">
        <v>45870</v>
      </c>
      <c r="C183" s="514">
        <v>14921.12</v>
      </c>
      <c r="D183" t="s">
        <v>1393</v>
      </c>
    </row>
    <row r="184" spans="1:4">
      <c r="A184" s="510" t="s">
        <v>1344</v>
      </c>
      <c r="B184" s="1">
        <v>45870.21</v>
      </c>
      <c r="C184" s="513">
        <v>6800</v>
      </c>
      <c r="D184" t="s">
        <v>1391</v>
      </c>
    </row>
    <row r="185" spans="1:4">
      <c r="A185" s="510" t="s">
        <v>1344</v>
      </c>
      <c r="B185" s="1">
        <v>45870.21</v>
      </c>
      <c r="C185" s="513">
        <v>7854.9999999999991</v>
      </c>
      <c r="D185" t="s">
        <v>1392</v>
      </c>
    </row>
    <row r="186" spans="1:4">
      <c r="A186" s="510" t="s">
        <v>1344</v>
      </c>
      <c r="B186" s="1">
        <v>45870.71</v>
      </c>
      <c r="C186" s="513">
        <v>5860</v>
      </c>
      <c r="D186" t="s">
        <v>1391</v>
      </c>
    </row>
    <row r="187" spans="1:4">
      <c r="A187" s="510" t="s">
        <v>1344</v>
      </c>
      <c r="B187" s="1">
        <v>45870.71</v>
      </c>
      <c r="C187" s="513">
        <v>6055</v>
      </c>
      <c r="D187" t="s">
        <v>1392</v>
      </c>
    </row>
    <row r="188" spans="1:4">
      <c r="A188" s="510" t="s">
        <v>1303</v>
      </c>
      <c r="B188" s="1">
        <v>45871</v>
      </c>
      <c r="C188" s="514">
        <v>13967.380000000001</v>
      </c>
      <c r="D188" t="s">
        <v>1393</v>
      </c>
    </row>
    <row r="189" spans="1:4">
      <c r="A189" s="510" t="s">
        <v>1344</v>
      </c>
      <c r="B189" s="1">
        <v>45871.21</v>
      </c>
      <c r="C189" s="513">
        <v>6800.7</v>
      </c>
      <c r="D189" t="s">
        <v>1391</v>
      </c>
    </row>
    <row r="190" spans="1:4">
      <c r="A190" s="510" t="s">
        <v>1344</v>
      </c>
      <c r="B190" s="1">
        <v>45871.21</v>
      </c>
      <c r="C190" s="513">
        <v>6585</v>
      </c>
      <c r="D190" t="s">
        <v>1392</v>
      </c>
    </row>
    <row r="191" spans="1:4">
      <c r="A191" s="510" t="s">
        <v>1344</v>
      </c>
      <c r="B191" s="1">
        <v>45871.71</v>
      </c>
      <c r="C191" s="513">
        <v>5860</v>
      </c>
      <c r="D191" t="s">
        <v>1391</v>
      </c>
    </row>
    <row r="192" spans="1:4">
      <c r="A192" s="510" t="s">
        <v>1344</v>
      </c>
      <c r="B192" s="1">
        <v>45871.71</v>
      </c>
      <c r="C192" s="513">
        <v>6055</v>
      </c>
      <c r="D192" t="s">
        <v>1392</v>
      </c>
    </row>
    <row r="193" spans="1:4">
      <c r="A193" s="510" t="s">
        <v>1303</v>
      </c>
      <c r="B193" s="1">
        <v>45872</v>
      </c>
      <c r="C193" s="514">
        <v>10571.38</v>
      </c>
      <c r="D193" t="s">
        <v>1393</v>
      </c>
    </row>
    <row r="194" spans="1:4">
      <c r="A194" s="510" t="s">
        <v>1344</v>
      </c>
      <c r="B194" s="1">
        <v>45872.21</v>
      </c>
      <c r="C194" s="513">
        <v>6610</v>
      </c>
      <c r="D194" t="s">
        <v>1391</v>
      </c>
    </row>
    <row r="195" spans="1:4">
      <c r="A195" s="510" t="s">
        <v>1344</v>
      </c>
      <c r="B195" s="1">
        <v>45872.21</v>
      </c>
      <c r="C195" s="513">
        <v>6752.93</v>
      </c>
      <c r="D195" t="s">
        <v>1392</v>
      </c>
    </row>
    <row r="196" spans="1:4">
      <c r="A196" s="510" t="s">
        <v>1344</v>
      </c>
      <c r="B196" s="1">
        <v>45872.71</v>
      </c>
      <c r="C196" s="513">
        <v>5630</v>
      </c>
      <c r="D196" t="s">
        <v>1391</v>
      </c>
    </row>
    <row r="197" spans="1:4">
      <c r="A197" s="510" t="s">
        <v>1344</v>
      </c>
      <c r="B197" s="1">
        <v>45872.71</v>
      </c>
      <c r="C197" s="513">
        <v>5605</v>
      </c>
      <c r="D197" t="s">
        <v>1392</v>
      </c>
    </row>
    <row r="198" spans="1:4">
      <c r="A198" s="510" t="s">
        <v>1303</v>
      </c>
      <c r="B198" s="1">
        <v>45873</v>
      </c>
      <c r="C198" s="514">
        <v>14851.130000000001</v>
      </c>
      <c r="D198" t="s">
        <v>1393</v>
      </c>
    </row>
    <row r="199" spans="1:4">
      <c r="A199" s="510" t="s">
        <v>1344</v>
      </c>
      <c r="B199" s="1">
        <v>45873.21</v>
      </c>
      <c r="C199" s="513">
        <v>6510</v>
      </c>
      <c r="D199" t="s">
        <v>1391</v>
      </c>
    </row>
    <row r="200" spans="1:4">
      <c r="A200" s="510" t="s">
        <v>1344</v>
      </c>
      <c r="B200" s="1">
        <v>45873.21</v>
      </c>
      <c r="C200" s="513">
        <v>6602.93</v>
      </c>
      <c r="D200" t="s">
        <v>1392</v>
      </c>
    </row>
    <row r="201" spans="1:4">
      <c r="A201" s="510" t="s">
        <v>1344</v>
      </c>
      <c r="B201" s="1">
        <v>45873.71</v>
      </c>
      <c r="C201" s="513">
        <v>6256.12</v>
      </c>
      <c r="D201" t="s">
        <v>1391</v>
      </c>
    </row>
    <row r="202" spans="1:4">
      <c r="A202" s="510" t="s">
        <v>1344</v>
      </c>
      <c r="B202" s="1">
        <v>45873.71</v>
      </c>
      <c r="C202" s="513">
        <v>6055</v>
      </c>
      <c r="D202" t="s">
        <v>1392</v>
      </c>
    </row>
    <row r="203" spans="1:4">
      <c r="A203" s="510" t="s">
        <v>1303</v>
      </c>
      <c r="B203" s="1">
        <v>45874</v>
      </c>
      <c r="C203" s="514">
        <v>14049.880000000001</v>
      </c>
      <c r="D203" t="s">
        <v>1393</v>
      </c>
    </row>
    <row r="204" spans="1:4">
      <c r="A204" s="510" t="s">
        <v>1344</v>
      </c>
      <c r="B204" s="1">
        <v>45874.21</v>
      </c>
      <c r="C204" s="513">
        <v>7317.4999999999991</v>
      </c>
      <c r="D204" t="s">
        <v>1391</v>
      </c>
    </row>
    <row r="205" spans="1:4">
      <c r="A205" s="510" t="s">
        <v>1344</v>
      </c>
      <c r="B205" s="1">
        <v>45874.21</v>
      </c>
      <c r="C205" s="513">
        <v>6723.7</v>
      </c>
      <c r="D205" t="s">
        <v>1392</v>
      </c>
    </row>
    <row r="206" spans="1:4">
      <c r="A206" s="510" t="s">
        <v>1344</v>
      </c>
      <c r="B206" s="1">
        <v>45874.71</v>
      </c>
      <c r="C206" s="513">
        <v>4917.5</v>
      </c>
      <c r="D206" t="s">
        <v>1391</v>
      </c>
    </row>
    <row r="207" spans="1:4">
      <c r="A207" s="510" t="s">
        <v>1344</v>
      </c>
      <c r="B207" s="1">
        <v>45874.71</v>
      </c>
      <c r="C207" s="513">
        <v>5835</v>
      </c>
      <c r="D207" t="s">
        <v>1392</v>
      </c>
    </row>
    <row r="208" spans="1:4">
      <c r="A208" s="510" t="s">
        <v>1303</v>
      </c>
      <c r="B208" s="1">
        <v>45875</v>
      </c>
      <c r="C208" s="514">
        <v>15278.630000000001</v>
      </c>
      <c r="D208" t="s">
        <v>1393</v>
      </c>
    </row>
    <row r="209" spans="1:4">
      <c r="A209" s="510" t="s">
        <v>1344</v>
      </c>
      <c r="B209" s="1">
        <v>45875.21</v>
      </c>
      <c r="C209" s="513">
        <v>3226.12</v>
      </c>
      <c r="D209" t="s">
        <v>1391</v>
      </c>
    </row>
    <row r="210" spans="1:4">
      <c r="A210" s="510" t="s">
        <v>1344</v>
      </c>
      <c r="B210" s="1">
        <v>45875.21</v>
      </c>
      <c r="C210" s="513">
        <v>6723.7</v>
      </c>
      <c r="D210" t="s">
        <v>1392</v>
      </c>
    </row>
    <row r="211" spans="1:4">
      <c r="A211" s="510" t="s">
        <v>1344</v>
      </c>
      <c r="B211" s="1">
        <v>45875.71</v>
      </c>
      <c r="C211" s="513">
        <v>6277.5000000000009</v>
      </c>
      <c r="D211" t="s">
        <v>1391</v>
      </c>
    </row>
    <row r="212" spans="1:4">
      <c r="A212" s="510" t="s">
        <v>1344</v>
      </c>
      <c r="B212" s="1">
        <v>45875.71</v>
      </c>
      <c r="C212" s="513">
        <v>5835</v>
      </c>
      <c r="D212" t="s">
        <v>1392</v>
      </c>
    </row>
    <row r="213" spans="1:4">
      <c r="A213" s="510" t="s">
        <v>1303</v>
      </c>
      <c r="B213" s="1">
        <v>45876</v>
      </c>
      <c r="C213" s="514">
        <v>4889.0599999999995</v>
      </c>
      <c r="D213" t="s">
        <v>1393</v>
      </c>
    </row>
    <row r="214" spans="1:4">
      <c r="A214" s="510" t="s">
        <v>1344</v>
      </c>
      <c r="B214" s="1">
        <v>45876.21</v>
      </c>
      <c r="C214" s="513">
        <v>6642.4999999999991</v>
      </c>
      <c r="D214" t="s">
        <v>1391</v>
      </c>
    </row>
    <row r="215" spans="1:4">
      <c r="A215" s="510" t="s">
        <v>1344</v>
      </c>
      <c r="B215" s="1">
        <v>45876.21</v>
      </c>
      <c r="C215" s="513">
        <v>6853.7</v>
      </c>
      <c r="D215" t="s">
        <v>1392</v>
      </c>
    </row>
    <row r="216" spans="1:4">
      <c r="A216" s="510" t="s">
        <v>1303</v>
      </c>
      <c r="B216" s="1">
        <v>45876.71</v>
      </c>
      <c r="C216" s="513">
        <v>5860</v>
      </c>
      <c r="D216" t="s">
        <v>1391</v>
      </c>
    </row>
    <row r="217" spans="1:4">
      <c r="A217" s="510" t="s">
        <v>1303</v>
      </c>
      <c r="B217" s="1">
        <v>45876.71</v>
      </c>
      <c r="C217" s="513">
        <v>5899.5</v>
      </c>
      <c r="D217" t="s">
        <v>1392</v>
      </c>
    </row>
    <row r="218" spans="1:4">
      <c r="A218" s="510" t="s">
        <v>1303</v>
      </c>
      <c r="B218" s="1">
        <v>45877</v>
      </c>
      <c r="C218" s="514">
        <v>16060.31</v>
      </c>
      <c r="D218" t="s">
        <v>1393</v>
      </c>
    </row>
    <row r="219" spans="1:4">
      <c r="A219" s="510" t="s">
        <v>1303</v>
      </c>
      <c r="B219" s="1">
        <v>45877.21</v>
      </c>
      <c r="C219" s="513">
        <v>10728</v>
      </c>
      <c r="D219" t="s">
        <v>1391</v>
      </c>
    </row>
    <row r="220" spans="1:4">
      <c r="A220" s="510" t="s">
        <v>1303</v>
      </c>
      <c r="B220" s="1">
        <v>45877.21</v>
      </c>
      <c r="C220" s="513">
        <v>7762.75</v>
      </c>
      <c r="D220" t="s">
        <v>1392</v>
      </c>
    </row>
    <row r="221" spans="1:4">
      <c r="A221" s="510" t="s">
        <v>1303</v>
      </c>
      <c r="B221" s="1">
        <v>45877.71</v>
      </c>
      <c r="C221" s="513">
        <v>6208.5599999999995</v>
      </c>
      <c r="D221" t="s">
        <v>1391</v>
      </c>
    </row>
    <row r="222" spans="1:4">
      <c r="A222" s="510" t="s">
        <v>1303</v>
      </c>
      <c r="B222" s="1">
        <v>45877.71</v>
      </c>
      <c r="C222" s="513">
        <v>5835</v>
      </c>
      <c r="D222" t="s">
        <v>1392</v>
      </c>
    </row>
    <row r="223" spans="1:4">
      <c r="A223" s="510" t="s">
        <v>1303</v>
      </c>
      <c r="B223" s="1">
        <v>45878</v>
      </c>
      <c r="C223" s="514">
        <v>17639.52</v>
      </c>
      <c r="D223" t="s">
        <v>1393</v>
      </c>
    </row>
    <row r="224" spans="1:4">
      <c r="A224" s="510" t="s">
        <v>1303</v>
      </c>
      <c r="B224" s="1">
        <v>45878.21</v>
      </c>
      <c r="C224" s="513">
        <v>6610</v>
      </c>
      <c r="D224" t="s">
        <v>1391</v>
      </c>
    </row>
    <row r="225" spans="1:4">
      <c r="A225" s="510" t="s">
        <v>1303</v>
      </c>
      <c r="B225" s="1">
        <v>45878.21</v>
      </c>
      <c r="C225" s="513">
        <v>6793.7</v>
      </c>
      <c r="D225" t="s">
        <v>1392</v>
      </c>
    </row>
    <row r="226" spans="1:4">
      <c r="A226" s="510" t="s">
        <v>1303</v>
      </c>
      <c r="B226" s="1">
        <v>45878.71</v>
      </c>
      <c r="C226" s="513">
        <v>5970.5</v>
      </c>
      <c r="D226" t="s">
        <v>1391</v>
      </c>
    </row>
    <row r="227" spans="1:4">
      <c r="A227" s="510" t="s">
        <v>1303</v>
      </c>
      <c r="B227" s="1">
        <v>45878.71</v>
      </c>
      <c r="C227" s="513">
        <v>5839.5</v>
      </c>
      <c r="D227" t="s">
        <v>1392</v>
      </c>
    </row>
    <row r="228" spans="1:4">
      <c r="A228" s="510" t="s">
        <v>1303</v>
      </c>
      <c r="B228" s="1">
        <v>45879</v>
      </c>
      <c r="C228" s="514">
        <v>19097.27</v>
      </c>
      <c r="D228" t="s">
        <v>1393</v>
      </c>
    </row>
    <row r="229" spans="1:4">
      <c r="A229" s="510" t="s">
        <v>1303</v>
      </c>
      <c r="B229" s="1">
        <v>45879.21</v>
      </c>
      <c r="C229" s="513">
        <v>6385</v>
      </c>
      <c r="D229" t="s">
        <v>1391</v>
      </c>
    </row>
    <row r="230" spans="1:4">
      <c r="A230" s="510" t="s">
        <v>1303</v>
      </c>
      <c r="B230" s="1">
        <v>45879.21</v>
      </c>
      <c r="C230" s="513">
        <v>6493.7</v>
      </c>
      <c r="D230" t="s">
        <v>1392</v>
      </c>
    </row>
    <row r="231" spans="1:4">
      <c r="A231" s="510" t="s">
        <v>1303</v>
      </c>
      <c r="B231" s="1">
        <v>45879.71</v>
      </c>
      <c r="C231" s="513">
        <v>6026.12</v>
      </c>
      <c r="D231" t="s">
        <v>1391</v>
      </c>
    </row>
    <row r="232" spans="1:4">
      <c r="A232" s="510" t="s">
        <v>1303</v>
      </c>
      <c r="B232" s="1">
        <v>45879.71</v>
      </c>
      <c r="C232" s="513">
        <v>5605</v>
      </c>
      <c r="D232" t="s">
        <v>1392</v>
      </c>
    </row>
    <row r="233" spans="1:4">
      <c r="A233" s="510" t="s">
        <v>1303</v>
      </c>
      <c r="B233" s="1">
        <v>45880</v>
      </c>
      <c r="C233" s="514">
        <v>15473.52</v>
      </c>
      <c r="D233" t="s">
        <v>1393</v>
      </c>
    </row>
    <row r="234" spans="1:4">
      <c r="A234" s="510" t="s">
        <v>1303</v>
      </c>
      <c r="B234" s="1">
        <v>45880.21</v>
      </c>
      <c r="C234" s="513">
        <v>7488.93</v>
      </c>
      <c r="D234" t="s">
        <v>1391</v>
      </c>
    </row>
    <row r="235" spans="1:4">
      <c r="A235" s="510" t="s">
        <v>1303</v>
      </c>
      <c r="B235" s="1">
        <v>45880.21</v>
      </c>
      <c r="C235" s="513">
        <v>6661.5</v>
      </c>
      <c r="D235" t="s">
        <v>1392</v>
      </c>
    </row>
    <row r="236" spans="1:4">
      <c r="A236" s="510" t="s">
        <v>1303</v>
      </c>
      <c r="B236" s="1">
        <v>45880.71</v>
      </c>
      <c r="C236" s="513">
        <v>5860</v>
      </c>
      <c r="D236" t="s">
        <v>1391</v>
      </c>
    </row>
    <row r="237" spans="1:4">
      <c r="A237" s="510" t="s">
        <v>1303</v>
      </c>
      <c r="B237" s="1">
        <v>45880.71</v>
      </c>
      <c r="C237" s="513">
        <v>5835</v>
      </c>
      <c r="D237" t="s">
        <v>1392</v>
      </c>
    </row>
    <row r="238" spans="1:4">
      <c r="A238" s="510" t="s">
        <v>1303</v>
      </c>
      <c r="B238" s="1">
        <v>45881</v>
      </c>
      <c r="C238" s="514">
        <v>19601.02</v>
      </c>
      <c r="D238" t="s">
        <v>1393</v>
      </c>
    </row>
    <row r="239" spans="1:4">
      <c r="A239" s="510" t="s">
        <v>1303</v>
      </c>
      <c r="B239" s="1">
        <v>45881.21</v>
      </c>
      <c r="C239" s="513">
        <v>6560</v>
      </c>
      <c r="D239" t="s">
        <v>1391</v>
      </c>
    </row>
    <row r="240" spans="1:4">
      <c r="A240" s="510" t="s">
        <v>1303</v>
      </c>
      <c r="B240" s="1">
        <v>45881.21</v>
      </c>
      <c r="C240" s="513">
        <v>6885.0000000000009</v>
      </c>
      <c r="D240" t="s">
        <v>1392</v>
      </c>
    </row>
    <row r="241" spans="1:4">
      <c r="A241" s="510" t="s">
        <v>1303</v>
      </c>
      <c r="B241" s="1">
        <v>45881.71</v>
      </c>
      <c r="C241" s="513">
        <v>6303.68</v>
      </c>
      <c r="D241" t="s">
        <v>1391</v>
      </c>
    </row>
    <row r="242" spans="1:4">
      <c r="A242" s="510" t="s">
        <v>1303</v>
      </c>
      <c r="B242" s="1">
        <v>45881.71</v>
      </c>
      <c r="C242" s="513">
        <v>5835</v>
      </c>
      <c r="D242" t="s">
        <v>1392</v>
      </c>
    </row>
    <row r="243" spans="1:4">
      <c r="A243" s="510" t="s">
        <v>1303</v>
      </c>
      <c r="B243" s="1">
        <v>45882</v>
      </c>
      <c r="C243" s="514">
        <v>17268.52</v>
      </c>
      <c r="D243" t="s">
        <v>1393</v>
      </c>
    </row>
    <row r="244" spans="1:4">
      <c r="A244" s="510" t="s">
        <v>1303</v>
      </c>
      <c r="B244" s="1">
        <v>45882.21</v>
      </c>
      <c r="C244" s="513">
        <v>6727.93</v>
      </c>
      <c r="D244" t="s">
        <v>1391</v>
      </c>
    </row>
    <row r="245" spans="1:4">
      <c r="A245" s="510" t="s">
        <v>1344</v>
      </c>
      <c r="B245" s="1">
        <v>45882.21</v>
      </c>
      <c r="C245" s="513">
        <v>2180</v>
      </c>
      <c r="D245" t="s">
        <v>1392</v>
      </c>
    </row>
    <row r="246" spans="1:4">
      <c r="A246" s="510" t="s">
        <v>1303</v>
      </c>
      <c r="B246" s="1">
        <v>45882.71</v>
      </c>
      <c r="C246" s="513">
        <v>5300</v>
      </c>
      <c r="D246" t="s">
        <v>1391</v>
      </c>
    </row>
    <row r="247" spans="1:4">
      <c r="A247" s="510" t="s">
        <v>1344</v>
      </c>
      <c r="B247" s="1">
        <v>45882.71</v>
      </c>
      <c r="C247" s="513">
        <v>6723.7</v>
      </c>
      <c r="D247" t="s">
        <v>1392</v>
      </c>
    </row>
    <row r="248" spans="1:4">
      <c r="A248" s="510" t="s">
        <v>1344</v>
      </c>
      <c r="B248" s="1">
        <v>45883</v>
      </c>
      <c r="C248" s="514">
        <v>16282.02</v>
      </c>
      <c r="D248" t="s">
        <v>1393</v>
      </c>
    </row>
    <row r="249" spans="1:4">
      <c r="A249" s="510" t="s">
        <v>1303</v>
      </c>
      <c r="B249" s="1">
        <v>45883.21</v>
      </c>
      <c r="C249" s="513">
        <v>7488.93</v>
      </c>
      <c r="D249" t="s">
        <v>1391</v>
      </c>
    </row>
    <row r="250" spans="1:4">
      <c r="A250" s="510" t="s">
        <v>1344</v>
      </c>
      <c r="B250" s="1">
        <v>45883.21</v>
      </c>
      <c r="C250" s="513">
        <v>6552.93</v>
      </c>
      <c r="D250" t="s">
        <v>1392</v>
      </c>
    </row>
    <row r="251" spans="1:4">
      <c r="A251" s="510" t="s">
        <v>1303</v>
      </c>
      <c r="B251" s="1">
        <v>45883.71</v>
      </c>
      <c r="C251" s="513">
        <v>6303.68</v>
      </c>
      <c r="D251" t="s">
        <v>1391</v>
      </c>
    </row>
    <row r="252" spans="1:4">
      <c r="A252" s="510" t="s">
        <v>1344</v>
      </c>
      <c r="B252" s="1">
        <v>45883.71</v>
      </c>
      <c r="C252" s="513">
        <v>6355</v>
      </c>
      <c r="D252" t="s">
        <v>1392</v>
      </c>
    </row>
    <row r="253" spans="1:4">
      <c r="A253" s="510" t="s">
        <v>1303</v>
      </c>
      <c r="B253" s="1">
        <v>45884</v>
      </c>
      <c r="C253" s="514">
        <v>16157.02</v>
      </c>
      <c r="D253" t="s">
        <v>1393</v>
      </c>
    </row>
    <row r="254" spans="1:4">
      <c r="A254" s="510" t="s">
        <v>1303</v>
      </c>
      <c r="B254" s="1">
        <v>45884.21</v>
      </c>
      <c r="C254" s="513">
        <v>6560</v>
      </c>
      <c r="D254" t="s">
        <v>1391</v>
      </c>
    </row>
    <row r="255" spans="1:4">
      <c r="A255" s="510" t="s">
        <v>1344</v>
      </c>
      <c r="B255" s="1">
        <v>45884.21</v>
      </c>
      <c r="C255" s="513">
        <v>4825</v>
      </c>
      <c r="D255" t="s">
        <v>1392</v>
      </c>
    </row>
    <row r="256" spans="1:4">
      <c r="A256" s="510" t="s">
        <v>1303</v>
      </c>
      <c r="B256" s="1">
        <v>45884.71</v>
      </c>
      <c r="C256" s="513">
        <v>8528.76</v>
      </c>
      <c r="D256" t="s">
        <v>1391</v>
      </c>
    </row>
    <row r="257" spans="1:4">
      <c r="A257" s="510" t="s">
        <v>1344</v>
      </c>
      <c r="B257" s="1">
        <v>45884.71</v>
      </c>
      <c r="C257" s="513">
        <v>7569.5599999999995</v>
      </c>
      <c r="D257" t="s">
        <v>1392</v>
      </c>
    </row>
    <row r="258" spans="1:4">
      <c r="A258" s="510" t="s">
        <v>1303</v>
      </c>
      <c r="B258" s="1">
        <v>45885</v>
      </c>
      <c r="C258" s="514">
        <v>16737.03</v>
      </c>
      <c r="D258" t="s">
        <v>1393</v>
      </c>
    </row>
    <row r="259" spans="1:4">
      <c r="A259" s="510" t="s">
        <v>1303</v>
      </c>
      <c r="B259" s="1">
        <v>45885.21</v>
      </c>
      <c r="C259" s="513">
        <v>6235</v>
      </c>
      <c r="D259" t="s">
        <v>1391</v>
      </c>
    </row>
    <row r="260" spans="1:4">
      <c r="A260" s="510" t="s">
        <v>1344</v>
      </c>
      <c r="B260" s="1">
        <v>45885.21</v>
      </c>
      <c r="C260" s="513">
        <v>6435.0000000000009</v>
      </c>
      <c r="D260" t="s">
        <v>1392</v>
      </c>
    </row>
    <row r="261" spans="1:4">
      <c r="A261" s="510" t="s">
        <v>1303</v>
      </c>
      <c r="B261" s="1">
        <v>45885.71</v>
      </c>
      <c r="C261" s="513">
        <v>6303.41</v>
      </c>
      <c r="D261" t="s">
        <v>1391</v>
      </c>
    </row>
    <row r="262" spans="1:4">
      <c r="A262" s="510" t="s">
        <v>1344</v>
      </c>
      <c r="B262" s="1">
        <v>45885.71</v>
      </c>
      <c r="C262" s="513">
        <v>6230</v>
      </c>
      <c r="D262" t="s">
        <v>1392</v>
      </c>
    </row>
    <row r="263" spans="1:4">
      <c r="A263" s="510" t="s">
        <v>1303</v>
      </c>
      <c r="B263" s="1">
        <v>45886</v>
      </c>
      <c r="C263" s="514">
        <v>17042.02</v>
      </c>
      <c r="D263" t="s">
        <v>1393</v>
      </c>
    </row>
    <row r="264" spans="1:4">
      <c r="A264" s="510" t="s">
        <v>1303</v>
      </c>
      <c r="B264" s="1">
        <v>45886.21</v>
      </c>
      <c r="C264" s="513">
        <v>6913.43</v>
      </c>
      <c r="D264" t="s">
        <v>1391</v>
      </c>
    </row>
    <row r="265" spans="1:4">
      <c r="A265" s="510" t="s">
        <v>1344</v>
      </c>
      <c r="B265" s="1">
        <v>45886.21</v>
      </c>
      <c r="C265" s="513">
        <v>6205</v>
      </c>
      <c r="D265" t="s">
        <v>1392</v>
      </c>
    </row>
    <row r="266" spans="1:4">
      <c r="A266" s="510" t="s">
        <v>1303</v>
      </c>
      <c r="B266" s="1">
        <v>45886.71</v>
      </c>
      <c r="C266" s="513">
        <v>5747.93</v>
      </c>
      <c r="D266" t="s">
        <v>1391</v>
      </c>
    </row>
    <row r="267" spans="1:4">
      <c r="A267" s="510" t="s">
        <v>1344</v>
      </c>
      <c r="B267" s="1">
        <v>45886.71</v>
      </c>
      <c r="C267" s="513">
        <v>6273.56</v>
      </c>
      <c r="D267" t="s">
        <v>1392</v>
      </c>
    </row>
    <row r="268" spans="1:4">
      <c r="A268" s="510" t="s">
        <v>1344</v>
      </c>
      <c r="B268" s="1">
        <v>45887</v>
      </c>
      <c r="C268" s="514">
        <v>16730.77</v>
      </c>
      <c r="D268" t="s">
        <v>1393</v>
      </c>
    </row>
    <row r="269" spans="1:4">
      <c r="A269" s="510" t="s">
        <v>1303</v>
      </c>
      <c r="B269" s="1">
        <v>45887.21</v>
      </c>
      <c r="C269" s="513">
        <v>6659.5</v>
      </c>
      <c r="D269" t="s">
        <v>1391</v>
      </c>
    </row>
    <row r="270" spans="1:4">
      <c r="A270" s="510" t="s">
        <v>1344</v>
      </c>
      <c r="B270" s="1">
        <v>45887.21</v>
      </c>
      <c r="C270" s="514">
        <v>6575</v>
      </c>
      <c r="D270" t="s">
        <v>1392</v>
      </c>
    </row>
    <row r="271" spans="1:4">
      <c r="A271" s="510" t="s">
        <v>1303</v>
      </c>
      <c r="B271" s="1">
        <v>45887.71</v>
      </c>
      <c r="C271" s="513">
        <v>6454.93</v>
      </c>
      <c r="D271" t="s">
        <v>1391</v>
      </c>
    </row>
    <row r="272" spans="1:4">
      <c r="A272" s="510" t="s">
        <v>1344</v>
      </c>
      <c r="B272" s="1">
        <v>45887.71</v>
      </c>
      <c r="C272" s="514">
        <v>6273.5600000000022</v>
      </c>
      <c r="D272" t="s">
        <v>1392</v>
      </c>
    </row>
    <row r="273" spans="1:4">
      <c r="A273" s="510" t="s">
        <v>1344</v>
      </c>
      <c r="B273" s="1">
        <v>45888</v>
      </c>
      <c r="C273" s="514">
        <v>19871.439999999999</v>
      </c>
      <c r="D273" t="s">
        <v>1393</v>
      </c>
    </row>
    <row r="274" spans="1:4">
      <c r="A274" s="510" t="s">
        <v>1303</v>
      </c>
      <c r="B274" s="1">
        <v>45888.21</v>
      </c>
      <c r="C274" s="513">
        <v>6727.93</v>
      </c>
      <c r="D274" t="s">
        <v>1391</v>
      </c>
    </row>
    <row r="275" spans="1:4">
      <c r="A275" s="510" t="s">
        <v>1344</v>
      </c>
      <c r="B275" s="1">
        <v>45888.21</v>
      </c>
      <c r="C275" s="514">
        <v>6552.93</v>
      </c>
      <c r="D275" t="s">
        <v>1392</v>
      </c>
    </row>
    <row r="276" spans="1:4">
      <c r="A276" s="510" t="s">
        <v>1303</v>
      </c>
      <c r="B276" s="1">
        <v>45888.71</v>
      </c>
      <c r="C276" s="513">
        <v>4480</v>
      </c>
      <c r="D276" t="s">
        <v>1391</v>
      </c>
    </row>
    <row r="277" spans="1:4">
      <c r="A277" s="510" t="s">
        <v>1344</v>
      </c>
      <c r="B277" s="1">
        <v>45888.71</v>
      </c>
      <c r="C277" s="514">
        <v>6598.49</v>
      </c>
      <c r="D277" t="s">
        <v>1392</v>
      </c>
    </row>
    <row r="278" spans="1:4">
      <c r="A278" s="510" t="s">
        <v>1344</v>
      </c>
      <c r="B278" s="1">
        <v>45889</v>
      </c>
      <c r="C278" s="514">
        <v>19834.52</v>
      </c>
      <c r="D278" t="s">
        <v>1393</v>
      </c>
    </row>
    <row r="279" spans="1:4">
      <c r="A279" s="510" t="s">
        <v>1303</v>
      </c>
      <c r="B279" s="1">
        <v>45889.21</v>
      </c>
      <c r="C279" s="513">
        <v>3055</v>
      </c>
      <c r="D279" t="s">
        <v>1391</v>
      </c>
    </row>
    <row r="280" spans="1:4">
      <c r="A280" s="510" t="s">
        <v>1344</v>
      </c>
      <c r="B280" s="1">
        <v>45889.21</v>
      </c>
      <c r="C280" s="514">
        <v>6902.93</v>
      </c>
      <c r="D280" t="s">
        <v>1392</v>
      </c>
    </row>
    <row r="281" spans="1:4">
      <c r="A281" s="510" t="s">
        <v>1303</v>
      </c>
      <c r="B281" s="1">
        <v>45889.71</v>
      </c>
      <c r="C281" s="513">
        <v>5977.93</v>
      </c>
      <c r="D281" t="s">
        <v>1391</v>
      </c>
    </row>
    <row r="282" spans="1:4">
      <c r="A282" s="510" t="s">
        <v>1303</v>
      </c>
      <c r="B282" s="1">
        <v>45889.71</v>
      </c>
      <c r="C282" s="514">
        <v>6771</v>
      </c>
      <c r="D282" t="s">
        <v>1392</v>
      </c>
    </row>
    <row r="283" spans="1:4">
      <c r="A283" s="510" t="s">
        <v>1344</v>
      </c>
      <c r="B283" s="1">
        <v>45890</v>
      </c>
      <c r="C283" s="514">
        <v>18796.37</v>
      </c>
      <c r="D283" t="s">
        <v>1393</v>
      </c>
    </row>
    <row r="284" spans="1:4">
      <c r="A284" s="510" t="s">
        <v>1303</v>
      </c>
      <c r="B284" s="1">
        <v>45890.21</v>
      </c>
      <c r="C284" s="513">
        <v>6610</v>
      </c>
      <c r="D284" t="s">
        <v>1391</v>
      </c>
    </row>
    <row r="285" spans="1:4">
      <c r="A285" s="510" t="s">
        <v>1303</v>
      </c>
      <c r="B285" s="1">
        <v>45890.21</v>
      </c>
      <c r="C285" s="514">
        <v>6843.42</v>
      </c>
      <c r="D285" t="s">
        <v>1392</v>
      </c>
    </row>
    <row r="286" spans="1:4">
      <c r="A286" s="510" t="s">
        <v>1303</v>
      </c>
      <c r="B286" s="1">
        <v>45890.71</v>
      </c>
      <c r="C286" s="513">
        <v>6421.61</v>
      </c>
      <c r="D286" t="s">
        <v>1391</v>
      </c>
    </row>
    <row r="287" spans="1:4">
      <c r="A287" s="510" t="s">
        <v>1303</v>
      </c>
      <c r="B287" s="1">
        <v>45890.71</v>
      </c>
      <c r="C287" s="514">
        <v>6421.79</v>
      </c>
      <c r="D287" t="s">
        <v>1392</v>
      </c>
    </row>
    <row r="288" spans="1:4">
      <c r="A288" s="510" t="s">
        <v>1344</v>
      </c>
      <c r="B288" s="1">
        <v>45891</v>
      </c>
      <c r="C288" s="514">
        <v>18212.28</v>
      </c>
      <c r="D288" t="s">
        <v>1393</v>
      </c>
    </row>
    <row r="289" spans="1:4">
      <c r="A289" s="510" t="s">
        <v>1303</v>
      </c>
      <c r="B289" s="1">
        <v>45891.21</v>
      </c>
      <c r="C289" s="513">
        <v>6610</v>
      </c>
      <c r="D289" t="s">
        <v>1391</v>
      </c>
    </row>
    <row r="290" spans="1:4">
      <c r="A290" s="510" t="s">
        <v>1303</v>
      </c>
      <c r="B290" s="1">
        <v>45891.21</v>
      </c>
      <c r="C290" s="514">
        <v>6812.93</v>
      </c>
      <c r="D290" t="s">
        <v>1392</v>
      </c>
    </row>
    <row r="291" spans="1:4">
      <c r="A291" s="510" t="s">
        <v>1303</v>
      </c>
      <c r="B291" s="1">
        <v>45891.71</v>
      </c>
      <c r="C291" s="513">
        <v>5860</v>
      </c>
      <c r="D291" t="s">
        <v>1391</v>
      </c>
    </row>
    <row r="292" spans="1:4">
      <c r="A292" s="510" t="s">
        <v>1303</v>
      </c>
      <c r="B292" s="1">
        <v>45891.71</v>
      </c>
      <c r="C292" s="514">
        <v>6311</v>
      </c>
      <c r="D292" t="s">
        <v>1392</v>
      </c>
    </row>
    <row r="293" spans="1:4">
      <c r="A293" s="510" t="s">
        <v>1344</v>
      </c>
      <c r="B293" s="1">
        <v>45892</v>
      </c>
      <c r="C293" s="514">
        <v>13839.77</v>
      </c>
      <c r="D293" t="s">
        <v>1393</v>
      </c>
    </row>
    <row r="294" spans="1:4">
      <c r="A294" s="510" t="s">
        <v>1303</v>
      </c>
      <c r="B294" s="1">
        <v>45892.21</v>
      </c>
      <c r="C294" s="513">
        <v>6597.5</v>
      </c>
      <c r="D294" t="s">
        <v>1391</v>
      </c>
    </row>
    <row r="295" spans="1:4">
      <c r="A295" s="510" t="s">
        <v>1344</v>
      </c>
      <c r="B295" s="1">
        <v>45892.21</v>
      </c>
      <c r="C295" s="514">
        <v>7137.43</v>
      </c>
      <c r="D295" t="s">
        <v>1392</v>
      </c>
    </row>
    <row r="296" spans="1:4">
      <c r="A296" s="510" t="s">
        <v>1303</v>
      </c>
      <c r="B296" s="1">
        <v>45892.71</v>
      </c>
      <c r="C296" s="513">
        <v>5860</v>
      </c>
      <c r="D296" t="s">
        <v>1391</v>
      </c>
    </row>
    <row r="297" spans="1:4">
      <c r="A297" s="510" t="s">
        <v>1344</v>
      </c>
      <c r="B297" s="1">
        <v>45892.71</v>
      </c>
      <c r="C297" s="514">
        <v>6293.7</v>
      </c>
      <c r="D297" t="s">
        <v>1392</v>
      </c>
    </row>
    <row r="298" spans="1:4">
      <c r="A298" s="510" t="s">
        <v>1344</v>
      </c>
      <c r="B298" s="1">
        <v>45893</v>
      </c>
      <c r="C298" s="514">
        <v>17628.52</v>
      </c>
      <c r="D298" t="s">
        <v>1393</v>
      </c>
    </row>
    <row r="299" spans="1:4">
      <c r="A299" s="510" t="s">
        <v>1303</v>
      </c>
      <c r="B299" s="1">
        <v>45893.21</v>
      </c>
      <c r="C299" s="513">
        <v>6380</v>
      </c>
      <c r="D299" t="s">
        <v>1391</v>
      </c>
    </row>
    <row r="300" spans="1:4">
      <c r="A300" s="510" t="s">
        <v>1344</v>
      </c>
      <c r="B300" s="1">
        <v>45893.21</v>
      </c>
      <c r="C300" s="514">
        <v>6802.93</v>
      </c>
      <c r="D300" t="s">
        <v>1392</v>
      </c>
    </row>
    <row r="301" spans="1:4">
      <c r="A301" s="510" t="s">
        <v>1303</v>
      </c>
      <c r="B301" s="1">
        <v>45893.71</v>
      </c>
      <c r="C301" s="513">
        <v>5622.93</v>
      </c>
      <c r="D301" t="s">
        <v>1391</v>
      </c>
    </row>
    <row r="302" spans="1:4">
      <c r="A302" s="510" t="s">
        <v>1344</v>
      </c>
      <c r="B302" s="1">
        <v>45893.71</v>
      </c>
      <c r="C302" s="514">
        <v>6070.49</v>
      </c>
      <c r="D302" t="s">
        <v>1392</v>
      </c>
    </row>
    <row r="303" spans="1:4">
      <c r="A303" s="510" t="s">
        <v>1303</v>
      </c>
      <c r="B303" s="1">
        <v>45894</v>
      </c>
      <c r="C303" s="514">
        <v>16251.07</v>
      </c>
      <c r="D303" t="s">
        <v>1393</v>
      </c>
    </row>
    <row r="304" spans="1:4">
      <c r="A304" s="510" t="s">
        <v>1303</v>
      </c>
      <c r="B304" s="1">
        <v>45894.21</v>
      </c>
      <c r="C304" s="513">
        <v>6610</v>
      </c>
      <c r="D304" t="s">
        <v>1391</v>
      </c>
    </row>
    <row r="305" spans="1:4">
      <c r="A305" s="510" t="s">
        <v>1344</v>
      </c>
      <c r="B305" s="1">
        <v>45894.21</v>
      </c>
      <c r="C305" s="514">
        <v>6552.93</v>
      </c>
      <c r="D305" t="s">
        <v>1392</v>
      </c>
    </row>
    <row r="306" spans="1:4">
      <c r="A306" s="510" t="s">
        <v>1303</v>
      </c>
      <c r="B306" s="1">
        <v>45894.71</v>
      </c>
      <c r="C306" s="513">
        <v>6559.11</v>
      </c>
      <c r="D306" t="s">
        <v>1391</v>
      </c>
    </row>
    <row r="307" spans="1:4">
      <c r="A307" s="510" t="s">
        <v>1344</v>
      </c>
      <c r="B307" s="1">
        <v>45894.71</v>
      </c>
      <c r="C307" s="514">
        <v>6127.93</v>
      </c>
      <c r="D307" t="s">
        <v>1392</v>
      </c>
    </row>
    <row r="308" spans="1:4">
      <c r="A308" s="510" t="s">
        <v>1303</v>
      </c>
      <c r="B308" s="1">
        <v>45895</v>
      </c>
      <c r="C308" s="514">
        <v>19934.169999999998</v>
      </c>
      <c r="D308" t="s">
        <v>1393</v>
      </c>
    </row>
    <row r="309" spans="1:4">
      <c r="A309" s="510" t="s">
        <v>1303</v>
      </c>
      <c r="B309" s="1">
        <v>45895.21</v>
      </c>
      <c r="C309" s="513">
        <v>6727.93</v>
      </c>
      <c r="D309" t="s">
        <v>1391</v>
      </c>
    </row>
    <row r="310" spans="1:4">
      <c r="A310" s="510" t="s">
        <v>1344</v>
      </c>
      <c r="B310" s="1">
        <v>45895.21</v>
      </c>
      <c r="C310" s="514">
        <v>7015.93</v>
      </c>
      <c r="D310" t="s">
        <v>1392</v>
      </c>
    </row>
    <row r="311" spans="1:4">
      <c r="A311" s="510" t="s">
        <v>1303</v>
      </c>
      <c r="B311" s="1">
        <v>45895.71</v>
      </c>
      <c r="C311" s="513">
        <v>5860</v>
      </c>
      <c r="D311" t="s">
        <v>1391</v>
      </c>
    </row>
    <row r="312" spans="1:4">
      <c r="A312" s="510" t="s">
        <v>1344</v>
      </c>
      <c r="B312" s="1">
        <v>45895.71</v>
      </c>
      <c r="C312" s="514">
        <v>4170</v>
      </c>
      <c r="D312" t="s">
        <v>1392</v>
      </c>
    </row>
    <row r="313" spans="1:4">
      <c r="A313" s="510" t="s">
        <v>1303</v>
      </c>
      <c r="B313" s="1">
        <v>45896</v>
      </c>
      <c r="C313" s="514">
        <v>20693.27</v>
      </c>
      <c r="D313" t="s">
        <v>1393</v>
      </c>
    </row>
    <row r="314" spans="1:4">
      <c r="A314" s="510" t="s">
        <v>1303</v>
      </c>
      <c r="B314" s="1">
        <v>45896.21</v>
      </c>
      <c r="C314" s="513">
        <v>6727.93</v>
      </c>
      <c r="D314" t="s">
        <v>1391</v>
      </c>
    </row>
    <row r="315" spans="1:4">
      <c r="A315" s="510" t="s">
        <v>1344</v>
      </c>
      <c r="B315" s="1">
        <v>45896.21</v>
      </c>
      <c r="C315" s="514">
        <v>1145</v>
      </c>
      <c r="D315" t="s">
        <v>1392</v>
      </c>
    </row>
    <row r="316" spans="1:4">
      <c r="A316" s="510" t="s">
        <v>1303</v>
      </c>
      <c r="B316" s="1">
        <v>45896.71</v>
      </c>
      <c r="C316" s="513">
        <v>5860</v>
      </c>
      <c r="D316" t="s">
        <v>1391</v>
      </c>
    </row>
    <row r="317" spans="1:4">
      <c r="A317" s="510" t="s">
        <v>1344</v>
      </c>
      <c r="B317" s="1">
        <v>45896.71</v>
      </c>
      <c r="C317" s="514">
        <v>6117.93</v>
      </c>
      <c r="D317" t="s">
        <v>1392</v>
      </c>
    </row>
    <row r="318" spans="1:4">
      <c r="A318" s="510" t="s">
        <v>1303</v>
      </c>
      <c r="B318" s="1">
        <v>45897</v>
      </c>
      <c r="C318" s="514">
        <v>17126.07</v>
      </c>
      <c r="D318" t="s">
        <v>1393</v>
      </c>
    </row>
    <row r="319" spans="1:4">
      <c r="A319" s="510" t="s">
        <v>1344</v>
      </c>
      <c r="B319" s="1">
        <v>45897.21</v>
      </c>
      <c r="C319" s="513">
        <v>6610</v>
      </c>
      <c r="D319" t="s">
        <v>1391</v>
      </c>
    </row>
    <row r="320" spans="1:4">
      <c r="A320" s="510" t="s">
        <v>1344</v>
      </c>
      <c r="B320" s="1">
        <v>45897.21</v>
      </c>
      <c r="C320" s="514">
        <v>6459.5</v>
      </c>
      <c r="D320" t="s">
        <v>1392</v>
      </c>
    </row>
    <row r="321" spans="1:4">
      <c r="A321" s="510" t="s">
        <v>1344</v>
      </c>
      <c r="B321" s="1">
        <v>45897.71</v>
      </c>
      <c r="C321" s="513">
        <v>6626.1799999999994</v>
      </c>
      <c r="D321" t="s">
        <v>1391</v>
      </c>
    </row>
    <row r="322" spans="1:4">
      <c r="A322" s="510" t="s">
        <v>1344</v>
      </c>
      <c r="B322" s="1">
        <v>45897.71</v>
      </c>
      <c r="C322" s="514">
        <v>6150.49</v>
      </c>
      <c r="D322" t="s">
        <v>1392</v>
      </c>
    </row>
    <row r="323" spans="1:4">
      <c r="A323" s="510" t="s">
        <v>1303</v>
      </c>
      <c r="B323" s="1">
        <v>45898</v>
      </c>
      <c r="C323" s="514">
        <v>17907.32</v>
      </c>
      <c r="D323" t="s">
        <v>1393</v>
      </c>
    </row>
    <row r="324" spans="1:4">
      <c r="A324" s="510" t="s">
        <v>1344</v>
      </c>
      <c r="B324" s="1">
        <v>45898.21</v>
      </c>
      <c r="C324" s="513">
        <v>6610</v>
      </c>
      <c r="D324" t="s">
        <v>1391</v>
      </c>
    </row>
    <row r="325" spans="1:4">
      <c r="A325" s="510" t="s">
        <v>1344</v>
      </c>
      <c r="B325" s="1">
        <v>45898.21</v>
      </c>
      <c r="C325" s="514">
        <v>7145.0000000000009</v>
      </c>
      <c r="D325" t="s">
        <v>1392</v>
      </c>
    </row>
    <row r="326" spans="1:4">
      <c r="A326" s="510" t="s">
        <v>1344</v>
      </c>
      <c r="B326" s="1">
        <v>45898.71</v>
      </c>
      <c r="C326" s="513">
        <v>5860</v>
      </c>
      <c r="D326" t="s">
        <v>1391</v>
      </c>
    </row>
    <row r="327" spans="1:4">
      <c r="A327" s="510" t="s">
        <v>1344</v>
      </c>
      <c r="B327" s="1">
        <v>45898.71</v>
      </c>
      <c r="C327" s="514">
        <v>6034.9299999999985</v>
      </c>
      <c r="D327" t="s">
        <v>1392</v>
      </c>
    </row>
    <row r="328" spans="1:4">
      <c r="A328" s="510" t="s">
        <v>1303</v>
      </c>
      <c r="B328" s="1">
        <v>45899</v>
      </c>
      <c r="C328" s="514">
        <v>16978.169999999998</v>
      </c>
      <c r="D328" t="s">
        <v>1393</v>
      </c>
    </row>
    <row r="329" spans="1:4">
      <c r="A329" s="510" t="s">
        <v>1344</v>
      </c>
      <c r="B329" s="1">
        <v>45899.21</v>
      </c>
      <c r="C329" s="513">
        <v>6610</v>
      </c>
      <c r="D329" t="s">
        <v>1391</v>
      </c>
    </row>
    <row r="330" spans="1:4">
      <c r="A330" s="510" t="s">
        <v>1344</v>
      </c>
      <c r="B330" s="1">
        <v>45899.21</v>
      </c>
      <c r="C330" s="514">
        <v>6824.0000000000009</v>
      </c>
      <c r="D330" t="s">
        <v>1392</v>
      </c>
    </row>
    <row r="331" spans="1:4">
      <c r="A331" s="510" t="s">
        <v>1344</v>
      </c>
      <c r="B331" s="1">
        <v>45899.71</v>
      </c>
      <c r="C331" s="513">
        <v>2550</v>
      </c>
      <c r="D331" t="s">
        <v>1391</v>
      </c>
    </row>
    <row r="332" spans="1:4">
      <c r="A332" s="510" t="s">
        <v>1303</v>
      </c>
      <c r="B332" s="1">
        <v>45899.71</v>
      </c>
      <c r="C332" s="514">
        <v>6621</v>
      </c>
      <c r="D332" t="s">
        <v>1392</v>
      </c>
    </row>
    <row r="333" spans="1:4">
      <c r="A333" s="510" t="s">
        <v>1303</v>
      </c>
      <c r="B333" s="1">
        <v>45900</v>
      </c>
      <c r="C333" s="514">
        <v>37354.699999999997</v>
      </c>
      <c r="D333" t="s">
        <v>1393</v>
      </c>
    </row>
    <row r="334" spans="1:4">
      <c r="A334" s="510" t="s">
        <v>1344</v>
      </c>
      <c r="B334" s="1">
        <v>45900.21</v>
      </c>
      <c r="C334" s="513">
        <v>14635</v>
      </c>
      <c r="D334" t="s">
        <v>1391</v>
      </c>
    </row>
    <row r="335" spans="1:4">
      <c r="A335" s="510" t="s">
        <v>1303</v>
      </c>
      <c r="B335" s="1">
        <v>45900.21</v>
      </c>
      <c r="C335" s="514">
        <v>6299.85</v>
      </c>
      <c r="D335" t="s">
        <v>1392</v>
      </c>
    </row>
    <row r="336" spans="1:4">
      <c r="A336" s="510" t="s">
        <v>1303</v>
      </c>
      <c r="B336" s="1">
        <v>45900.71</v>
      </c>
      <c r="C336" s="514">
        <v>14825.43</v>
      </c>
      <c r="D336" t="s">
        <v>1392</v>
      </c>
    </row>
    <row r="337" spans="1:4">
      <c r="A337" s="510" t="s">
        <v>1344</v>
      </c>
      <c r="B337" s="1">
        <v>45901</v>
      </c>
      <c r="C337" s="514">
        <v>15322.02</v>
      </c>
      <c r="D337" t="s">
        <v>1393</v>
      </c>
    </row>
    <row r="338" spans="1:4">
      <c r="A338" s="510" t="s">
        <v>1303</v>
      </c>
      <c r="B338" s="1">
        <v>45901.21</v>
      </c>
      <c r="C338" s="514">
        <v>6335</v>
      </c>
      <c r="D338" t="s">
        <v>1392</v>
      </c>
    </row>
    <row r="339" spans="1:4">
      <c r="A339" s="510" t="s">
        <v>1344</v>
      </c>
      <c r="B339" s="1">
        <v>45901.71</v>
      </c>
      <c r="C339" s="514">
        <v>6791.13</v>
      </c>
      <c r="D339" t="s">
        <v>1392</v>
      </c>
    </row>
    <row r="340" spans="1:4">
      <c r="A340" s="510" t="s">
        <v>1344</v>
      </c>
      <c r="B340" s="1">
        <v>45902</v>
      </c>
      <c r="C340" s="514">
        <v>15769.87</v>
      </c>
      <c r="D340" t="s">
        <v>1393</v>
      </c>
    </row>
    <row r="341" spans="1:4">
      <c r="A341" s="510" t="s">
        <v>1344</v>
      </c>
      <c r="B341" s="1">
        <v>45902.21</v>
      </c>
      <c r="C341" s="514">
        <v>6990.49</v>
      </c>
      <c r="D341" t="s">
        <v>1392</v>
      </c>
    </row>
    <row r="342" spans="1:4">
      <c r="A342" s="510" t="s">
        <v>1344</v>
      </c>
      <c r="B342" s="1">
        <v>45902.71</v>
      </c>
      <c r="C342" s="514">
        <v>5977.93</v>
      </c>
      <c r="D342" t="s">
        <v>1392</v>
      </c>
    </row>
    <row r="343" spans="1:4">
      <c r="A343" s="510" t="s">
        <v>1344</v>
      </c>
      <c r="B343" s="1">
        <v>45903</v>
      </c>
      <c r="C343" s="514">
        <v>16253.630000000001</v>
      </c>
      <c r="D343" t="s">
        <v>1393</v>
      </c>
    </row>
    <row r="344" spans="1:4">
      <c r="A344" s="510" t="s">
        <v>1344</v>
      </c>
      <c r="B344" s="1">
        <v>45903.21</v>
      </c>
      <c r="C344" s="514">
        <v>6335</v>
      </c>
      <c r="D344" t="s">
        <v>1392</v>
      </c>
    </row>
    <row r="345" spans="1:4">
      <c r="A345" s="510" t="s">
        <v>1344</v>
      </c>
      <c r="B345" s="1">
        <v>45903.71</v>
      </c>
      <c r="C345" s="514">
        <v>6711.83</v>
      </c>
      <c r="D345" t="s">
        <v>1392</v>
      </c>
    </row>
    <row r="346" spans="1:4">
      <c r="A346" s="510" t="s">
        <v>1344</v>
      </c>
      <c r="B346" s="1">
        <v>45904</v>
      </c>
      <c r="C346" s="514">
        <v>12126.130000000001</v>
      </c>
      <c r="D346" t="s">
        <v>1393</v>
      </c>
    </row>
    <row r="347" spans="1:4">
      <c r="A347" s="510" t="s">
        <v>1344</v>
      </c>
      <c r="B347" s="1">
        <v>45904.21</v>
      </c>
      <c r="C347" s="514">
        <v>6435</v>
      </c>
      <c r="D347" t="s">
        <v>1392</v>
      </c>
    </row>
    <row r="348" spans="1:4">
      <c r="A348" s="510" t="s">
        <v>1344</v>
      </c>
      <c r="B348" s="1">
        <v>45904.71</v>
      </c>
      <c r="C348" s="514">
        <v>5977.93</v>
      </c>
      <c r="D348" t="s">
        <v>1392</v>
      </c>
    </row>
    <row r="349" spans="1:4">
      <c r="A349" s="510" t="s">
        <v>1344</v>
      </c>
      <c r="B349" s="1">
        <v>45905</v>
      </c>
      <c r="C349" s="514">
        <v>14974.64</v>
      </c>
      <c r="D349" t="s">
        <v>1393</v>
      </c>
    </row>
    <row r="350" spans="1:4">
      <c r="A350" s="510" t="s">
        <v>1344</v>
      </c>
      <c r="B350" s="1">
        <v>45905.21</v>
      </c>
      <c r="C350" s="514">
        <v>6655</v>
      </c>
      <c r="D350" t="s">
        <v>1392</v>
      </c>
    </row>
    <row r="351" spans="1:4">
      <c r="A351" s="510" t="s">
        <v>1303</v>
      </c>
      <c r="B351" s="1">
        <v>45905.71</v>
      </c>
      <c r="C351" s="514">
        <v>6055.43</v>
      </c>
      <c r="D351" t="s">
        <v>1392</v>
      </c>
    </row>
    <row r="352" spans="1:4">
      <c r="A352" s="510" t="s">
        <v>1344</v>
      </c>
      <c r="B352" s="1">
        <v>45906</v>
      </c>
      <c r="C352" s="514">
        <v>16644.52</v>
      </c>
      <c r="D352" t="s">
        <v>1393</v>
      </c>
    </row>
    <row r="353" spans="1:4">
      <c r="A353" s="510" t="s">
        <v>1303</v>
      </c>
      <c r="B353" s="1">
        <v>45906.21</v>
      </c>
      <c r="C353" s="514">
        <v>6830.85</v>
      </c>
      <c r="D353" t="s">
        <v>1392</v>
      </c>
    </row>
    <row r="354" spans="1:4">
      <c r="A354" s="510" t="s">
        <v>1303</v>
      </c>
      <c r="B354" s="1">
        <v>45906.71</v>
      </c>
      <c r="C354" s="514">
        <v>5977.93</v>
      </c>
      <c r="D354" t="s">
        <v>1392</v>
      </c>
    </row>
    <row r="355" spans="1:4">
      <c r="A355" s="510" t="s">
        <v>1344</v>
      </c>
      <c r="B355" s="1">
        <v>45907</v>
      </c>
      <c r="C355" s="514">
        <v>10901.25</v>
      </c>
      <c r="D355" t="s">
        <v>1393</v>
      </c>
    </row>
    <row r="356" spans="1:4">
      <c r="A356" s="510" t="s">
        <v>1303</v>
      </c>
      <c r="B356" s="1">
        <v>45907.21</v>
      </c>
      <c r="C356" s="514">
        <v>6425</v>
      </c>
      <c r="D356" t="s">
        <v>1392</v>
      </c>
    </row>
    <row r="357" spans="1:4">
      <c r="A357" s="510" t="s">
        <v>1303</v>
      </c>
      <c r="B357" s="1">
        <v>45907.71</v>
      </c>
      <c r="C357" s="514">
        <v>5630</v>
      </c>
      <c r="D357" t="s">
        <v>1392</v>
      </c>
    </row>
    <row r="358" spans="1:4">
      <c r="A358" s="510" t="e">
        <v>#N/A</v>
      </c>
      <c r="B358" s="1">
        <v>45908</v>
      </c>
      <c r="C358" s="514">
        <v>4230</v>
      </c>
      <c r="D358" t="s">
        <v>1393</v>
      </c>
    </row>
    <row r="359" spans="1:4">
      <c r="A359" s="510" t="s">
        <v>1303</v>
      </c>
      <c r="B359" s="1">
        <v>45908.21</v>
      </c>
      <c r="C359" s="514">
        <v>7334.12</v>
      </c>
      <c r="D359" t="s">
        <v>1392</v>
      </c>
    </row>
    <row r="360" spans="1:4">
      <c r="A360" s="510" t="s">
        <v>1303</v>
      </c>
      <c r="B360" s="1">
        <v>45908.71</v>
      </c>
      <c r="C360" s="514">
        <v>5762.85</v>
      </c>
      <c r="D360" t="s">
        <v>1392</v>
      </c>
    </row>
    <row r="361" spans="1:4">
      <c r="A361" s="510" t="e">
        <v>#N/A</v>
      </c>
      <c r="B361" s="1">
        <v>45909</v>
      </c>
      <c r="C361" s="514">
        <v>53618.6</v>
      </c>
      <c r="D361" t="s">
        <v>1393</v>
      </c>
    </row>
    <row r="362" spans="1:4">
      <c r="A362" s="510" t="s">
        <v>1303</v>
      </c>
      <c r="B362" s="1">
        <v>45909.21</v>
      </c>
      <c r="C362" s="514">
        <v>6526.06</v>
      </c>
      <c r="D362" t="s">
        <v>1392</v>
      </c>
    </row>
    <row r="363" spans="1:4">
      <c r="A363" s="510" t="s">
        <v>1303</v>
      </c>
      <c r="B363" s="1">
        <v>45909.71</v>
      </c>
      <c r="C363" s="514">
        <v>3560</v>
      </c>
      <c r="D363" t="s">
        <v>1392</v>
      </c>
    </row>
    <row r="364" spans="1:4">
      <c r="A364" s="510" t="e">
        <v>#N/A</v>
      </c>
      <c r="B364" s="1">
        <v>45910</v>
      </c>
      <c r="C364" s="514">
        <v>0</v>
      </c>
      <c r="D364" t="s">
        <v>1393</v>
      </c>
    </row>
    <row r="365" spans="1:4">
      <c r="A365" s="510" t="s">
        <v>1303</v>
      </c>
      <c r="B365" s="1">
        <v>45910.21</v>
      </c>
      <c r="C365" s="514">
        <v>2090</v>
      </c>
      <c r="D365" t="s">
        <v>1392</v>
      </c>
    </row>
    <row r="366" spans="1:4">
      <c r="A366" s="510" t="s">
        <v>1303</v>
      </c>
      <c r="B366" s="1">
        <v>45910.71</v>
      </c>
      <c r="C366" s="514">
        <v>0</v>
      </c>
      <c r="D366" t="s">
        <v>1392</v>
      </c>
    </row>
    <row r="367" spans="1:4">
      <c r="A367" s="510" t="s">
        <v>1303</v>
      </c>
      <c r="B367" s="1">
        <v>45911.21</v>
      </c>
      <c r="C367" s="514">
        <v>7865.0000000000009</v>
      </c>
      <c r="D367" t="s">
        <v>1392</v>
      </c>
    </row>
    <row r="368" spans="1:4">
      <c r="A368" s="510" t="s">
        <v>1303</v>
      </c>
      <c r="B368" s="1">
        <v>45911.71</v>
      </c>
      <c r="C368" s="514">
        <v>0</v>
      </c>
      <c r="D368" t="s">
        <v>1392</v>
      </c>
    </row>
    <row r="369" spans="1:4">
      <c r="A369" s="510" t="s">
        <v>1303</v>
      </c>
      <c r="B369" s="1">
        <v>45912.21</v>
      </c>
      <c r="C369" s="514">
        <v>6807.93</v>
      </c>
      <c r="D369" t="s">
        <v>1392</v>
      </c>
    </row>
    <row r="370" spans="1:4">
      <c r="A370" s="510" t="s">
        <v>1303</v>
      </c>
      <c r="B370" s="1">
        <v>45912.71</v>
      </c>
      <c r="C370" s="514">
        <v>0</v>
      </c>
      <c r="D370" t="s">
        <v>1392</v>
      </c>
    </row>
    <row r="371" spans="1:4">
      <c r="A371" s="510" t="s">
        <v>1303</v>
      </c>
      <c r="B371" s="1">
        <v>45913.21</v>
      </c>
      <c r="C371" s="514">
        <v>8198.42</v>
      </c>
      <c r="D371" t="s">
        <v>1392</v>
      </c>
    </row>
    <row r="372" spans="1:4">
      <c r="A372" s="510" t="s">
        <v>1303</v>
      </c>
      <c r="B372" s="1">
        <v>45913.71</v>
      </c>
      <c r="C372" s="514">
        <v>0</v>
      </c>
      <c r="D372" t="s">
        <v>1392</v>
      </c>
    </row>
    <row r="373" spans="1:4">
      <c r="A373" s="510" t="s">
        <v>1303</v>
      </c>
      <c r="B373" s="1">
        <v>45914.21</v>
      </c>
      <c r="C373" s="514">
        <v>8035.92</v>
      </c>
      <c r="D373" t="s">
        <v>1392</v>
      </c>
    </row>
    <row r="374" spans="1:4">
      <c r="A374" s="510" t="s">
        <v>1303</v>
      </c>
      <c r="B374" s="1">
        <v>45914.71</v>
      </c>
      <c r="C374" s="514">
        <v>0</v>
      </c>
      <c r="D374" t="s">
        <v>1392</v>
      </c>
    </row>
    <row r="375" spans="1:4">
      <c r="A375" s="510" t="s">
        <v>1303</v>
      </c>
      <c r="B375" s="1">
        <v>45915.21</v>
      </c>
      <c r="C375" s="514">
        <v>9502.31</v>
      </c>
      <c r="D375" t="s">
        <v>1392</v>
      </c>
    </row>
    <row r="376" spans="1:4">
      <c r="A376" s="510" t="s">
        <v>1303</v>
      </c>
      <c r="B376" s="1">
        <v>45915.71</v>
      </c>
      <c r="C376" s="514">
        <v>0</v>
      </c>
      <c r="D376" t="s">
        <v>1392</v>
      </c>
    </row>
    <row r="377" spans="1:4">
      <c r="A377" s="510" t="s">
        <v>1344</v>
      </c>
      <c r="B377" s="1">
        <v>45916.21</v>
      </c>
      <c r="C377" s="514">
        <v>7395.92</v>
      </c>
      <c r="D377" t="s">
        <v>1392</v>
      </c>
    </row>
    <row r="378" spans="1:4">
      <c r="A378" s="510" t="s">
        <v>1344</v>
      </c>
      <c r="B378" s="1">
        <v>45916.71</v>
      </c>
      <c r="C378" s="514">
        <v>0</v>
      </c>
      <c r="D378" t="s">
        <v>1392</v>
      </c>
    </row>
    <row r="379" spans="1:4">
      <c r="A379" s="510" t="s">
        <v>1344</v>
      </c>
      <c r="B379" s="1">
        <v>45917.21</v>
      </c>
      <c r="C379" s="514">
        <v>7457.93</v>
      </c>
      <c r="D379" t="s">
        <v>1392</v>
      </c>
    </row>
    <row r="380" spans="1:4">
      <c r="A380" s="510" t="s">
        <v>1344</v>
      </c>
      <c r="B380" s="1">
        <v>45917.71</v>
      </c>
      <c r="C380" s="514">
        <v>0</v>
      </c>
      <c r="D380" t="s">
        <v>1392</v>
      </c>
    </row>
    <row r="381" spans="1:4">
      <c r="A381" s="510" t="s">
        <v>1344</v>
      </c>
      <c r="B381" s="1">
        <v>45918.21</v>
      </c>
      <c r="C381" s="514">
        <v>6807.93</v>
      </c>
      <c r="D381" t="s">
        <v>1392</v>
      </c>
    </row>
    <row r="382" spans="1:4">
      <c r="A382" s="510" t="s">
        <v>1344</v>
      </c>
      <c r="B382" s="1">
        <v>45918.71</v>
      </c>
      <c r="C382" s="514">
        <v>0</v>
      </c>
      <c r="D382" t="s">
        <v>1392</v>
      </c>
    </row>
    <row r="383" spans="1:4">
      <c r="A383" s="510" t="s">
        <v>1344</v>
      </c>
      <c r="B383" s="1">
        <v>45919.21</v>
      </c>
      <c r="C383" s="514">
        <v>7477.9299999999994</v>
      </c>
      <c r="D383" t="s">
        <v>1392</v>
      </c>
    </row>
    <row r="384" spans="1:4">
      <c r="A384" s="510" t="s">
        <v>1344</v>
      </c>
      <c r="B384" s="1">
        <v>45919.71</v>
      </c>
      <c r="C384" s="514">
        <v>0</v>
      </c>
      <c r="D384" t="s">
        <v>1392</v>
      </c>
    </row>
    <row r="385" spans="1:4">
      <c r="A385" s="510" t="s">
        <v>1344</v>
      </c>
      <c r="B385" s="1">
        <v>45920.21</v>
      </c>
      <c r="C385" s="514">
        <v>6807.93</v>
      </c>
      <c r="D385" t="s">
        <v>1392</v>
      </c>
    </row>
    <row r="386" spans="1:4">
      <c r="A386" s="510" t="s">
        <v>1344</v>
      </c>
      <c r="B386" s="1">
        <v>45920.71</v>
      </c>
      <c r="C386" s="514">
        <v>0</v>
      </c>
      <c r="D386" t="s">
        <v>1392</v>
      </c>
    </row>
    <row r="387" spans="1:4">
      <c r="A387" s="510" t="s">
        <v>1344</v>
      </c>
      <c r="B387" s="1">
        <v>45921.21</v>
      </c>
      <c r="C387" s="514">
        <v>6577.93</v>
      </c>
      <c r="D387" t="s">
        <v>1392</v>
      </c>
    </row>
    <row r="388" spans="1:4">
      <c r="A388" s="510" t="s">
        <v>1344</v>
      </c>
      <c r="B388" s="1">
        <v>45921.71</v>
      </c>
      <c r="C388" s="514">
        <v>0</v>
      </c>
      <c r="D388" t="s">
        <v>1392</v>
      </c>
    </row>
    <row r="389" spans="1:4">
      <c r="A389" s="510" t="s">
        <v>1344</v>
      </c>
      <c r="B389" s="1">
        <v>45922.21</v>
      </c>
      <c r="C389" s="514">
        <v>7523.9899999999989</v>
      </c>
      <c r="D389" t="s">
        <v>1392</v>
      </c>
    </row>
    <row r="390" spans="1:4">
      <c r="A390" s="510" t="s">
        <v>1344</v>
      </c>
      <c r="B390" s="1">
        <v>45922.71</v>
      </c>
      <c r="C390" s="514">
        <v>0</v>
      </c>
      <c r="D390" t="s">
        <v>1392</v>
      </c>
    </row>
    <row r="391" spans="1:4">
      <c r="A391" s="510" t="s">
        <v>1344</v>
      </c>
      <c r="B391" s="1">
        <v>45923.21</v>
      </c>
      <c r="C391" s="514">
        <v>6807.93</v>
      </c>
      <c r="D391" t="s">
        <v>1392</v>
      </c>
    </row>
    <row r="392" spans="1:4">
      <c r="A392" s="510" t="s">
        <v>1344</v>
      </c>
      <c r="B392" s="1">
        <v>45923.71</v>
      </c>
      <c r="C392" s="514">
        <v>0</v>
      </c>
      <c r="D392" t="s">
        <v>1392</v>
      </c>
    </row>
    <row r="393" spans="1:4">
      <c r="A393" s="510" t="s">
        <v>1344</v>
      </c>
      <c r="B393" s="1">
        <v>45924.21</v>
      </c>
      <c r="C393" s="514">
        <v>6807.93</v>
      </c>
      <c r="D393" t="s">
        <v>1392</v>
      </c>
    </row>
    <row r="394" spans="1:4">
      <c r="A394" s="510" t="s">
        <v>1344</v>
      </c>
      <c r="B394" s="1">
        <v>45924.71</v>
      </c>
      <c r="C394" s="514">
        <v>0</v>
      </c>
      <c r="D394" t="s">
        <v>1392</v>
      </c>
    </row>
    <row r="395" spans="1:4">
      <c r="A395" s="510" t="s">
        <v>1344</v>
      </c>
      <c r="B395" s="1">
        <v>45925.21</v>
      </c>
      <c r="C395" s="514">
        <v>7698.9800000000014</v>
      </c>
      <c r="D395" t="s">
        <v>1392</v>
      </c>
    </row>
    <row r="396" spans="1:4">
      <c r="A396" s="510" t="s">
        <v>1344</v>
      </c>
      <c r="B396" s="1">
        <v>45925.71</v>
      </c>
      <c r="C396" s="514">
        <v>0</v>
      </c>
      <c r="D396" t="s">
        <v>1392</v>
      </c>
    </row>
    <row r="397" spans="1:4">
      <c r="A397" s="510" t="s">
        <v>1344</v>
      </c>
      <c r="B397" s="1">
        <v>45926.21</v>
      </c>
      <c r="C397" s="514">
        <v>7399.42</v>
      </c>
      <c r="D397" t="s">
        <v>1392</v>
      </c>
    </row>
    <row r="398" spans="1:4">
      <c r="A398" s="510" t="s">
        <v>1344</v>
      </c>
      <c r="B398" s="1">
        <v>45926.71</v>
      </c>
      <c r="C398" s="514">
        <v>0</v>
      </c>
      <c r="D398" t="s">
        <v>1392</v>
      </c>
    </row>
    <row r="399" spans="1:4">
      <c r="A399" s="510" t="s">
        <v>1344</v>
      </c>
      <c r="B399" s="1">
        <v>45927.21</v>
      </c>
      <c r="C399" s="514">
        <v>7098.42</v>
      </c>
      <c r="D399" t="s">
        <v>1392</v>
      </c>
    </row>
    <row r="400" spans="1:4">
      <c r="A400" s="510" t="s">
        <v>1344</v>
      </c>
      <c r="B400" s="1">
        <v>45927.71</v>
      </c>
      <c r="C400" s="514">
        <v>0</v>
      </c>
      <c r="D400" t="s">
        <v>1392</v>
      </c>
    </row>
    <row r="401" spans="1:4">
      <c r="A401" s="510" t="s">
        <v>1344</v>
      </c>
      <c r="B401" s="1">
        <v>45928.21</v>
      </c>
      <c r="C401" s="514">
        <v>7223.42</v>
      </c>
      <c r="D401" t="s">
        <v>1392</v>
      </c>
    </row>
    <row r="402" spans="1:4">
      <c r="A402" s="510" t="s">
        <v>1344</v>
      </c>
      <c r="B402" s="1">
        <v>45928.71</v>
      </c>
      <c r="C402" s="514">
        <v>0</v>
      </c>
      <c r="D402" t="s">
        <v>1392</v>
      </c>
    </row>
    <row r="403" spans="1:4">
      <c r="A403" s="510" t="s">
        <v>1344</v>
      </c>
      <c r="B403" s="1">
        <v>45929.21</v>
      </c>
      <c r="C403" s="514">
        <v>6798.93</v>
      </c>
      <c r="D403" t="s">
        <v>1392</v>
      </c>
    </row>
    <row r="404" spans="1:4">
      <c r="A404" s="510" t="s">
        <v>1344</v>
      </c>
      <c r="B404" s="1">
        <v>45929.71</v>
      </c>
      <c r="C404" s="514">
        <v>6577.93</v>
      </c>
      <c r="D404" t="s">
        <v>1392</v>
      </c>
    </row>
    <row r="405" spans="1:4">
      <c r="A405" s="510" t="s">
        <v>1344</v>
      </c>
      <c r="B405" s="1">
        <v>45930.21</v>
      </c>
      <c r="C405" s="514">
        <v>7956.49</v>
      </c>
      <c r="D405" t="s">
        <v>1392</v>
      </c>
    </row>
    <row r="406" spans="1:4">
      <c r="A406" s="510" t="s">
        <v>1344</v>
      </c>
      <c r="B406" s="1">
        <v>45930.71</v>
      </c>
      <c r="C406" s="514">
        <v>19480.84</v>
      </c>
      <c r="D406" t="s">
        <v>1392</v>
      </c>
    </row>
    <row r="407" spans="1:4">
      <c r="A407" s="510" t="s">
        <v>1344</v>
      </c>
      <c r="B407" s="1">
        <v>45931.21</v>
      </c>
      <c r="C407" s="514">
        <v>6690</v>
      </c>
      <c r="D407" t="s">
        <v>1392</v>
      </c>
    </row>
    <row r="408" spans="1:4">
      <c r="A408" s="510" t="s">
        <v>1344</v>
      </c>
      <c r="B408" s="1">
        <v>45931.71</v>
      </c>
      <c r="C408" s="514">
        <v>6147.93</v>
      </c>
      <c r="D408" t="s">
        <v>1392</v>
      </c>
    </row>
    <row r="409" spans="1:4">
      <c r="A409" s="510" t="s">
        <v>1344</v>
      </c>
      <c r="B409" s="1">
        <v>45932.21</v>
      </c>
      <c r="C409" s="514">
        <v>6690</v>
      </c>
      <c r="D409" t="s">
        <v>1392</v>
      </c>
    </row>
    <row r="410" spans="1:4">
      <c r="A410" s="510" t="s">
        <v>1344</v>
      </c>
      <c r="B410" s="1">
        <v>45932.71</v>
      </c>
      <c r="C410" s="514">
        <v>5927.93</v>
      </c>
      <c r="D410" t="s">
        <v>1392</v>
      </c>
    </row>
    <row r="411" spans="1:4">
      <c r="A411" s="510" t="s">
        <v>1344</v>
      </c>
      <c r="B411" s="1">
        <v>45933.21</v>
      </c>
      <c r="C411" s="514">
        <v>7042.5</v>
      </c>
      <c r="D411" t="s">
        <v>1392</v>
      </c>
    </row>
    <row r="412" spans="1:4">
      <c r="A412" s="510" t="s">
        <v>1344</v>
      </c>
      <c r="B412" s="1">
        <v>45933.71</v>
      </c>
      <c r="C412" s="514">
        <v>6066.63</v>
      </c>
      <c r="D412" t="s">
        <v>1392</v>
      </c>
    </row>
    <row r="413" spans="1:4">
      <c r="A413" s="510" t="s">
        <v>1344</v>
      </c>
      <c r="B413" s="1">
        <v>45934.21</v>
      </c>
      <c r="C413" s="514">
        <v>6690</v>
      </c>
      <c r="D413" t="s">
        <v>1392</v>
      </c>
    </row>
    <row r="414" spans="1:4">
      <c r="A414" s="510" t="s">
        <v>1344</v>
      </c>
      <c r="B414" s="1">
        <v>45934.71</v>
      </c>
      <c r="C414" s="514">
        <v>6066.63</v>
      </c>
      <c r="D414" t="s">
        <v>1392</v>
      </c>
    </row>
    <row r="415" spans="1:4">
      <c r="A415" s="510" t="s">
        <v>1344</v>
      </c>
      <c r="B415" s="1">
        <v>45935.21</v>
      </c>
      <c r="C415" s="514">
        <v>1370</v>
      </c>
      <c r="D415" t="s">
        <v>1392</v>
      </c>
    </row>
    <row r="416" spans="1:4">
      <c r="A416" s="510" t="s">
        <v>1344</v>
      </c>
      <c r="B416" s="1">
        <v>45935.71</v>
      </c>
      <c r="C416" s="514">
        <v>5580</v>
      </c>
      <c r="D416" t="s">
        <v>1392</v>
      </c>
    </row>
    <row r="417" spans="1:4">
      <c r="A417" s="510" t="s">
        <v>1344</v>
      </c>
      <c r="B417" s="1">
        <v>45936.21</v>
      </c>
      <c r="C417" s="514">
        <v>1370</v>
      </c>
      <c r="D417" t="s">
        <v>1392</v>
      </c>
    </row>
    <row r="418" spans="1:4">
      <c r="A418" s="510" t="s">
        <v>1344</v>
      </c>
      <c r="B418" s="1">
        <v>45936.71</v>
      </c>
      <c r="C418" s="514">
        <v>6250.7</v>
      </c>
      <c r="D418" t="s">
        <v>1392</v>
      </c>
    </row>
    <row r="419" spans="1:4">
      <c r="A419" s="510" t="s">
        <v>1344</v>
      </c>
      <c r="B419" s="1">
        <v>45937.21</v>
      </c>
      <c r="C419" s="514">
        <v>1370</v>
      </c>
      <c r="D419" t="s">
        <v>1392</v>
      </c>
    </row>
    <row r="420" spans="1:4">
      <c r="A420" s="510" t="s">
        <v>1344</v>
      </c>
      <c r="B420" s="1">
        <v>45937.71</v>
      </c>
      <c r="C420" s="514">
        <v>5120.7</v>
      </c>
      <c r="D420" t="s">
        <v>1392</v>
      </c>
    </row>
    <row r="421" spans="1:4">
      <c r="A421" s="510" t="s">
        <v>1344</v>
      </c>
      <c r="B421" s="1">
        <v>45938.21</v>
      </c>
      <c r="C421" s="514">
        <v>3815</v>
      </c>
      <c r="D421" t="s">
        <v>1392</v>
      </c>
    </row>
    <row r="422" spans="1:4">
      <c r="A422" s="510" t="s">
        <v>1344</v>
      </c>
      <c r="B422" s="1">
        <v>45938.71</v>
      </c>
      <c r="C422" s="514">
        <v>0</v>
      </c>
      <c r="D422" t="s">
        <v>1392</v>
      </c>
    </row>
    <row r="423" spans="1:4">
      <c r="A423" s="510" t="s">
        <v>1344</v>
      </c>
      <c r="B423" s="1">
        <v>45939.21</v>
      </c>
      <c r="C423" s="514">
        <v>9487.2799999999988</v>
      </c>
      <c r="D423" t="s">
        <v>1392</v>
      </c>
    </row>
    <row r="424" spans="1:4">
      <c r="A424" s="510" t="s">
        <v>1344</v>
      </c>
      <c r="B424" s="1">
        <v>45939.71</v>
      </c>
      <c r="C424" s="514">
        <v>0</v>
      </c>
      <c r="D424" t="s">
        <v>1392</v>
      </c>
    </row>
    <row r="425" spans="1:4">
      <c r="A425" s="510" t="s">
        <v>1344</v>
      </c>
      <c r="B425" s="1">
        <v>45940.21</v>
      </c>
      <c r="C425" s="514">
        <v>6637.93</v>
      </c>
      <c r="D425" t="s">
        <v>1392</v>
      </c>
    </row>
    <row r="426" spans="1:4">
      <c r="A426" s="510" t="s">
        <v>1344</v>
      </c>
      <c r="B426" s="1">
        <v>45940.71</v>
      </c>
      <c r="C426" s="514">
        <v>0</v>
      </c>
      <c r="D426" t="s">
        <v>1392</v>
      </c>
    </row>
    <row r="427" spans="1:4">
      <c r="A427" s="510" t="s">
        <v>1344</v>
      </c>
      <c r="B427" s="1">
        <v>45941.21</v>
      </c>
      <c r="C427" s="514">
        <v>6832.93</v>
      </c>
      <c r="D427" t="s">
        <v>1392</v>
      </c>
    </row>
    <row r="428" spans="1:4">
      <c r="A428" s="510" t="s">
        <v>1344</v>
      </c>
      <c r="B428" s="1">
        <v>45941.71</v>
      </c>
      <c r="C428" s="514">
        <v>0</v>
      </c>
      <c r="D428" t="s">
        <v>1392</v>
      </c>
    </row>
    <row r="429" spans="1:4">
      <c r="A429" s="510" t="s">
        <v>1344</v>
      </c>
      <c r="B429" s="1">
        <v>45942.21</v>
      </c>
      <c r="C429" s="514">
        <v>6522.93</v>
      </c>
      <c r="D429" t="s">
        <v>1392</v>
      </c>
    </row>
    <row r="430" spans="1:4">
      <c r="A430" s="510" t="s">
        <v>1344</v>
      </c>
      <c r="B430" s="1">
        <v>45942.71</v>
      </c>
      <c r="C430" s="514">
        <v>0</v>
      </c>
      <c r="D430" t="s">
        <v>1392</v>
      </c>
    </row>
    <row r="431" spans="1:4">
      <c r="A431" s="510" t="s">
        <v>1344</v>
      </c>
      <c r="B431" s="1">
        <v>45943.21</v>
      </c>
      <c r="C431" s="514">
        <v>7316.2</v>
      </c>
      <c r="D431" t="s">
        <v>1392</v>
      </c>
    </row>
    <row r="432" spans="1:4">
      <c r="A432" s="510" t="s">
        <v>1344</v>
      </c>
      <c r="B432" s="1">
        <v>45943.71</v>
      </c>
      <c r="C432" s="514">
        <v>0</v>
      </c>
      <c r="D432" t="s">
        <v>1392</v>
      </c>
    </row>
    <row r="433" spans="1:4">
      <c r="A433" s="510" t="s">
        <v>1344</v>
      </c>
      <c r="B433" s="1">
        <v>45944.21</v>
      </c>
      <c r="C433" s="514">
        <v>12181.25</v>
      </c>
      <c r="D433" t="s">
        <v>1392</v>
      </c>
    </row>
    <row r="434" spans="1:4">
      <c r="A434" s="510" t="s">
        <v>1344</v>
      </c>
      <c r="B434" s="1">
        <v>45944.71</v>
      </c>
      <c r="C434" s="514">
        <v>5537.93</v>
      </c>
      <c r="D434" t="s">
        <v>1392</v>
      </c>
    </row>
    <row r="435" spans="1:4">
      <c r="A435" s="510" t="s">
        <v>1344</v>
      </c>
      <c r="B435" s="1">
        <v>45945.21</v>
      </c>
      <c r="C435" s="514">
        <v>7299.46</v>
      </c>
      <c r="D435" t="s">
        <v>1392</v>
      </c>
    </row>
    <row r="436" spans="1:4">
      <c r="A436" s="510" t="s">
        <v>1344</v>
      </c>
      <c r="B436" s="1">
        <v>45945.71</v>
      </c>
      <c r="C436" s="514">
        <v>6875.4899999999989</v>
      </c>
      <c r="D436" t="s">
        <v>1392</v>
      </c>
    </row>
    <row r="437" spans="1:4">
      <c r="A437" s="510" t="s">
        <v>1344</v>
      </c>
      <c r="B437" s="1">
        <v>45946.21</v>
      </c>
      <c r="C437" s="514">
        <v>5850</v>
      </c>
      <c r="D437" t="s">
        <v>1392</v>
      </c>
    </row>
    <row r="438" spans="1:4">
      <c r="A438" s="510" t="s">
        <v>1344</v>
      </c>
      <c r="B438" s="1">
        <v>45946.71</v>
      </c>
      <c r="C438" s="514">
        <v>4320</v>
      </c>
      <c r="D438" t="s">
        <v>1392</v>
      </c>
    </row>
    <row r="439" spans="1:4">
      <c r="A439" s="510" t="s">
        <v>1344</v>
      </c>
      <c r="B439" s="1">
        <v>45947.21</v>
      </c>
      <c r="C439" s="514">
        <v>8949.1299999999992</v>
      </c>
      <c r="D439" t="s">
        <v>1392</v>
      </c>
    </row>
    <row r="440" spans="1:4">
      <c r="A440" s="510" t="s">
        <v>1344</v>
      </c>
      <c r="B440" s="1">
        <v>45947.71</v>
      </c>
      <c r="C440" s="514">
        <v>2821.2000000000016</v>
      </c>
      <c r="D440" t="s">
        <v>1392</v>
      </c>
    </row>
    <row r="441" spans="1:4">
      <c r="A441" s="510" t="s">
        <v>1344</v>
      </c>
      <c r="B441" s="1">
        <v>45948.21</v>
      </c>
      <c r="C441" s="514">
        <v>7314.1299999999983</v>
      </c>
      <c r="D441" t="s">
        <v>1392</v>
      </c>
    </row>
    <row r="442" spans="1:4">
      <c r="A442" s="510" t="s">
        <v>1344</v>
      </c>
      <c r="B442" s="1">
        <v>45948.71</v>
      </c>
      <c r="C442" s="514">
        <v>5916.2</v>
      </c>
      <c r="D442" t="s">
        <v>1392</v>
      </c>
    </row>
    <row r="443" spans="1:4">
      <c r="A443" s="510" t="s">
        <v>1344</v>
      </c>
      <c r="B443" s="1">
        <v>45949.21</v>
      </c>
      <c r="C443" s="514">
        <v>7091.63</v>
      </c>
      <c r="D443" t="s">
        <v>1392</v>
      </c>
    </row>
    <row r="444" spans="1:4">
      <c r="A444" s="510" t="s">
        <v>1344</v>
      </c>
      <c r="B444" s="1">
        <v>45949.71</v>
      </c>
      <c r="C444" s="514">
        <v>6204.7</v>
      </c>
      <c r="D444" t="s">
        <v>1392</v>
      </c>
    </row>
    <row r="445" spans="1:4">
      <c r="A445" s="510" t="s">
        <v>1344</v>
      </c>
      <c r="B445" s="1">
        <v>45950.21</v>
      </c>
      <c r="C445" s="514">
        <v>7349.04</v>
      </c>
      <c r="D445" t="s">
        <v>1392</v>
      </c>
    </row>
    <row r="446" spans="1:4">
      <c r="A446" s="510" t="s">
        <v>1344</v>
      </c>
      <c r="B446" s="1">
        <v>45950.71</v>
      </c>
      <c r="C446" s="514">
        <v>5706.2</v>
      </c>
      <c r="D446" t="s">
        <v>1392</v>
      </c>
    </row>
    <row r="447" spans="1:4">
      <c r="A447" s="510" t="s">
        <v>1344</v>
      </c>
      <c r="B447" s="1">
        <v>45951.21</v>
      </c>
      <c r="C447" s="514">
        <v>7562.68</v>
      </c>
      <c r="D447" t="s">
        <v>1392</v>
      </c>
    </row>
    <row r="448" spans="1:4">
      <c r="A448" s="510" t="s">
        <v>1344</v>
      </c>
      <c r="B448" s="1">
        <v>45951.71</v>
      </c>
      <c r="C448" s="514">
        <v>7312.2899999999981</v>
      </c>
      <c r="D448" t="s">
        <v>1392</v>
      </c>
    </row>
    <row r="449" spans="1:4">
      <c r="A449" s="510" t="s">
        <v>1344</v>
      </c>
      <c r="B449" s="1">
        <v>45952.21</v>
      </c>
      <c r="C449" s="514">
        <v>4318.7</v>
      </c>
      <c r="D449" t="s">
        <v>1392</v>
      </c>
    </row>
    <row r="450" spans="1:4">
      <c r="A450" s="510" t="s">
        <v>1344</v>
      </c>
      <c r="B450" s="1">
        <v>45952.71</v>
      </c>
      <c r="C450" s="514">
        <v>6371.6299999999992</v>
      </c>
      <c r="D450" t="s">
        <v>1392</v>
      </c>
    </row>
    <row r="451" spans="1:4">
      <c r="A451" s="510" t="s">
        <v>1344</v>
      </c>
      <c r="B451" s="1">
        <v>45953.21</v>
      </c>
      <c r="C451" s="514">
        <v>7266.63</v>
      </c>
      <c r="D451" t="s">
        <v>1392</v>
      </c>
    </row>
    <row r="452" spans="1:4">
      <c r="A452" s="510" t="s">
        <v>1344</v>
      </c>
      <c r="B452" s="1">
        <v>45953.71</v>
      </c>
      <c r="C452" s="514">
        <v>6254.71</v>
      </c>
      <c r="D452" t="s">
        <v>1392</v>
      </c>
    </row>
    <row r="453" spans="1:4">
      <c r="A453" s="510" t="s">
        <v>1344</v>
      </c>
      <c r="B453" s="1">
        <v>45954.21</v>
      </c>
      <c r="C453" s="514">
        <v>7183.55</v>
      </c>
      <c r="D453" t="s">
        <v>1392</v>
      </c>
    </row>
    <row r="454" spans="1:4">
      <c r="A454" s="510" t="s">
        <v>1344</v>
      </c>
      <c r="B454" s="1">
        <v>45954.71</v>
      </c>
      <c r="C454" s="514">
        <v>7135.4900000000007</v>
      </c>
      <c r="D454" t="s">
        <v>1392</v>
      </c>
    </row>
    <row r="455" spans="1:4">
      <c r="A455" s="510" t="s">
        <v>1344</v>
      </c>
      <c r="B455" s="1">
        <v>45955.21</v>
      </c>
      <c r="C455" s="514">
        <v>7098.7</v>
      </c>
      <c r="D455" t="s">
        <v>1392</v>
      </c>
    </row>
    <row r="456" spans="1:4">
      <c r="A456" s="510" t="s">
        <v>1344</v>
      </c>
      <c r="B456" s="1">
        <v>45955.71</v>
      </c>
      <c r="C456" s="514">
        <v>6141.2</v>
      </c>
      <c r="D456" t="s">
        <v>1392</v>
      </c>
    </row>
    <row r="457" spans="1:4">
      <c r="A457" s="510" t="s">
        <v>1344</v>
      </c>
      <c r="B457" s="1">
        <v>45956.21</v>
      </c>
      <c r="C457" s="514">
        <v>7193.7</v>
      </c>
      <c r="D457" t="s">
        <v>1392</v>
      </c>
    </row>
    <row r="458" spans="1:4">
      <c r="A458" s="510" t="s">
        <v>1344</v>
      </c>
      <c r="B458" s="1">
        <v>45956.71</v>
      </c>
      <c r="C458" s="514">
        <v>6917.4999999999991</v>
      </c>
      <c r="D458" t="s">
        <v>1392</v>
      </c>
    </row>
    <row r="459" spans="1:4">
      <c r="A459" s="510" t="s">
        <v>1344</v>
      </c>
      <c r="B459" s="425">
        <v>45957.21</v>
      </c>
      <c r="C459" s="514">
        <v>6838.7</v>
      </c>
      <c r="D459" t="s">
        <v>1392</v>
      </c>
    </row>
    <row r="460" spans="1:4">
      <c r="A460" s="510" t="s">
        <v>1344</v>
      </c>
      <c r="B460" s="1">
        <v>45957.71</v>
      </c>
      <c r="C460" s="514">
        <v>6094.6299999999992</v>
      </c>
      <c r="D460" t="s">
        <v>1392</v>
      </c>
    </row>
    <row r="461" spans="1:4">
      <c r="A461" s="510" t="s">
        <v>1344</v>
      </c>
      <c r="B461" s="1">
        <v>45958.21</v>
      </c>
      <c r="C461" s="514">
        <v>8322.6</v>
      </c>
      <c r="D461" t="s">
        <v>1392</v>
      </c>
    </row>
    <row r="462" spans="1:4">
      <c r="A462" s="510" t="s">
        <v>1344</v>
      </c>
      <c r="B462" s="1">
        <v>45958.71</v>
      </c>
      <c r="C462" s="514">
        <v>5866.0600000000013</v>
      </c>
      <c r="D462" t="s">
        <v>1392</v>
      </c>
    </row>
    <row r="463" spans="1:4">
      <c r="A463" s="510" t="s">
        <v>1344</v>
      </c>
      <c r="B463" s="1">
        <v>45959.21</v>
      </c>
      <c r="C463" s="514">
        <v>7419.93</v>
      </c>
      <c r="D463" t="s">
        <v>1392</v>
      </c>
    </row>
    <row r="464" spans="1:4">
      <c r="A464" s="510" t="s">
        <v>1344</v>
      </c>
      <c r="B464" s="1">
        <v>45959.71</v>
      </c>
      <c r="C464" s="514">
        <v>6208.7</v>
      </c>
      <c r="D464" t="s">
        <v>1392</v>
      </c>
    </row>
    <row r="465" spans="1:4">
      <c r="A465" s="510" t="s">
        <v>1344</v>
      </c>
      <c r="B465" s="1">
        <v>45960.21</v>
      </c>
      <c r="C465" s="514">
        <v>6917.93</v>
      </c>
      <c r="D465" t="s">
        <v>1392</v>
      </c>
    </row>
    <row r="466" spans="1:4">
      <c r="A466" s="510" t="s">
        <v>1344</v>
      </c>
      <c r="B466" s="1">
        <v>45960.71</v>
      </c>
      <c r="C466" s="514">
        <v>6028.699999999998</v>
      </c>
      <c r="D466" t="s">
        <v>1392</v>
      </c>
    </row>
    <row r="467" spans="1:4">
      <c r="A467" s="510" t="s">
        <v>1344</v>
      </c>
      <c r="B467" s="1">
        <v>45961.21</v>
      </c>
      <c r="C467" s="514">
        <v>7067.93</v>
      </c>
      <c r="D467" t="s">
        <v>1392</v>
      </c>
    </row>
    <row r="468" spans="1:4">
      <c r="A468" s="510" t="s">
        <v>1344</v>
      </c>
      <c r="B468" s="1">
        <v>45961.71</v>
      </c>
      <c r="C468" s="514">
        <v>5258.08</v>
      </c>
      <c r="D468" t="s">
        <v>1392</v>
      </c>
    </row>
    <row r="469" spans="1:4">
      <c r="A469" s="510" t="s">
        <v>1344</v>
      </c>
      <c r="B469" s="1">
        <v>45962.21</v>
      </c>
      <c r="C469" s="514">
        <v>6500</v>
      </c>
      <c r="D469" t="s">
        <v>1392</v>
      </c>
    </row>
    <row r="470" spans="1:4">
      <c r="A470" s="510" t="s">
        <v>1344</v>
      </c>
      <c r="B470" s="1">
        <v>45962.71</v>
      </c>
      <c r="C470" s="514">
        <v>4320</v>
      </c>
      <c r="D470" t="s">
        <v>1392</v>
      </c>
    </row>
    <row r="471" spans="1:4">
      <c r="A471" s="510" t="s">
        <v>1344</v>
      </c>
      <c r="B471" s="1">
        <v>45963.21</v>
      </c>
      <c r="C471" s="514">
        <v>5070</v>
      </c>
      <c r="D471" t="s">
        <v>1392</v>
      </c>
    </row>
    <row r="472" spans="1:4">
      <c r="A472" s="510" t="s">
        <v>1344</v>
      </c>
      <c r="B472" s="1">
        <v>45963.71</v>
      </c>
      <c r="C472" s="514">
        <v>4320</v>
      </c>
      <c r="D472" t="s">
        <v>1392</v>
      </c>
    </row>
    <row r="473" spans="1:4">
      <c r="A473" s="510" t="s">
        <v>1344</v>
      </c>
      <c r="B473" s="1">
        <v>45964.21</v>
      </c>
      <c r="C473" s="514">
        <v>5070</v>
      </c>
      <c r="D473" t="s">
        <v>1392</v>
      </c>
    </row>
    <row r="474" spans="1:4">
      <c r="A474" s="510" t="s">
        <v>1344</v>
      </c>
      <c r="B474" s="1">
        <v>45964.71</v>
      </c>
      <c r="C474" s="514">
        <v>4320</v>
      </c>
      <c r="D474" t="s">
        <v>1392</v>
      </c>
    </row>
    <row r="475" spans="1:4">
      <c r="A475" s="510" t="s">
        <v>1344</v>
      </c>
      <c r="B475" s="1">
        <v>45965.21</v>
      </c>
      <c r="C475" s="514">
        <v>6761.05</v>
      </c>
      <c r="D475" t="s">
        <v>1392</v>
      </c>
    </row>
    <row r="476" spans="1:4">
      <c r="A476" s="510" t="s">
        <v>1344</v>
      </c>
      <c r="B476" s="1">
        <v>45965.71</v>
      </c>
      <c r="C476" s="514">
        <v>4320</v>
      </c>
      <c r="D476" t="s">
        <v>1392</v>
      </c>
    </row>
    <row r="477" spans="1:4">
      <c r="A477" s="510" t="s">
        <v>1344</v>
      </c>
      <c r="B477" s="1">
        <v>45966.21</v>
      </c>
      <c r="C477" s="514">
        <v>6830.43</v>
      </c>
      <c r="D477" t="s">
        <v>1392</v>
      </c>
    </row>
    <row r="478" spans="1:4">
      <c r="A478" s="510" t="s">
        <v>1344</v>
      </c>
      <c r="B478" s="1">
        <v>45966.71</v>
      </c>
      <c r="C478" s="514">
        <v>4320</v>
      </c>
      <c r="D478" t="s">
        <v>1392</v>
      </c>
    </row>
    <row r="479" spans="1:4">
      <c r="A479" s="510" t="s">
        <v>1344</v>
      </c>
      <c r="B479" s="1">
        <v>45967.21</v>
      </c>
      <c r="C479" s="514">
        <v>5070</v>
      </c>
      <c r="D479" t="s">
        <v>1392</v>
      </c>
    </row>
    <row r="480" spans="1:4">
      <c r="A480" s="510" t="s">
        <v>1344</v>
      </c>
      <c r="B480" s="1">
        <v>45967.71</v>
      </c>
      <c r="C480" s="514">
        <v>4830</v>
      </c>
      <c r="D480" t="s">
        <v>1392</v>
      </c>
    </row>
    <row r="481" spans="1:4">
      <c r="A481" s="510" t="s">
        <v>1303</v>
      </c>
      <c r="B481" s="1">
        <v>45968.21</v>
      </c>
      <c r="C481" s="514">
        <v>6177.93</v>
      </c>
      <c r="D481" t="s">
        <v>1392</v>
      </c>
    </row>
    <row r="482" spans="1:4">
      <c r="A482" s="510" t="s">
        <v>1303</v>
      </c>
      <c r="B482" s="1">
        <v>45968.71</v>
      </c>
      <c r="C482" s="514">
        <v>5365.85</v>
      </c>
      <c r="D482" t="s">
        <v>1392</v>
      </c>
    </row>
    <row r="483" spans="1:4">
      <c r="A483" s="510" t="s">
        <v>1303</v>
      </c>
      <c r="B483" s="1">
        <v>45969.21</v>
      </c>
      <c r="C483" s="514">
        <v>7790</v>
      </c>
      <c r="D483" t="s">
        <v>1392</v>
      </c>
    </row>
    <row r="484" spans="1:4">
      <c r="A484" s="510" t="s">
        <v>1303</v>
      </c>
      <c r="B484" s="1">
        <v>45969.71</v>
      </c>
      <c r="C484" s="514">
        <v>5237.93</v>
      </c>
      <c r="D484" t="s">
        <v>1392</v>
      </c>
    </row>
    <row r="485" spans="1:4">
      <c r="A485" s="510" t="s">
        <v>1303</v>
      </c>
      <c r="B485" s="1">
        <v>45970.21</v>
      </c>
      <c r="C485" s="514">
        <v>6720</v>
      </c>
      <c r="D485" t="s">
        <v>1392</v>
      </c>
    </row>
    <row r="486" spans="1:4">
      <c r="A486" s="510" t="s">
        <v>1303</v>
      </c>
      <c r="B486" s="1">
        <v>45970.71</v>
      </c>
      <c r="C486" s="514">
        <v>0</v>
      </c>
      <c r="D486" t="s">
        <v>1392</v>
      </c>
    </row>
    <row r="487" spans="1:4">
      <c r="A487" s="510" t="s">
        <v>1303</v>
      </c>
      <c r="B487" s="1">
        <v>45971.21</v>
      </c>
      <c r="C487" s="514">
        <v>5720</v>
      </c>
      <c r="D487" t="s">
        <v>1392</v>
      </c>
    </row>
    <row r="488" spans="1:4">
      <c r="A488" s="510" t="s">
        <v>1303</v>
      </c>
      <c r="B488" s="1">
        <v>45971.71</v>
      </c>
      <c r="C488" s="514">
        <v>0</v>
      </c>
      <c r="D488" t="s">
        <v>1392</v>
      </c>
    </row>
    <row r="489" spans="1:4">
      <c r="A489" s="510" t="s">
        <v>1303</v>
      </c>
      <c r="B489" s="1">
        <v>45972.21</v>
      </c>
      <c r="C489" s="514">
        <v>5720</v>
      </c>
      <c r="D489" t="s">
        <v>1392</v>
      </c>
    </row>
    <row r="490" spans="1:4">
      <c r="A490" s="510" t="s">
        <v>1303</v>
      </c>
      <c r="B490" s="1">
        <v>45972.71</v>
      </c>
      <c r="C490" s="514">
        <v>0</v>
      </c>
      <c r="D490" t="s">
        <v>1392</v>
      </c>
    </row>
    <row r="491" spans="1:4">
      <c r="A491" s="510" t="s">
        <v>1303</v>
      </c>
      <c r="B491" s="1">
        <v>45973.21</v>
      </c>
      <c r="C491" s="514">
        <v>5720</v>
      </c>
      <c r="D491" t="s">
        <v>1392</v>
      </c>
    </row>
    <row r="492" spans="1:4">
      <c r="A492" s="510" t="s">
        <v>1303</v>
      </c>
      <c r="B492" s="1">
        <v>45973.71</v>
      </c>
      <c r="C492" s="514">
        <v>0</v>
      </c>
      <c r="D492" t="s">
        <v>1392</v>
      </c>
    </row>
    <row r="493" spans="1:4">
      <c r="A493" s="510" t="s">
        <v>1303</v>
      </c>
      <c r="B493" s="1">
        <v>45974.21</v>
      </c>
      <c r="C493" s="514">
        <v>2840</v>
      </c>
      <c r="D493" t="s">
        <v>1392</v>
      </c>
    </row>
    <row r="494" spans="1:4">
      <c r="A494" s="510" t="s">
        <v>1303</v>
      </c>
      <c r="B494" s="1">
        <v>45974.71</v>
      </c>
      <c r="C494" s="514">
        <v>0</v>
      </c>
      <c r="D494" t="s">
        <v>1392</v>
      </c>
    </row>
    <row r="495" spans="1:4">
      <c r="A495" s="510" t="s">
        <v>1303</v>
      </c>
      <c r="B495" s="1">
        <v>45975.21</v>
      </c>
      <c r="C495" s="514">
        <v>5140</v>
      </c>
      <c r="D495" t="s">
        <v>1392</v>
      </c>
    </row>
    <row r="496" spans="1:4">
      <c r="A496" s="510" t="s">
        <v>1303</v>
      </c>
      <c r="B496" s="1">
        <v>45975.71</v>
      </c>
      <c r="C496" s="514">
        <v>0</v>
      </c>
      <c r="D496" t="s">
        <v>1392</v>
      </c>
    </row>
    <row r="497" spans="1:4">
      <c r="A497" s="510" t="s">
        <v>1396</v>
      </c>
      <c r="B497" s="1">
        <v>45976.21</v>
      </c>
      <c r="C497" s="514">
        <v>4460</v>
      </c>
      <c r="D497" t="s">
        <v>1392</v>
      </c>
    </row>
    <row r="498" spans="1:4">
      <c r="A498" s="510" t="s">
        <v>1396</v>
      </c>
      <c r="B498" s="1">
        <v>45976.71</v>
      </c>
      <c r="C498" s="514">
        <v>11077.310000000001</v>
      </c>
      <c r="D498" t="s">
        <v>1392</v>
      </c>
    </row>
    <row r="499" spans="1:4">
      <c r="A499" s="510" t="s">
        <v>1396</v>
      </c>
      <c r="B499" s="1">
        <v>45977.21</v>
      </c>
      <c r="C499" s="514">
        <v>4320</v>
      </c>
      <c r="D499" t="s">
        <v>1392</v>
      </c>
    </row>
    <row r="500" spans="1:4">
      <c r="A500" s="510" t="s">
        <v>1396</v>
      </c>
      <c r="B500" s="1">
        <v>45977.71</v>
      </c>
      <c r="C500" s="514">
        <v>4320</v>
      </c>
      <c r="D500" t="s">
        <v>1392</v>
      </c>
    </row>
    <row r="501" spans="1:4">
      <c r="A501" s="510" t="s">
        <v>1396</v>
      </c>
      <c r="B501" s="1">
        <v>45978.21</v>
      </c>
      <c r="C501" s="514">
        <v>4320</v>
      </c>
      <c r="D501" t="s">
        <v>1392</v>
      </c>
    </row>
    <row r="502" spans="1:4">
      <c r="A502" s="510" t="s">
        <v>1396</v>
      </c>
      <c r="B502" s="1">
        <v>45978.71</v>
      </c>
      <c r="C502" s="514">
        <v>4320</v>
      </c>
      <c r="D502" t="s">
        <v>1392</v>
      </c>
    </row>
    <row r="503" spans="1:4">
      <c r="A503" s="510" t="s">
        <v>1396</v>
      </c>
      <c r="B503" s="460">
        <v>45979.21</v>
      </c>
      <c r="C503" s="514">
        <v>5420</v>
      </c>
      <c r="D503" t="s">
        <v>1392</v>
      </c>
    </row>
    <row r="504" spans="1:4">
      <c r="A504" s="510" t="s">
        <v>1396</v>
      </c>
      <c r="B504" s="460">
        <v>45979.71</v>
      </c>
      <c r="C504" s="514">
        <v>4960</v>
      </c>
      <c r="D504" t="s">
        <v>1392</v>
      </c>
    </row>
    <row r="505" spans="1:4">
      <c r="A505" s="510" t="s">
        <v>1396</v>
      </c>
      <c r="B505" s="460">
        <v>45980.21</v>
      </c>
      <c r="C505" s="514">
        <v>10480.709999999999</v>
      </c>
      <c r="D505" t="s">
        <v>1392</v>
      </c>
    </row>
    <row r="506" spans="1:4">
      <c r="A506" s="510"/>
    </row>
    <row r="507" spans="1:4">
      <c r="A507" s="510"/>
    </row>
    <row r="508" spans="1:4">
      <c r="A508" s="510"/>
    </row>
    <row r="509" spans="1:4">
      <c r="A509" s="510"/>
    </row>
    <row r="510" spans="1:4">
      <c r="A510" s="510"/>
    </row>
    <row r="511" spans="1:4">
      <c r="A511" s="510"/>
    </row>
    <row r="512" spans="1:4">
      <c r="A512" s="510"/>
    </row>
    <row r="513" spans="1:1">
      <c r="A513" s="510"/>
    </row>
    <row r="514" spans="1:1">
      <c r="A514" s="510"/>
    </row>
    <row r="515" spans="1:1">
      <c r="A515" s="510"/>
    </row>
    <row r="516" spans="1:1">
      <c r="A516" s="510"/>
    </row>
    <row r="517" spans="1:1">
      <c r="A517" s="510"/>
    </row>
    <row r="518" spans="1:1">
      <c r="A518" s="510"/>
    </row>
    <row r="519" spans="1:1">
      <c r="A519" s="510"/>
    </row>
    <row r="520" spans="1:1">
      <c r="A520" s="510"/>
    </row>
    <row r="521" spans="1:1">
      <c r="A521" s="510"/>
    </row>
    <row r="522" spans="1:1">
      <c r="A522" s="510"/>
    </row>
    <row r="523" spans="1:1">
      <c r="A523" s="510"/>
    </row>
    <row r="524" spans="1:1">
      <c r="A524" s="510"/>
    </row>
    <row r="525" spans="1:1">
      <c r="A525" s="510"/>
    </row>
    <row r="526" spans="1:1">
      <c r="A526" s="510"/>
    </row>
    <row r="527" spans="1:1">
      <c r="A527" s="510"/>
    </row>
    <row r="528" spans="1:1">
      <c r="A528" s="510"/>
    </row>
    <row r="529" spans="1:1">
      <c r="A529" s="510"/>
    </row>
    <row r="530" spans="1:1">
      <c r="A530" s="510"/>
    </row>
    <row r="531" spans="1:1">
      <c r="A531" s="510"/>
    </row>
    <row r="532" spans="1:1">
      <c r="A532" s="510"/>
    </row>
    <row r="533" spans="1:1">
      <c r="A533" s="510"/>
    </row>
    <row r="534" spans="1:1">
      <c r="A534" s="510"/>
    </row>
    <row r="535" spans="1:1">
      <c r="A535" s="510"/>
    </row>
    <row r="536" spans="1:1">
      <c r="A536" s="510"/>
    </row>
    <row r="537" spans="1:1">
      <c r="A537" s="510"/>
    </row>
    <row r="538" spans="1:1">
      <c r="A538" s="510"/>
    </row>
    <row r="539" spans="1:1">
      <c r="A539" s="510"/>
    </row>
    <row r="540" spans="1:1">
      <c r="A540" s="510"/>
    </row>
    <row r="541" spans="1:1">
      <c r="A541" s="510"/>
    </row>
    <row r="542" spans="1:1">
      <c r="A542" s="510"/>
    </row>
    <row r="543" spans="1:1">
      <c r="A543" s="510"/>
    </row>
    <row r="544" spans="1:1">
      <c r="A544" s="510"/>
    </row>
    <row r="545" spans="1:1">
      <c r="A545" s="510"/>
    </row>
    <row r="546" spans="1:1">
      <c r="A546" s="510"/>
    </row>
    <row r="547" spans="1:1">
      <c r="A547" s="510"/>
    </row>
    <row r="548" spans="1:1">
      <c r="A548" s="510"/>
    </row>
    <row r="549" spans="1:1">
      <c r="A549" s="510"/>
    </row>
    <row r="550" spans="1:1">
      <c r="A550" s="510"/>
    </row>
    <row r="551" spans="1:1">
      <c r="A551" s="510"/>
    </row>
    <row r="552" spans="1:1">
      <c r="A552" s="510"/>
    </row>
    <row r="553" spans="1:1">
      <c r="A553" s="510"/>
    </row>
    <row r="554" spans="1:1">
      <c r="A554" s="510"/>
    </row>
    <row r="555" spans="1:1">
      <c r="A555" s="510"/>
    </row>
    <row r="556" spans="1:1">
      <c r="A556" s="510"/>
    </row>
    <row r="557" spans="1:1">
      <c r="A557" s="510"/>
    </row>
    <row r="558" spans="1:1">
      <c r="A558" s="510"/>
    </row>
    <row r="559" spans="1:1">
      <c r="A559" s="510"/>
    </row>
    <row r="560" spans="1:1">
      <c r="A560" s="510"/>
    </row>
    <row r="561" spans="1:1">
      <c r="A561" s="510"/>
    </row>
    <row r="562" spans="1:1">
      <c r="A562" s="510"/>
    </row>
    <row r="563" spans="1:1">
      <c r="A563" s="510"/>
    </row>
    <row r="564" spans="1:1">
      <c r="A564" s="510"/>
    </row>
    <row r="565" spans="1:1">
      <c r="A565" s="510"/>
    </row>
    <row r="566" spans="1:1">
      <c r="A566" s="510"/>
    </row>
    <row r="567" spans="1:1">
      <c r="A567" s="510"/>
    </row>
    <row r="568" spans="1:1">
      <c r="A568" s="510"/>
    </row>
    <row r="569" spans="1:1">
      <c r="A569" s="510"/>
    </row>
    <row r="570" spans="1:1">
      <c r="A570" s="510"/>
    </row>
    <row r="571" spans="1:1">
      <c r="A571" s="510"/>
    </row>
    <row r="572" spans="1:1">
      <c r="A572" s="510"/>
    </row>
    <row r="573" spans="1:1">
      <c r="A573" s="510"/>
    </row>
    <row r="574" spans="1:1">
      <c r="A574" s="510"/>
    </row>
    <row r="575" spans="1:1">
      <c r="A575" s="510"/>
    </row>
    <row r="576" spans="1:1">
      <c r="A576" s="510"/>
    </row>
    <row r="577" spans="1:1">
      <c r="A577" s="510"/>
    </row>
    <row r="578" spans="1:1">
      <c r="A578" s="510"/>
    </row>
    <row r="579" spans="1:1">
      <c r="A579" s="510"/>
    </row>
    <row r="580" spans="1:1">
      <c r="A580" s="510"/>
    </row>
    <row r="581" spans="1:1">
      <c r="A581" s="510"/>
    </row>
    <row r="582" spans="1:1">
      <c r="A582" s="510"/>
    </row>
    <row r="583" spans="1:1">
      <c r="A583" s="510"/>
    </row>
    <row r="584" spans="1:1">
      <c r="A584" s="510"/>
    </row>
    <row r="585" spans="1:1">
      <c r="A585" s="510"/>
    </row>
    <row r="586" spans="1:1">
      <c r="A586" s="510"/>
    </row>
    <row r="587" spans="1:1">
      <c r="A587" s="510"/>
    </row>
    <row r="588" spans="1:1">
      <c r="A588" s="510"/>
    </row>
    <row r="589" spans="1:1">
      <c r="A589" s="510"/>
    </row>
    <row r="590" spans="1:1">
      <c r="A590" s="510"/>
    </row>
    <row r="591" spans="1:1">
      <c r="A591" s="510"/>
    </row>
    <row r="592" spans="1:1">
      <c r="A592" s="510"/>
    </row>
    <row r="593" spans="1:1">
      <c r="A593" s="510"/>
    </row>
    <row r="594" spans="1:1">
      <c r="A594" s="510"/>
    </row>
    <row r="595" spans="1:1">
      <c r="A595" s="510"/>
    </row>
    <row r="596" spans="1:1">
      <c r="A596" s="510"/>
    </row>
    <row r="597" spans="1:1">
      <c r="A597" s="510"/>
    </row>
    <row r="598" spans="1:1">
      <c r="A598" s="510"/>
    </row>
    <row r="599" spans="1:1">
      <c r="A599" s="510"/>
    </row>
    <row r="600" spans="1:1">
      <c r="A600" s="510"/>
    </row>
    <row r="601" spans="1:1">
      <c r="A601" s="510"/>
    </row>
    <row r="602" spans="1:1">
      <c r="A602" s="510"/>
    </row>
    <row r="603" spans="1:1">
      <c r="A603" s="510"/>
    </row>
    <row r="604" spans="1:1">
      <c r="A604" s="510"/>
    </row>
    <row r="605" spans="1:1">
      <c r="A605" s="510"/>
    </row>
    <row r="606" spans="1:1">
      <c r="A606" s="510"/>
    </row>
    <row r="607" spans="1:1">
      <c r="A607" s="510"/>
    </row>
    <row r="608" spans="1:1">
      <c r="A608" s="510"/>
    </row>
    <row r="609" spans="1:1">
      <c r="A609" s="510"/>
    </row>
    <row r="610" spans="1:1">
      <c r="A610" s="510"/>
    </row>
    <row r="611" spans="1:1">
      <c r="A611" s="510"/>
    </row>
    <row r="612" spans="1:1">
      <c r="A612" s="510"/>
    </row>
    <row r="613" spans="1:1">
      <c r="A613" s="510"/>
    </row>
    <row r="614" spans="1:1">
      <c r="A614" s="510"/>
    </row>
    <row r="615" spans="1:1">
      <c r="A615" s="510"/>
    </row>
    <row r="616" spans="1:1">
      <c r="A616" s="510"/>
    </row>
    <row r="617" spans="1:1">
      <c r="A617" s="510"/>
    </row>
    <row r="618" spans="1:1">
      <c r="A618" s="510"/>
    </row>
    <row r="619" spans="1:1">
      <c r="A619" s="510"/>
    </row>
    <row r="620" spans="1:1">
      <c r="A620" s="510"/>
    </row>
    <row r="621" spans="1:1">
      <c r="A621" s="510"/>
    </row>
    <row r="622" spans="1:1">
      <c r="A622" s="510"/>
    </row>
    <row r="623" spans="1:1">
      <c r="A623" s="510"/>
    </row>
    <row r="624" spans="1:1">
      <c r="A624" s="510"/>
    </row>
    <row r="625" spans="1:1">
      <c r="A625" s="510"/>
    </row>
    <row r="626" spans="1:1">
      <c r="A626" s="510"/>
    </row>
    <row r="627" spans="1:1">
      <c r="A627" s="510"/>
    </row>
    <row r="628" spans="1:1">
      <c r="A628" s="510"/>
    </row>
    <row r="629" spans="1:1">
      <c r="A629" s="510"/>
    </row>
    <row r="630" spans="1:1">
      <c r="A630" s="510"/>
    </row>
    <row r="631" spans="1:1">
      <c r="A631" s="510"/>
    </row>
    <row r="632" spans="1:1">
      <c r="A632" s="510"/>
    </row>
    <row r="633" spans="1:1">
      <c r="A633" s="510"/>
    </row>
    <row r="634" spans="1:1">
      <c r="A634" s="510"/>
    </row>
    <row r="635" spans="1:1">
      <c r="A635" s="510"/>
    </row>
    <row r="636" spans="1:1">
      <c r="A636" s="510"/>
    </row>
    <row r="637" spans="1:1">
      <c r="A637" s="510"/>
    </row>
    <row r="638" spans="1:1">
      <c r="A638" s="510"/>
    </row>
    <row r="639" spans="1:1">
      <c r="A639" s="510"/>
    </row>
    <row r="640" spans="1:1">
      <c r="A640" s="510"/>
    </row>
    <row r="641" spans="1:1">
      <c r="A641" s="510"/>
    </row>
    <row r="642" spans="1:1">
      <c r="A642" s="510"/>
    </row>
    <row r="643" spans="1:1">
      <c r="A643" s="510"/>
    </row>
    <row r="644" spans="1:1">
      <c r="A644" s="510"/>
    </row>
    <row r="645" spans="1:1">
      <c r="A645" s="510"/>
    </row>
    <row r="646" spans="1:1">
      <c r="A646" s="510"/>
    </row>
    <row r="647" spans="1:1">
      <c r="A647" s="510"/>
    </row>
    <row r="648" spans="1:1">
      <c r="A648" s="510"/>
    </row>
    <row r="649" spans="1:1">
      <c r="A649" s="510"/>
    </row>
    <row r="650" spans="1:1">
      <c r="A650" s="510"/>
    </row>
    <row r="651" spans="1:1">
      <c r="A651" s="510"/>
    </row>
    <row r="652" spans="1:1">
      <c r="A652" s="510"/>
    </row>
    <row r="653" spans="1:1">
      <c r="A653" s="510"/>
    </row>
    <row r="654" spans="1:1">
      <c r="A654" s="510"/>
    </row>
    <row r="655" spans="1:1">
      <c r="A655" s="510"/>
    </row>
    <row r="656" spans="1:1">
      <c r="A656" s="510"/>
    </row>
    <row r="657" spans="1:1">
      <c r="A657" s="510"/>
    </row>
    <row r="658" spans="1:1">
      <c r="A658" s="510"/>
    </row>
    <row r="659" spans="1:1">
      <c r="A659" s="510"/>
    </row>
    <row r="660" spans="1:1">
      <c r="A660" s="510"/>
    </row>
    <row r="661" spans="1:1">
      <c r="A661" s="510"/>
    </row>
    <row r="662" spans="1:1">
      <c r="A662" s="510"/>
    </row>
    <row r="663" spans="1:1">
      <c r="A663" s="510"/>
    </row>
    <row r="664" spans="1:1">
      <c r="A664" s="510"/>
    </row>
    <row r="665" spans="1:1">
      <c r="A665" s="510"/>
    </row>
    <row r="666" spans="1:1">
      <c r="A666" s="510"/>
    </row>
    <row r="667" spans="1:1">
      <c r="A667" s="510"/>
    </row>
    <row r="668" spans="1:1">
      <c r="A668" s="510"/>
    </row>
    <row r="669" spans="1:1">
      <c r="A669" s="510"/>
    </row>
    <row r="670" spans="1:1">
      <c r="A670" s="510"/>
    </row>
    <row r="671" spans="1:1">
      <c r="A671" s="510"/>
    </row>
    <row r="672" spans="1:1">
      <c r="A672" s="510"/>
    </row>
    <row r="673" spans="1:1">
      <c r="A673" s="510"/>
    </row>
    <row r="674" spans="1:1">
      <c r="A674" s="510"/>
    </row>
    <row r="675" spans="1:1">
      <c r="A675" s="510"/>
    </row>
    <row r="676" spans="1:1">
      <c r="A676" s="510"/>
    </row>
    <row r="677" spans="1:1">
      <c r="A677" s="510"/>
    </row>
    <row r="678" spans="1:1">
      <c r="A678" s="510"/>
    </row>
    <row r="679" spans="1:1">
      <c r="A679" s="510"/>
    </row>
    <row r="680" spans="1:1">
      <c r="A680" s="510"/>
    </row>
    <row r="681" spans="1:1">
      <c r="A681" s="510"/>
    </row>
  </sheetData>
  <autoFilter ref="A1:D505" xr:uid="{2AD9288F-3030-4EED-8527-474BEFB44057}">
    <sortState xmlns:xlrd2="http://schemas.microsoft.com/office/spreadsheetml/2017/richdata2" ref="A2:D505">
      <sortCondition ref="B1:B505"/>
    </sortState>
  </autoFilter>
  <phoneticPr fontId="3" type="noConversion"/>
  <conditionalFormatting sqref="A2:A61 A236:A415">
    <cfRule type="expression" dxfId="91" priority="1204">
      <formula>$D191=TODAY()-1</formula>
    </cfRule>
  </conditionalFormatting>
  <conditionalFormatting sqref="A62:A234 B116:B195 B393:B424">
    <cfRule type="expression" dxfId="90" priority="6">
      <formula>$D252=TODAY()-1</formula>
    </cfRule>
  </conditionalFormatting>
  <conditionalFormatting sqref="A416:A426">
    <cfRule type="expression" dxfId="89" priority="1">
      <formula>$D606=TODAY()-1</formula>
    </cfRule>
  </conditionalFormatting>
  <conditionalFormatting sqref="A427:A681">
    <cfRule type="expression" dxfId="88" priority="2">
      <formula>$D615=TODAY()-1</formula>
    </cfRule>
  </conditionalFormatting>
  <conditionalFormatting sqref="B40:B424 B2:C39 C40:C236">
    <cfRule type="expression" dxfId="87" priority="16">
      <formula>$C2=TODAY()</formula>
    </cfRule>
  </conditionalFormatting>
  <conditionalFormatting sqref="B196:B224">
    <cfRule type="expression" dxfId="86" priority="1239">
      <formula>$D396=TODAY()-1</formula>
    </cfRule>
  </conditionalFormatting>
  <conditionalFormatting sqref="B225 A235">
    <cfRule type="expression" dxfId="85" priority="1205">
      <formula>#REF!=TODAY()-1</formula>
    </cfRule>
  </conditionalFormatting>
  <conditionalFormatting sqref="B226">
    <cfRule type="expression" dxfId="84" priority="1243">
      <formula>$D425=TODAY()-1</formula>
    </cfRule>
  </conditionalFormatting>
  <conditionalFormatting sqref="B227 B229 B231">
    <cfRule type="expression" dxfId="83" priority="8">
      <formula>#REF!=TODAY()-1</formula>
    </cfRule>
  </conditionalFormatting>
  <conditionalFormatting sqref="B228">
    <cfRule type="expression" dxfId="82" priority="1240">
      <formula>$D426=TODAY()-1</formula>
    </cfRule>
  </conditionalFormatting>
  <conditionalFormatting sqref="B230">
    <cfRule type="expression" dxfId="81" priority="1241">
      <formula>$D427=TODAY()-1</formula>
    </cfRule>
  </conditionalFormatting>
  <conditionalFormatting sqref="B232:B424">
    <cfRule type="expression" dxfId="80" priority="5">
      <formula>$D428=TODAY()-1</formula>
    </cfRule>
  </conditionalFormatting>
  <conditionalFormatting sqref="B390:B392">
    <cfRule type="expression" dxfId="79" priority="7">
      <formula>$D583=TODAY()-1</formula>
    </cfRule>
  </conditionalFormatting>
  <conditionalFormatting sqref="C2:C424">
    <cfRule type="expression" dxfId="78" priority="15">
      <formula>$AS2&lt;&gt;$AT2</formula>
    </cfRule>
  </conditionalFormatting>
  <conditionalFormatting sqref="C425:C505">
    <cfRule type="expression" dxfId="77" priority="1210">
      <formula>$AS428&lt;&gt;$AT428</formula>
    </cfRule>
  </conditionalFormatting>
  <conditionalFormatting sqref="C508:C1048576">
    <cfRule type="expression" dxfId="76" priority="1201">
      <formula>$AS509&lt;&gt;$AT509</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E012A-5E69-4BE6-BFEE-971D4AF5D428}">
  <sheetPr codeName="Sheet7">
    <tabColor theme="2" tint="-9.9978637043366805E-2"/>
  </sheetPr>
  <dimension ref="A1:CC356"/>
  <sheetViews>
    <sheetView zoomScale="70" zoomScaleNormal="70" workbookViewId="0">
      <pane xSplit="5" ySplit="4" topLeftCell="AK5" activePane="bottomRight" state="frozen"/>
      <selection pane="topRight" activeCell="A120" sqref="A120"/>
      <selection pane="bottomLeft" activeCell="A120" sqref="A120"/>
      <selection pane="bottomRight" activeCell="P1" sqref="P1"/>
    </sheetView>
  </sheetViews>
  <sheetFormatPr defaultRowHeight="15"/>
  <cols>
    <col min="1" max="1" width="9.28515625" style="504" bestFit="1" customWidth="1"/>
    <col min="2" max="2" width="7.7109375" hidden="1" customWidth="1"/>
    <col min="3" max="3" width="5.5703125" style="12" customWidth="1"/>
    <col min="4" max="4" width="11.42578125" customWidth="1"/>
    <col min="5" max="5" width="10.85546875" customWidth="1"/>
    <col min="6" max="6" width="16" style="501" bestFit="1" customWidth="1"/>
    <col min="7" max="7" width="14" style="8" bestFit="1" customWidth="1"/>
    <col min="8" max="8" width="17.28515625" bestFit="1" customWidth="1"/>
    <col min="9" max="9" width="20.28515625" bestFit="1" customWidth="1"/>
    <col min="10" max="10" width="18.140625" customWidth="1"/>
    <col min="11" max="11" width="11.140625" style="7" bestFit="1" customWidth="1"/>
    <col min="12" max="12" width="8.5703125" bestFit="1" customWidth="1"/>
    <col min="13" max="13" width="16.42578125" style="8" bestFit="1" customWidth="1"/>
    <col min="14" max="14" width="11.140625" style="7" bestFit="1" customWidth="1"/>
    <col min="15" max="15" width="8.5703125" bestFit="1" customWidth="1"/>
    <col min="16" max="16" width="14.28515625" style="8" customWidth="1"/>
    <col min="17" max="17" width="11.140625" style="7" bestFit="1" customWidth="1"/>
    <col min="18" max="18" width="8.5703125" bestFit="1" customWidth="1"/>
    <col min="19" max="19" width="9" style="8" bestFit="1" customWidth="1"/>
    <col min="20" max="20" width="11.140625" style="7" bestFit="1" customWidth="1"/>
    <col min="21" max="21" width="8.5703125" bestFit="1" customWidth="1"/>
    <col min="22" max="22" width="9" style="8" bestFit="1" customWidth="1"/>
    <col min="23" max="23" width="10.85546875" bestFit="1" customWidth="1"/>
    <col min="24" max="24" width="11.7109375" bestFit="1" customWidth="1"/>
    <col min="25" max="26" width="19.85546875" customWidth="1"/>
    <col min="27" max="28" width="14.42578125" customWidth="1"/>
    <col min="29" max="29" width="11.28515625" customWidth="1"/>
    <col min="30" max="30" width="18" style="9" customWidth="1"/>
    <col min="31" max="31" width="14.42578125" style="7" customWidth="1"/>
    <col min="32" max="32" width="21.140625" style="8" bestFit="1" customWidth="1"/>
    <col min="33" max="33" width="69.5703125" bestFit="1" customWidth="1"/>
    <col min="34" max="34" width="21.28515625" style="7" customWidth="1"/>
    <col min="35" max="35" width="18.7109375" bestFit="1" customWidth="1"/>
    <col min="36" max="36" width="53.42578125" style="43" customWidth="1"/>
    <col min="37" max="37" width="18.7109375" style="7" customWidth="1"/>
    <col min="38" max="38" width="13.42578125" style="8" bestFit="1" customWidth="1"/>
    <col min="39" max="39" width="81.140625" bestFit="1" customWidth="1"/>
    <col min="40" max="40" width="18.7109375" customWidth="1"/>
    <col min="41" max="41" width="30.85546875" bestFit="1" customWidth="1"/>
    <col min="42" max="42" width="22.28515625" style="43" bestFit="1" customWidth="1"/>
    <col min="43" max="43" width="36" style="323" bestFit="1" customWidth="1"/>
    <col min="44" max="44" width="31.5703125" style="43" bestFit="1" customWidth="1"/>
    <col min="45" max="46" width="22.5703125" style="255" customWidth="1"/>
    <col min="47" max="47" width="22.5703125" style="52" customWidth="1"/>
    <col min="48" max="49" width="22.5703125" style="12" customWidth="1"/>
    <col min="50" max="50" width="23.28515625" style="12" bestFit="1" customWidth="1"/>
    <col min="51" max="51" width="22.5703125" style="12" customWidth="1"/>
    <col min="52" max="52" width="255.7109375" bestFit="1" customWidth="1"/>
    <col min="53" max="53" width="93.85546875" bestFit="1" customWidth="1"/>
    <col min="54" max="57" width="9.140625" customWidth="1"/>
    <col min="58" max="58" width="99" customWidth="1"/>
    <col min="59" max="59" width="9.140625" customWidth="1"/>
  </cols>
  <sheetData>
    <row r="1" spans="1:81" ht="15.75" thickBot="1">
      <c r="F1" s="496" t="s">
        <v>321</v>
      </c>
      <c r="G1" s="50">
        <v>48</v>
      </c>
      <c r="I1" s="376" t="s">
        <v>192</v>
      </c>
      <c r="J1" s="377" cm="1">
        <f t="array" ref="J1">SUM(IFERROR(J6:J507,""))</f>
        <v>112190</v>
      </c>
      <c r="L1" s="376" t="s">
        <v>193</v>
      </c>
      <c r="M1" s="424">
        <f>SUM(M6:M285,S6:S234)</f>
        <v>2892.3000000000011</v>
      </c>
      <c r="O1" s="376" t="s">
        <v>194</v>
      </c>
      <c r="P1" s="424">
        <f>SUM(P6:P285,V6:V234)</f>
        <v>1758.9</v>
      </c>
      <c r="T1"/>
      <c r="X1" s="376" t="s">
        <v>146</v>
      </c>
      <c r="Y1" s="377" cm="1">
        <f t="array" ref="Y1">SUM(IFERROR(Y6:Y507,""))</f>
        <v>899384.5</v>
      </c>
      <c r="AC1" s="376" t="s">
        <v>195</v>
      </c>
      <c r="AD1" s="377" cm="1">
        <f t="array" ref="AD1">SUM(IFERROR(AD6:AD507,""))</f>
        <v>111000</v>
      </c>
      <c r="AE1"/>
      <c r="AF1" s="7"/>
      <c r="AG1" s="8"/>
      <c r="AH1"/>
      <c r="AI1" s="7"/>
      <c r="AJ1"/>
      <c r="AL1" s="7"/>
      <c r="AM1" s="8"/>
      <c r="AO1" s="378" t="s">
        <v>196</v>
      </c>
      <c r="AP1" s="379" cm="1">
        <f t="array" ref="AP1">SUM(IFERROR(AP6:AP507,""))</f>
        <v>558250</v>
      </c>
      <c r="AQ1" s="378" t="s">
        <v>197</v>
      </c>
      <c r="AR1" s="379" cm="1">
        <f t="array" ref="AR1">SUM(IFERROR(AR6:AR507,""))</f>
        <v>121436.46999999983</v>
      </c>
      <c r="AS1" s="378" cm="1">
        <f t="array" ref="AS1">SUM(IFERROR(AS6:AS507,""))</f>
        <v>1802260.9699999976</v>
      </c>
      <c r="AT1" s="256"/>
      <c r="AU1" s="12"/>
      <c r="AV1" s="18">
        <f>MAX(AV6:AV1048576)/SUM(W:W)</f>
        <v>376.57723103282507</v>
      </c>
      <c r="AY1"/>
    </row>
    <row r="2" spans="1:81" s="240" customFormat="1">
      <c r="A2" s="505"/>
      <c r="C2" s="239" t="s">
        <v>322</v>
      </c>
      <c r="F2" s="497"/>
      <c r="G2" s="245"/>
      <c r="I2" s="240" t="s">
        <v>117</v>
      </c>
      <c r="J2" s="241">
        <v>130</v>
      </c>
      <c r="K2" s="239" t="s">
        <v>118</v>
      </c>
      <c r="M2" s="243">
        <v>175</v>
      </c>
      <c r="N2" s="239"/>
      <c r="P2" s="243">
        <v>135</v>
      </c>
      <c r="Q2" s="239" t="s">
        <v>119</v>
      </c>
      <c r="S2" s="243">
        <v>175</v>
      </c>
      <c r="T2" s="239"/>
      <c r="V2" s="243">
        <v>135</v>
      </c>
      <c r="W2" s="242"/>
      <c r="Z2" s="242">
        <v>175</v>
      </c>
      <c r="AA2" s="242">
        <v>155</v>
      </c>
      <c r="AB2" s="242">
        <v>420</v>
      </c>
      <c r="AD2" s="417"/>
      <c r="AE2" s="244">
        <v>460</v>
      </c>
      <c r="AF2" s="243">
        <v>460</v>
      </c>
      <c r="AG2" s="242"/>
      <c r="AH2" s="244">
        <v>360</v>
      </c>
      <c r="AI2" s="242">
        <v>360</v>
      </c>
      <c r="AJ2" s="302"/>
      <c r="AK2" s="239"/>
      <c r="AL2" s="245"/>
      <c r="AP2" s="246"/>
      <c r="AQ2" s="302"/>
      <c r="AR2" s="246"/>
      <c r="AS2" s="247"/>
      <c r="AT2" s="247"/>
      <c r="AU2" s="247"/>
      <c r="AV2" s="248"/>
      <c r="AW2" s="248"/>
      <c r="AX2" s="248"/>
      <c r="AY2" s="248"/>
    </row>
    <row r="3" spans="1:81" s="145" customFormat="1">
      <c r="A3" s="506"/>
      <c r="C3" s="249"/>
      <c r="F3" s="498" t="s">
        <v>118</v>
      </c>
      <c r="G3" s="250" t="s">
        <v>119</v>
      </c>
      <c r="K3" s="249" t="s">
        <v>120</v>
      </c>
      <c r="M3" s="250"/>
      <c r="N3" s="249" t="s">
        <v>121</v>
      </c>
      <c r="P3" s="250"/>
      <c r="Q3" s="249" t="s">
        <v>120</v>
      </c>
      <c r="S3" s="250"/>
      <c r="T3" s="249" t="s">
        <v>121</v>
      </c>
      <c r="V3" s="250"/>
      <c r="X3" s="251"/>
      <c r="Y3" s="145" t="s">
        <v>122</v>
      </c>
      <c r="AD3" s="301"/>
      <c r="AE3" s="249"/>
      <c r="AF3" s="250"/>
      <c r="AH3" s="249"/>
      <c r="AJ3" s="254"/>
      <c r="AK3" s="252">
        <v>0</v>
      </c>
      <c r="AL3" s="253">
        <v>0</v>
      </c>
      <c r="AM3" s="251"/>
      <c r="AN3" s="251"/>
      <c r="AO3" s="251"/>
      <c r="AP3" s="254"/>
      <c r="AQ3" s="319"/>
      <c r="AR3" s="254"/>
      <c r="AS3" s="255"/>
      <c r="AT3" s="255"/>
      <c r="AU3" s="255" t="s">
        <v>323</v>
      </c>
      <c r="AV3" s="256"/>
      <c r="AW3" s="256"/>
      <c r="AX3" s="13">
        <f ca="1">AVERAGEIF(B:B,"MET",AX12:AX335)</f>
        <v>403.37894756031397</v>
      </c>
      <c r="AY3" s="13">
        <f ca="1">AVERAGEIF(C$6:C$1048576,"GT",AX12:AX359)</f>
        <v>317.74945037463448</v>
      </c>
    </row>
    <row r="4" spans="1:81" s="258" customFormat="1" ht="30.75" thickBot="1">
      <c r="A4" s="507" t="s">
        <v>1362</v>
      </c>
      <c r="B4" s="258" t="s">
        <v>198</v>
      </c>
      <c r="C4" s="257" t="s">
        <v>123</v>
      </c>
      <c r="D4" s="258" t="s">
        <v>125</v>
      </c>
      <c r="E4" s="258" t="s">
        <v>126</v>
      </c>
      <c r="F4" s="499" t="s">
        <v>127</v>
      </c>
      <c r="G4" s="259" t="s">
        <v>127</v>
      </c>
      <c r="H4" s="258" t="s">
        <v>199</v>
      </c>
      <c r="I4" s="258" t="s">
        <v>129</v>
      </c>
      <c r="J4" s="258" t="s">
        <v>130</v>
      </c>
      <c r="K4" s="257" t="s">
        <v>131</v>
      </c>
      <c r="L4" s="258" t="s">
        <v>132</v>
      </c>
      <c r="M4" s="259" t="s">
        <v>133</v>
      </c>
      <c r="N4" s="249" t="s">
        <v>131</v>
      </c>
      <c r="O4" s="258" t="s">
        <v>132</v>
      </c>
      <c r="P4" s="259" t="s">
        <v>133</v>
      </c>
      <c r="Q4" s="257" t="s">
        <v>131</v>
      </c>
      <c r="R4" s="258" t="s">
        <v>132</v>
      </c>
      <c r="S4" s="259" t="s">
        <v>133</v>
      </c>
      <c r="T4" s="257" t="s">
        <v>131</v>
      </c>
      <c r="U4" s="258" t="s">
        <v>132</v>
      </c>
      <c r="V4" s="259" t="s">
        <v>133</v>
      </c>
      <c r="W4" s="258" t="s">
        <v>145</v>
      </c>
      <c r="X4" s="258" t="s">
        <v>146</v>
      </c>
      <c r="Y4" s="258" t="s">
        <v>147</v>
      </c>
      <c r="Z4" s="258" t="s">
        <v>324</v>
      </c>
      <c r="AA4" s="258" t="s">
        <v>325</v>
      </c>
      <c r="AB4" s="258" t="s">
        <v>150</v>
      </c>
      <c r="AC4" s="258" t="s">
        <v>151</v>
      </c>
      <c r="AD4" s="418" t="s">
        <v>326</v>
      </c>
      <c r="AE4" s="257" t="s">
        <v>153</v>
      </c>
      <c r="AF4" s="259" t="s">
        <v>154</v>
      </c>
      <c r="AG4" s="260" t="s">
        <v>200</v>
      </c>
      <c r="AH4" s="261" t="s">
        <v>156</v>
      </c>
      <c r="AI4" s="258" t="s">
        <v>157</v>
      </c>
      <c r="AJ4" s="303" t="s">
        <v>201</v>
      </c>
      <c r="AK4" s="257" t="s">
        <v>159</v>
      </c>
      <c r="AL4" s="259" t="s">
        <v>160</v>
      </c>
      <c r="AM4" s="260" t="s">
        <v>202</v>
      </c>
      <c r="AN4" s="258" t="s">
        <v>161</v>
      </c>
      <c r="AO4" s="258" t="s">
        <v>203</v>
      </c>
      <c r="AP4" s="262" t="s">
        <v>162</v>
      </c>
      <c r="AQ4" s="320" t="s">
        <v>163</v>
      </c>
      <c r="AR4" s="262" t="s">
        <v>327</v>
      </c>
      <c r="AS4" s="263" t="s">
        <v>165</v>
      </c>
      <c r="AT4" s="263" t="s">
        <v>328</v>
      </c>
      <c r="AU4" s="345">
        <f>AVERAGE(AU6:AU296)</f>
        <v>6.7987745151339096E-2</v>
      </c>
      <c r="AV4" s="264" t="s">
        <v>167</v>
      </c>
      <c r="AW4" s="264" t="s">
        <v>204</v>
      </c>
      <c r="AX4" s="264" t="s">
        <v>329</v>
      </c>
      <c r="AY4" s="264" t="s">
        <v>206</v>
      </c>
      <c r="AZ4" s="258" t="s">
        <v>202</v>
      </c>
      <c r="BA4" s="258" t="s">
        <v>207</v>
      </c>
      <c r="BB4" s="258" t="s">
        <v>208</v>
      </c>
      <c r="BC4" s="258" t="s">
        <v>168</v>
      </c>
      <c r="BD4" s="258" t="s">
        <v>169</v>
      </c>
      <c r="BE4" s="258" t="s">
        <v>170</v>
      </c>
    </row>
    <row r="5" spans="1:81" s="16" customFormat="1">
      <c r="A5" s="508"/>
      <c r="C5" s="16" t="s">
        <v>10</v>
      </c>
      <c r="D5" s="16">
        <v>1</v>
      </c>
      <c r="E5" s="16">
        <v>2</v>
      </c>
      <c r="F5" s="500">
        <v>3</v>
      </c>
      <c r="G5" s="20">
        <v>4</v>
      </c>
      <c r="H5" s="16">
        <v>5</v>
      </c>
      <c r="I5" s="16">
        <v>6</v>
      </c>
      <c r="J5" s="16">
        <v>7</v>
      </c>
      <c r="K5" s="19">
        <v>8</v>
      </c>
      <c r="L5" s="16">
        <v>9</v>
      </c>
      <c r="M5" s="20">
        <v>10</v>
      </c>
      <c r="N5" s="19">
        <v>11</v>
      </c>
      <c r="O5" s="16">
        <v>12</v>
      </c>
      <c r="P5" s="20">
        <v>13</v>
      </c>
      <c r="Q5" s="19">
        <v>14</v>
      </c>
      <c r="R5" s="16">
        <v>15</v>
      </c>
      <c r="S5" s="20">
        <v>16</v>
      </c>
      <c r="T5" s="19">
        <v>17</v>
      </c>
      <c r="U5" s="16">
        <v>18</v>
      </c>
      <c r="V5" s="20">
        <v>19</v>
      </c>
      <c r="X5" s="16">
        <v>20</v>
      </c>
      <c r="Y5" s="16">
        <v>21</v>
      </c>
      <c r="AA5" s="16">
        <v>22</v>
      </c>
      <c r="AB5" s="16">
        <v>23</v>
      </c>
      <c r="AC5" s="16">
        <v>24</v>
      </c>
      <c r="AD5" s="419"/>
      <c r="AE5" s="16">
        <v>25</v>
      </c>
      <c r="AF5" s="16">
        <v>26</v>
      </c>
      <c r="AG5" s="16">
        <v>27</v>
      </c>
      <c r="AH5" s="19">
        <v>28</v>
      </c>
      <c r="AI5" s="16">
        <v>29</v>
      </c>
      <c r="AJ5" s="42">
        <v>30</v>
      </c>
      <c r="AK5" s="19">
        <v>31</v>
      </c>
      <c r="AL5" s="20">
        <v>32</v>
      </c>
      <c r="AN5" s="16">
        <v>33</v>
      </c>
      <c r="AO5" s="16">
        <v>34</v>
      </c>
      <c r="AP5" s="42">
        <v>35</v>
      </c>
      <c r="AQ5" s="321"/>
      <c r="AR5" s="42">
        <v>36</v>
      </c>
      <c r="AS5" s="254">
        <v>37</v>
      </c>
      <c r="AT5" s="254"/>
      <c r="AU5" s="42"/>
      <c r="AV5" s="16">
        <v>38</v>
      </c>
      <c r="AW5" s="16">
        <v>39</v>
      </c>
      <c r="AX5" s="16">
        <v>40</v>
      </c>
      <c r="AY5" s="16">
        <v>41</v>
      </c>
      <c r="AZ5" s="16">
        <v>42</v>
      </c>
      <c r="BA5" s="16">
        <v>43</v>
      </c>
      <c r="BB5" s="16">
        <v>44</v>
      </c>
      <c r="BC5" s="16">
        <v>45</v>
      </c>
      <c r="BD5" s="16">
        <v>46</v>
      </c>
      <c r="BE5" s="16">
        <v>47</v>
      </c>
      <c r="BF5" s="16">
        <v>48</v>
      </c>
      <c r="BG5" s="16">
        <v>49</v>
      </c>
      <c r="BH5" s="16">
        <v>50</v>
      </c>
      <c r="BI5" s="16">
        <v>51</v>
      </c>
      <c r="BJ5" s="16">
        <v>52</v>
      </c>
      <c r="BK5" s="16">
        <v>53</v>
      </c>
      <c r="BL5" s="16">
        <v>54</v>
      </c>
      <c r="BM5" s="16">
        <v>55</v>
      </c>
      <c r="BN5" s="16">
        <v>56</v>
      </c>
      <c r="BO5" s="16">
        <v>57</v>
      </c>
      <c r="BP5" s="16">
        <v>58</v>
      </c>
      <c r="BQ5" s="16">
        <v>59</v>
      </c>
      <c r="BR5" s="16">
        <v>60</v>
      </c>
      <c r="BS5" s="16">
        <v>61</v>
      </c>
      <c r="BT5" s="16">
        <v>62</v>
      </c>
      <c r="BU5" s="16">
        <v>63</v>
      </c>
      <c r="BV5" s="16">
        <v>64</v>
      </c>
      <c r="BW5" s="16">
        <v>65</v>
      </c>
      <c r="BX5" s="16">
        <v>66</v>
      </c>
      <c r="BY5" s="16">
        <v>67</v>
      </c>
      <c r="BZ5" s="16">
        <v>68</v>
      </c>
      <c r="CA5" s="16">
        <v>69</v>
      </c>
      <c r="CB5" s="16">
        <v>70</v>
      </c>
      <c r="CC5" s="16">
        <v>71</v>
      </c>
    </row>
    <row r="6" spans="1:81">
      <c r="A6" s="510" t="e">
        <f>VLOOKUP(F6,'Tenement Lookup'!A:BH,60,FALSE)</f>
        <v>#N/A</v>
      </c>
      <c r="C6" s="152" t="s">
        <v>11</v>
      </c>
      <c r="D6" s="1">
        <f>45820.21+1</f>
        <v>45821.21</v>
      </c>
      <c r="E6" t="s">
        <v>171</v>
      </c>
      <c r="H6" s="4" t="s">
        <v>330</v>
      </c>
      <c r="I6" s="4">
        <v>0</v>
      </c>
      <c r="J6" s="5">
        <f t="shared" ref="J6:J38" si="0">IF(ISBLANK(I6),"",I6*$J$2)</f>
        <v>0</v>
      </c>
      <c r="K6" s="21"/>
      <c r="L6" s="28"/>
      <c r="M6" s="22" t="str">
        <f>IF(ISBLANK(K6),"",L6-K6)</f>
        <v/>
      </c>
      <c r="N6" s="30"/>
      <c r="O6" s="26"/>
      <c r="P6" s="31">
        <f t="shared" ref="P6:P18" si="1">IF(ISBLANK(N6),,O6-N6)</f>
        <v>0</v>
      </c>
      <c r="Q6" s="21"/>
      <c r="R6" s="28"/>
      <c r="S6" s="22">
        <f t="shared" ref="S6:S27" si="2">IF(ISBLANK(Q6),,R6-Q6)</f>
        <v>0</v>
      </c>
      <c r="T6" s="30"/>
      <c r="U6" s="26"/>
      <c r="V6" s="31">
        <f t="shared" ref="V6:V21" si="3">IF(ISBLANK(T6),,U6-T6)</f>
        <v>0</v>
      </c>
      <c r="W6" s="26" t="str">
        <f>IFERROR(M6+P6+S6+V6,"")</f>
        <v/>
      </c>
      <c r="X6" s="36" t="str">
        <f t="shared" ref="X6:X38" si="4">IFERROR((M6*$M$2)+(P6*$P$2)+(S6*$S$2)+(V6*$V$2),"")</f>
        <v/>
      </c>
      <c r="Y6" s="301" t="str">
        <f t="shared" ref="Y6:Y37" si="5">IF(F6&lt;&gt;"",IF(X6&lt;(AE6*$AE$2),(AE6*$AE$2),X6),"")</f>
        <v/>
      </c>
      <c r="Z6" s="38">
        <v>1</v>
      </c>
      <c r="AA6" s="38">
        <v>1</v>
      </c>
      <c r="AB6" s="38">
        <v>1</v>
      </c>
      <c r="AC6" s="38">
        <v>13122</v>
      </c>
      <c r="AD6" s="157">
        <f>SUMPRODUCT(Z6:AB6,$Z$2:$AB$2)</f>
        <v>750</v>
      </c>
      <c r="AE6" s="34"/>
      <c r="AF6" s="35"/>
      <c r="AG6" s="40"/>
      <c r="AH6" s="44"/>
      <c r="AI6" s="13"/>
      <c r="AJ6" s="304"/>
      <c r="AK6" s="45"/>
      <c r="AL6" s="23"/>
      <c r="AM6" s="138"/>
      <c r="AN6" s="25">
        <f ca="1">IF(D6&gt;TODAY()-1,"",SUM(AE6:AF6,AH6:AL6))</f>
        <v>0</v>
      </c>
      <c r="AO6" s="50"/>
      <c r="AP6" s="53">
        <f t="shared" ref="AP6:AP69" si="6">(AF6*$AF$2)+(AH6*$AH$2)+(AI6*$AI$2)</f>
        <v>0</v>
      </c>
      <c r="AQ6" s="322"/>
      <c r="AR6" s="55"/>
      <c r="AS6" s="375">
        <f t="shared" ref="AS6:AS69" si="7">SUM(Y6,AP6,AR6,AD6,J6)</f>
        <v>750</v>
      </c>
      <c r="AT6" s="375"/>
      <c r="AU6" s="344">
        <f t="shared" ref="AU6:AU69" si="8">IFERROR(J6/AS6,"")</f>
        <v>0</v>
      </c>
      <c r="AV6" s="18">
        <f>IF(F5="","",(SUM($AS$6:AS6)))</f>
        <v>750</v>
      </c>
      <c r="AW6" s="18">
        <f>IF(AS6&lt;&gt;"", SUMIFS($AS$6:AS6, $BG$6:BG6, BG6), "")</f>
        <v>750</v>
      </c>
      <c r="AX6" s="57" t="str">
        <f t="shared" ref="AX6:AX21" ca="1" si="9">IF(AND(D6&gt;TODAY(),ISBLANK(H6)),"",IF(ISBLANK(AE6),"no drilling completed",AS6/(W6)))</f>
        <v>no drilling completed</v>
      </c>
      <c r="AY6" s="15" t="str">
        <f t="shared" ref="AY6:AY69" ca="1" si="10">IF(D6&lt;TODAY(),HYPERLINK(BF6,"LINK"),"")</f>
        <v>LINK</v>
      </c>
      <c r="AZ6" s="10" t="s">
        <v>331</v>
      </c>
      <c r="BA6" s="14" t="s">
        <v>332</v>
      </c>
      <c r="BB6" t="str">
        <f t="shared" ref="BB6:BB69" si="11">RIGHT(YEAR(D6),2)</f>
        <v>25</v>
      </c>
      <c r="BC6" t="str">
        <f t="shared" ref="BC6:BC69" si="12">IF(LEN(MONTH(D6))=1,_xlfn.TEXTJOIN(,,"0",MONTH(D6)),MONTH(D6))</f>
        <v>06</v>
      </c>
      <c r="BD6">
        <f t="shared" ref="BD6:BD69" si="13">IF(LEN(DAY(D6))=1,_xlfn.TEXTJOIN(,,"0",DAY(D6)),DAY(D6))</f>
        <v>13</v>
      </c>
      <c r="BE6" t="str">
        <f t="shared" ref="BE6:BE69" si="14">LEFT(E6,1)</f>
        <v>D</v>
      </c>
      <c r="BF6" t="str">
        <f>CONCATENATE(BA6,BB6,BC6,BD6,BE6)</f>
        <v>https://www.coreplan.io/app/ddh1-drilling/speewah-mining-speewah-fluorite-project-wa/plods/1665-250613D</v>
      </c>
      <c r="BG6" t="str">
        <f t="shared" ref="BG6:BG69" si="15">TEXT(D6, "yyyy-mm")</f>
        <v>2025-06</v>
      </c>
    </row>
    <row r="7" spans="1:81">
      <c r="A7" s="510" t="e">
        <f>VLOOKUP(F7,'Tenement Lookup'!A:BH,60,FALSE)</f>
        <v>#N/A</v>
      </c>
      <c r="C7" s="117">
        <f t="shared" ref="C7:C13" si="16">D7</f>
        <v>45821.71</v>
      </c>
      <c r="D7" s="1">
        <f>45820.71+1</f>
        <v>45821.71</v>
      </c>
      <c r="E7" t="s">
        <v>172</v>
      </c>
      <c r="H7" s="4"/>
      <c r="I7" s="4"/>
      <c r="J7" s="5" t="str">
        <f t="shared" si="0"/>
        <v/>
      </c>
      <c r="K7" s="21"/>
      <c r="L7" s="28"/>
      <c r="M7" s="22" t="str">
        <f t="shared" ref="M7:M70" si="17">IF(ISBLANK(K7),"",L7-K7)</f>
        <v/>
      </c>
      <c r="N7" s="30"/>
      <c r="O7" s="26"/>
      <c r="P7" s="31">
        <f t="shared" si="1"/>
        <v>0</v>
      </c>
      <c r="Q7" s="21"/>
      <c r="R7" s="28"/>
      <c r="S7" s="22">
        <f t="shared" si="2"/>
        <v>0</v>
      </c>
      <c r="T7" s="30"/>
      <c r="U7" s="26"/>
      <c r="V7" s="31">
        <f t="shared" si="3"/>
        <v>0</v>
      </c>
      <c r="W7" s="26" t="str">
        <f t="shared" ref="W7:W70" si="18">IFERROR(M7+P7+S7+V7,"")</f>
        <v/>
      </c>
      <c r="X7" s="36" t="str">
        <f t="shared" si="4"/>
        <v/>
      </c>
      <c r="Y7" s="301" t="str">
        <f t="shared" si="5"/>
        <v/>
      </c>
      <c r="Z7" s="38"/>
      <c r="AA7" s="38"/>
      <c r="AB7" s="38"/>
      <c r="AC7" s="38"/>
      <c r="AD7" s="157">
        <f t="shared" ref="AD7:AD70" si="19">SUMPRODUCT(Z7:AB7,$Z$2:$AB$2)</f>
        <v>0</v>
      </c>
      <c r="AE7" s="34"/>
      <c r="AF7" s="35"/>
      <c r="AG7" s="40"/>
      <c r="AH7" s="44"/>
      <c r="AI7" s="13"/>
      <c r="AJ7" s="304"/>
      <c r="AK7" s="45"/>
      <c r="AL7" s="23"/>
      <c r="AM7" s="138"/>
      <c r="AN7" s="25">
        <f ca="1">IF(D7&gt;TODAY()-1,"",SUM(AE7:AF7,AH7:AL7))</f>
        <v>0</v>
      </c>
      <c r="AO7" s="50"/>
      <c r="AP7" s="53">
        <f t="shared" si="6"/>
        <v>0</v>
      </c>
      <c r="AQ7" s="322"/>
      <c r="AR7" s="55"/>
      <c r="AS7" s="375">
        <f t="shared" si="7"/>
        <v>0</v>
      </c>
      <c r="AT7" s="375"/>
      <c r="AU7" s="344" t="str">
        <f t="shared" si="8"/>
        <v/>
      </c>
      <c r="AV7" s="18" t="str">
        <f>IF(F7="","",(SUM($AS$6:AS7)))</f>
        <v/>
      </c>
      <c r="AW7" s="18">
        <f>IF(AS7&lt;&gt;"", SUMIFS($AS$6:AS7, $BG$6:BG7, BG7), "")</f>
        <v>750</v>
      </c>
      <c r="AX7" s="57" t="str">
        <f t="shared" ca="1" si="9"/>
        <v>no drilling completed</v>
      </c>
      <c r="AY7" s="15" t="str">
        <f t="shared" ca="1" si="10"/>
        <v>LINK</v>
      </c>
      <c r="AZ7" s="10" t="s">
        <v>333</v>
      </c>
      <c r="BA7" s="14" t="s">
        <v>332</v>
      </c>
      <c r="BB7" t="str">
        <f t="shared" si="11"/>
        <v>25</v>
      </c>
      <c r="BC7" t="str">
        <f t="shared" si="12"/>
        <v>06</v>
      </c>
      <c r="BD7">
        <f t="shared" si="13"/>
        <v>13</v>
      </c>
      <c r="BE7" t="str">
        <f t="shared" si="14"/>
        <v>N</v>
      </c>
      <c r="BF7" t="str">
        <f t="shared" ref="BF7:BF70" si="20">CONCATENATE(BA7,BB7,BC7,BD7,BE7)</f>
        <v>https://www.coreplan.io/app/ddh1-drilling/speewah-mining-speewah-fluorite-project-wa/plods/1665-250613N</v>
      </c>
      <c r="BG7" t="str">
        <f t="shared" si="15"/>
        <v>2025-06</v>
      </c>
    </row>
    <row r="8" spans="1:81">
      <c r="A8" s="510" t="e">
        <f>VLOOKUP(F8,'Tenement Lookup'!A:BH,60,FALSE)</f>
        <v>#N/A</v>
      </c>
      <c r="C8" s="152" t="s">
        <v>11</v>
      </c>
      <c r="D8" s="1">
        <f t="shared" ref="D8:D47" si="21">D6+1</f>
        <v>45822.21</v>
      </c>
      <c r="E8" t="s">
        <v>171</v>
      </c>
      <c r="H8" s="4" t="s">
        <v>330</v>
      </c>
      <c r="I8" s="4">
        <v>0</v>
      </c>
      <c r="J8" s="5">
        <f t="shared" si="0"/>
        <v>0</v>
      </c>
      <c r="K8" s="21"/>
      <c r="L8" s="28"/>
      <c r="M8" s="22" t="str">
        <f t="shared" si="17"/>
        <v/>
      </c>
      <c r="N8" s="30"/>
      <c r="O8" s="26"/>
      <c r="P8" s="31">
        <f t="shared" si="1"/>
        <v>0</v>
      </c>
      <c r="Q8" s="21"/>
      <c r="R8" s="28"/>
      <c r="S8" s="22">
        <f t="shared" si="2"/>
        <v>0</v>
      </c>
      <c r="T8" s="30"/>
      <c r="U8" s="26"/>
      <c r="V8" s="31">
        <f t="shared" si="3"/>
        <v>0</v>
      </c>
      <c r="W8" s="26" t="str">
        <f t="shared" si="18"/>
        <v/>
      </c>
      <c r="X8" s="36" t="str">
        <f t="shared" si="4"/>
        <v/>
      </c>
      <c r="Y8" s="301" t="str">
        <f t="shared" si="5"/>
        <v/>
      </c>
      <c r="Z8" s="38">
        <v>1</v>
      </c>
      <c r="AA8" s="38">
        <v>1</v>
      </c>
      <c r="AB8" s="38">
        <v>1</v>
      </c>
      <c r="AC8" s="38">
        <v>13122</v>
      </c>
      <c r="AD8" s="157">
        <f t="shared" si="19"/>
        <v>750</v>
      </c>
      <c r="AE8" s="34"/>
      <c r="AF8" s="35"/>
      <c r="AG8" s="40"/>
      <c r="AH8" s="44"/>
      <c r="AI8" s="13"/>
      <c r="AJ8" s="304"/>
      <c r="AK8" s="45"/>
      <c r="AL8" s="23"/>
      <c r="AM8" s="138"/>
      <c r="AN8" s="25">
        <f ca="1">IF(D8&gt;TODAY()-1,"",SUM(AE8:AF8,AH8:AL8))</f>
        <v>0</v>
      </c>
      <c r="AO8" s="50"/>
      <c r="AP8" s="53">
        <f t="shared" si="6"/>
        <v>0</v>
      </c>
      <c r="AQ8" s="322"/>
      <c r="AR8" s="55"/>
      <c r="AS8" s="375">
        <f t="shared" si="7"/>
        <v>750</v>
      </c>
      <c r="AT8" s="375"/>
      <c r="AU8" s="344">
        <f t="shared" si="8"/>
        <v>0</v>
      </c>
      <c r="AV8" s="18" t="str">
        <f>IF(F8="","",(SUM($AS$6:AS8)))</f>
        <v/>
      </c>
      <c r="AW8" s="18">
        <f>IF(AS8&lt;&gt;"", SUMIFS($AS$6:AS8, $BG$6:BG8, BG8), "")</f>
        <v>1500</v>
      </c>
      <c r="AX8" s="57" t="str">
        <f t="shared" ca="1" si="9"/>
        <v>no drilling completed</v>
      </c>
      <c r="AY8" s="15" t="str">
        <f t="shared" ca="1" si="10"/>
        <v>LINK</v>
      </c>
      <c r="AZ8" s="10" t="s">
        <v>334</v>
      </c>
      <c r="BA8" s="14" t="s">
        <v>332</v>
      </c>
      <c r="BB8" t="str">
        <f t="shared" si="11"/>
        <v>25</v>
      </c>
      <c r="BC8" t="str">
        <f t="shared" si="12"/>
        <v>06</v>
      </c>
      <c r="BD8">
        <f t="shared" si="13"/>
        <v>14</v>
      </c>
      <c r="BE8" t="str">
        <f t="shared" si="14"/>
        <v>D</v>
      </c>
      <c r="BF8" t="str">
        <f t="shared" si="20"/>
        <v>https://www.coreplan.io/app/ddh1-drilling/speewah-mining-speewah-fluorite-project-wa/plods/1665-250614D</v>
      </c>
      <c r="BG8" t="str">
        <f t="shared" si="15"/>
        <v>2025-06</v>
      </c>
    </row>
    <row r="9" spans="1:81">
      <c r="A9" s="510" t="e">
        <f>VLOOKUP(F9,'Tenement Lookup'!A:BH,60,FALSE)</f>
        <v>#N/A</v>
      </c>
      <c r="C9" s="117">
        <f t="shared" si="16"/>
        <v>45822.71</v>
      </c>
      <c r="D9" s="1">
        <f t="shared" si="21"/>
        <v>45822.71</v>
      </c>
      <c r="E9" t="s">
        <v>172</v>
      </c>
      <c r="H9" s="4"/>
      <c r="I9" s="4"/>
      <c r="J9" s="5" t="str">
        <f t="shared" si="0"/>
        <v/>
      </c>
      <c r="K9" s="21"/>
      <c r="L9" s="28"/>
      <c r="M9" s="22" t="str">
        <f t="shared" si="17"/>
        <v/>
      </c>
      <c r="N9" s="30"/>
      <c r="O9" s="26"/>
      <c r="P9" s="31">
        <f t="shared" si="1"/>
        <v>0</v>
      </c>
      <c r="Q9" s="21"/>
      <c r="R9" s="28"/>
      <c r="S9" s="22">
        <f t="shared" si="2"/>
        <v>0</v>
      </c>
      <c r="T9" s="30"/>
      <c r="U9" s="26"/>
      <c r="V9" s="31">
        <f t="shared" si="3"/>
        <v>0</v>
      </c>
      <c r="W9" s="26" t="str">
        <f t="shared" si="18"/>
        <v/>
      </c>
      <c r="X9" s="36" t="str">
        <f t="shared" si="4"/>
        <v/>
      </c>
      <c r="Y9" s="301" t="str">
        <f t="shared" si="5"/>
        <v/>
      </c>
      <c r="Z9" s="38"/>
      <c r="AA9" s="38"/>
      <c r="AB9" s="38"/>
      <c r="AC9" s="38"/>
      <c r="AD9" s="157">
        <f t="shared" si="19"/>
        <v>0</v>
      </c>
      <c r="AE9" s="34"/>
      <c r="AF9" s="35"/>
      <c r="AG9" s="40"/>
      <c r="AH9" s="44"/>
      <c r="AI9" s="13"/>
      <c r="AJ9" s="304"/>
      <c r="AK9" s="45"/>
      <c r="AL9" s="23"/>
      <c r="AM9" s="138"/>
      <c r="AN9" s="25">
        <f ca="1">IF(D9&gt;TODAY()-1,"",SUM(AE9:AF9,AH9:AL9))</f>
        <v>0</v>
      </c>
      <c r="AO9" s="50"/>
      <c r="AP9" s="53">
        <f t="shared" si="6"/>
        <v>0</v>
      </c>
      <c r="AQ9" s="322"/>
      <c r="AR9" s="55"/>
      <c r="AS9" s="375">
        <f t="shared" si="7"/>
        <v>0</v>
      </c>
      <c r="AT9" s="375"/>
      <c r="AU9" s="344" t="str">
        <f t="shared" si="8"/>
        <v/>
      </c>
      <c r="AV9" s="18" t="str">
        <f>IF(F9="","",(SUM($AS$6:AS9)))</f>
        <v/>
      </c>
      <c r="AW9" s="18">
        <f>IF(AS9&lt;&gt;"", SUMIFS($AS$6:AS9, $BG$6:BG9, BG9), "")</f>
        <v>1500</v>
      </c>
      <c r="AX9" s="57" t="str">
        <f t="shared" ca="1" si="9"/>
        <v>no drilling completed</v>
      </c>
      <c r="AY9" s="15" t="str">
        <f t="shared" ca="1" si="10"/>
        <v>LINK</v>
      </c>
      <c r="AZ9" s="10" t="s">
        <v>333</v>
      </c>
      <c r="BA9" s="14" t="s">
        <v>332</v>
      </c>
      <c r="BB9" t="str">
        <f t="shared" si="11"/>
        <v>25</v>
      </c>
      <c r="BC9" t="str">
        <f t="shared" si="12"/>
        <v>06</v>
      </c>
      <c r="BD9">
        <f t="shared" si="13"/>
        <v>14</v>
      </c>
      <c r="BE9" t="str">
        <f t="shared" si="14"/>
        <v>N</v>
      </c>
      <c r="BF9" t="str">
        <f t="shared" si="20"/>
        <v>https://www.coreplan.io/app/ddh1-drilling/speewah-mining-speewah-fluorite-project-wa/plods/1665-250614N</v>
      </c>
      <c r="BG9" t="str">
        <f t="shared" si="15"/>
        <v>2025-06</v>
      </c>
    </row>
    <row r="10" spans="1:81">
      <c r="A10" s="510" t="e">
        <f>VLOOKUP(F10,'Tenement Lookup'!A:BH,60,FALSE)</f>
        <v>#N/A</v>
      </c>
      <c r="C10" s="152" t="s">
        <v>11</v>
      </c>
      <c r="D10" s="1">
        <f t="shared" si="21"/>
        <v>45823.21</v>
      </c>
      <c r="E10" t="s">
        <v>171</v>
      </c>
      <c r="H10" s="4" t="s">
        <v>330</v>
      </c>
      <c r="I10" s="4">
        <v>0</v>
      </c>
      <c r="J10" s="5">
        <f t="shared" si="0"/>
        <v>0</v>
      </c>
      <c r="K10" s="21"/>
      <c r="L10" s="28"/>
      <c r="M10" s="22" t="str">
        <f t="shared" si="17"/>
        <v/>
      </c>
      <c r="N10" s="30"/>
      <c r="O10" s="26"/>
      <c r="P10" s="31">
        <f t="shared" si="1"/>
        <v>0</v>
      </c>
      <c r="Q10" s="21"/>
      <c r="R10" s="28"/>
      <c r="S10" s="22">
        <f t="shared" si="2"/>
        <v>0</v>
      </c>
      <c r="T10" s="30"/>
      <c r="U10" s="26"/>
      <c r="V10" s="31">
        <f t="shared" si="3"/>
        <v>0</v>
      </c>
      <c r="W10" s="26" t="str">
        <f t="shared" si="18"/>
        <v/>
      </c>
      <c r="X10" s="36" t="str">
        <f t="shared" si="4"/>
        <v/>
      </c>
      <c r="Y10" s="301" t="str">
        <f t="shared" si="5"/>
        <v/>
      </c>
      <c r="Z10" s="38">
        <v>1</v>
      </c>
      <c r="AA10" s="38">
        <v>1</v>
      </c>
      <c r="AB10" s="38">
        <v>1</v>
      </c>
      <c r="AC10" s="38">
        <v>13122</v>
      </c>
      <c r="AD10" s="157">
        <f t="shared" si="19"/>
        <v>750</v>
      </c>
      <c r="AE10" s="34"/>
      <c r="AF10" s="35"/>
      <c r="AG10" s="40"/>
      <c r="AH10" s="44"/>
      <c r="AI10" s="13">
        <v>7</v>
      </c>
      <c r="AJ10" s="304"/>
      <c r="AK10" s="45">
        <v>5</v>
      </c>
      <c r="AL10" s="23"/>
      <c r="AM10" s="138"/>
      <c r="AN10" s="25">
        <f ca="1">IF(D10&gt;TODAY()-1,"",SUM(AE10:AF10,AH10:AL10))</f>
        <v>12</v>
      </c>
      <c r="AO10" s="50"/>
      <c r="AP10" s="53">
        <f t="shared" si="6"/>
        <v>2520</v>
      </c>
      <c r="AQ10" s="322"/>
      <c r="AR10" s="55"/>
      <c r="AS10" s="375">
        <f t="shared" si="7"/>
        <v>3270</v>
      </c>
      <c r="AT10" s="375">
        <v>3095</v>
      </c>
      <c r="AU10" s="344">
        <f t="shared" si="8"/>
        <v>0</v>
      </c>
      <c r="AV10" s="18" t="str">
        <f>IF(F10="","",(SUM($AS$6:AS10)))</f>
        <v/>
      </c>
      <c r="AW10" s="18">
        <f>IF(AS10&lt;&gt;"", SUMIFS($AS$6:AS10, $BG$6:BG10, BG10), "")</f>
        <v>4770</v>
      </c>
      <c r="AX10" s="57" t="str">
        <f t="shared" ca="1" si="9"/>
        <v>no drilling completed</v>
      </c>
      <c r="AY10" s="15" t="str">
        <f t="shared" ca="1" si="10"/>
        <v>LINK</v>
      </c>
      <c r="AZ10" s="10" t="s">
        <v>335</v>
      </c>
      <c r="BA10" s="14" t="s">
        <v>332</v>
      </c>
      <c r="BB10" t="str">
        <f t="shared" si="11"/>
        <v>25</v>
      </c>
      <c r="BC10" t="str">
        <f t="shared" si="12"/>
        <v>06</v>
      </c>
      <c r="BD10">
        <f t="shared" si="13"/>
        <v>15</v>
      </c>
      <c r="BE10" t="str">
        <f t="shared" si="14"/>
        <v>D</v>
      </c>
      <c r="BF10" t="str">
        <f t="shared" si="20"/>
        <v>https://www.coreplan.io/app/ddh1-drilling/speewah-mining-speewah-fluorite-project-wa/plods/1665-250615D</v>
      </c>
      <c r="BG10" t="str">
        <f t="shared" si="15"/>
        <v>2025-06</v>
      </c>
    </row>
    <row r="11" spans="1:81">
      <c r="A11" s="510" t="e">
        <f>VLOOKUP(F11,'Tenement Lookup'!A:BH,60,FALSE)</f>
        <v>#N/A</v>
      </c>
      <c r="C11" s="117">
        <f t="shared" si="16"/>
        <v>45823.71</v>
      </c>
      <c r="D11" s="1">
        <f t="shared" si="21"/>
        <v>45823.71</v>
      </c>
      <c r="E11" t="s">
        <v>172</v>
      </c>
      <c r="H11" s="4"/>
      <c r="I11" s="4"/>
      <c r="J11" s="5" t="str">
        <f t="shared" si="0"/>
        <v/>
      </c>
      <c r="K11" s="21"/>
      <c r="L11" s="28"/>
      <c r="M11" s="22" t="str">
        <f t="shared" si="17"/>
        <v/>
      </c>
      <c r="N11" s="30"/>
      <c r="O11" s="26"/>
      <c r="P11" s="31">
        <f t="shared" si="1"/>
        <v>0</v>
      </c>
      <c r="Q11" s="21"/>
      <c r="R11" s="28"/>
      <c r="S11" s="22">
        <f t="shared" si="2"/>
        <v>0</v>
      </c>
      <c r="T11" s="30"/>
      <c r="U11" s="26"/>
      <c r="V11" s="31">
        <f t="shared" si="3"/>
        <v>0</v>
      </c>
      <c r="W11" s="26" t="str">
        <f t="shared" si="18"/>
        <v/>
      </c>
      <c r="X11" s="36" t="str">
        <f t="shared" si="4"/>
        <v/>
      </c>
      <c r="Y11" s="301" t="str">
        <f t="shared" si="5"/>
        <v/>
      </c>
      <c r="Z11" s="38"/>
      <c r="AA11" s="38"/>
      <c r="AB11" s="38"/>
      <c r="AC11" s="38"/>
      <c r="AD11" s="157">
        <f t="shared" si="19"/>
        <v>0</v>
      </c>
      <c r="AE11" s="34"/>
      <c r="AF11" s="35"/>
      <c r="AG11" s="40"/>
      <c r="AH11" s="44"/>
      <c r="AI11" s="13"/>
      <c r="AJ11" s="304"/>
      <c r="AK11" s="45"/>
      <c r="AL11" s="23"/>
      <c r="AM11" s="138"/>
      <c r="AN11" s="25">
        <f t="shared" ref="AN11:AN74" ca="1" si="22">IF(D11&gt;TODAY(),"",SUM(AE11:AF11,AH11:AL11))</f>
        <v>0</v>
      </c>
      <c r="AO11" s="50"/>
      <c r="AP11" s="53">
        <f t="shared" si="6"/>
        <v>0</v>
      </c>
      <c r="AQ11" s="322"/>
      <c r="AR11" s="55"/>
      <c r="AS11" s="375">
        <f t="shared" si="7"/>
        <v>0</v>
      </c>
      <c r="AT11" s="375">
        <v>0</v>
      </c>
      <c r="AU11" s="344" t="str">
        <f t="shared" si="8"/>
        <v/>
      </c>
      <c r="AV11" s="18" t="str">
        <f>IF(F11="","",(SUM($AS$6:AS11)))</f>
        <v/>
      </c>
      <c r="AW11" s="18">
        <f>IF(AS11&lt;&gt;"", SUMIFS($AS$6:AS11, $BG$6:BG11, BG11), "")</f>
        <v>4770</v>
      </c>
      <c r="AX11" s="57" t="str">
        <f t="shared" ca="1" si="9"/>
        <v>no drilling completed</v>
      </c>
      <c r="AY11" s="15" t="str">
        <f t="shared" ca="1" si="10"/>
        <v>LINK</v>
      </c>
      <c r="AZ11" s="10" t="s">
        <v>333</v>
      </c>
      <c r="BA11" s="14" t="s">
        <v>332</v>
      </c>
      <c r="BB11" t="str">
        <f t="shared" si="11"/>
        <v>25</v>
      </c>
      <c r="BC11" t="str">
        <f t="shared" si="12"/>
        <v>06</v>
      </c>
      <c r="BD11">
        <f t="shared" si="13"/>
        <v>15</v>
      </c>
      <c r="BE11" t="str">
        <f t="shared" si="14"/>
        <v>N</v>
      </c>
      <c r="BF11" t="str">
        <f t="shared" si="20"/>
        <v>https://www.coreplan.io/app/ddh1-drilling/speewah-mining-speewah-fluorite-project-wa/plods/1665-250615N</v>
      </c>
      <c r="BG11" t="str">
        <f t="shared" si="15"/>
        <v>2025-06</v>
      </c>
    </row>
    <row r="12" spans="1:81">
      <c r="A12" s="510" t="e">
        <f>VLOOKUP(F12,'Tenement Lookup'!A:BH,60,FALSE)</f>
        <v>#N/A</v>
      </c>
      <c r="C12" s="152" t="s">
        <v>11</v>
      </c>
      <c r="D12" s="1">
        <f t="shared" si="21"/>
        <v>45824.21</v>
      </c>
      <c r="E12" t="s">
        <v>171</v>
      </c>
      <c r="H12" s="4" t="s">
        <v>330</v>
      </c>
      <c r="I12" s="4">
        <v>0</v>
      </c>
      <c r="J12" s="5">
        <f t="shared" si="0"/>
        <v>0</v>
      </c>
      <c r="K12" s="21"/>
      <c r="L12" s="28"/>
      <c r="M12" s="22" t="str">
        <f t="shared" si="17"/>
        <v/>
      </c>
      <c r="N12" s="30"/>
      <c r="O12" s="26"/>
      <c r="P12" s="31">
        <f t="shared" si="1"/>
        <v>0</v>
      </c>
      <c r="Q12" s="21"/>
      <c r="R12" s="28"/>
      <c r="S12" s="22">
        <f t="shared" si="2"/>
        <v>0</v>
      </c>
      <c r="T12" s="30"/>
      <c r="U12" s="26"/>
      <c r="V12" s="31">
        <f t="shared" si="3"/>
        <v>0</v>
      </c>
      <c r="W12" s="26" t="str">
        <f t="shared" si="18"/>
        <v/>
      </c>
      <c r="X12" s="36" t="str">
        <f t="shared" si="4"/>
        <v/>
      </c>
      <c r="Y12" s="301" t="str">
        <f t="shared" si="5"/>
        <v/>
      </c>
      <c r="Z12" s="38">
        <v>1</v>
      </c>
      <c r="AA12" s="38">
        <v>1</v>
      </c>
      <c r="AB12" s="38">
        <v>1</v>
      </c>
      <c r="AC12" s="38">
        <v>13122</v>
      </c>
      <c r="AD12" s="157">
        <f t="shared" si="19"/>
        <v>750</v>
      </c>
      <c r="AE12" s="34"/>
      <c r="AF12" s="35">
        <v>4.75</v>
      </c>
      <c r="AG12" s="40"/>
      <c r="AH12" s="44">
        <v>4.75</v>
      </c>
      <c r="AI12" s="13"/>
      <c r="AJ12" s="304"/>
      <c r="AK12" s="45">
        <v>2.5</v>
      </c>
      <c r="AL12" s="23"/>
      <c r="AM12" s="138"/>
      <c r="AN12" s="25">
        <f t="shared" ca="1" si="22"/>
        <v>12</v>
      </c>
      <c r="AO12" s="50"/>
      <c r="AP12" s="53">
        <f t="shared" si="6"/>
        <v>3895</v>
      </c>
      <c r="AQ12" s="322"/>
      <c r="AR12" s="55"/>
      <c r="AS12" s="375">
        <f>SUM(Y12,AP12,AR12,AD12,J12)</f>
        <v>4645</v>
      </c>
      <c r="AT12" s="375">
        <v>4470</v>
      </c>
      <c r="AU12" s="344">
        <f t="shared" si="8"/>
        <v>0</v>
      </c>
      <c r="AV12" s="18" t="str">
        <f>IF(F12="","",(SUM($AS$6:AS12)))</f>
        <v/>
      </c>
      <c r="AW12" s="18">
        <f>IF(AS12&lt;&gt;"", SUMIFS($AS$6:AS12, $BG$6:BG12, BG12), "")</f>
        <v>9415</v>
      </c>
      <c r="AX12" s="57" t="str">
        <f t="shared" ca="1" si="9"/>
        <v>no drilling completed</v>
      </c>
      <c r="AY12" s="15" t="str">
        <f t="shared" ca="1" si="10"/>
        <v>LINK</v>
      </c>
      <c r="AZ12" s="10" t="s">
        <v>336</v>
      </c>
      <c r="BA12" s="14" t="s">
        <v>332</v>
      </c>
      <c r="BB12" t="str">
        <f t="shared" si="11"/>
        <v>25</v>
      </c>
      <c r="BC12" t="str">
        <f t="shared" si="12"/>
        <v>06</v>
      </c>
      <c r="BD12">
        <f t="shared" si="13"/>
        <v>16</v>
      </c>
      <c r="BE12" t="str">
        <f t="shared" si="14"/>
        <v>D</v>
      </c>
      <c r="BF12" t="str">
        <f t="shared" si="20"/>
        <v>https://www.coreplan.io/app/ddh1-drilling/speewah-mining-speewah-fluorite-project-wa/plods/1665-250616D</v>
      </c>
      <c r="BG12" t="str">
        <f t="shared" si="15"/>
        <v>2025-06</v>
      </c>
    </row>
    <row r="13" spans="1:81">
      <c r="A13" s="510" t="e">
        <f>VLOOKUP(F13,'Tenement Lookup'!A:BH,60,FALSE)</f>
        <v>#N/A</v>
      </c>
      <c r="C13" s="117">
        <f t="shared" si="16"/>
        <v>45824.71</v>
      </c>
      <c r="D13" s="1">
        <f t="shared" si="21"/>
        <v>45824.71</v>
      </c>
      <c r="E13" t="s">
        <v>172</v>
      </c>
      <c r="H13" s="4"/>
      <c r="I13" s="4"/>
      <c r="J13" s="5" t="str">
        <f t="shared" si="0"/>
        <v/>
      </c>
      <c r="K13" s="21"/>
      <c r="L13" s="28"/>
      <c r="M13" s="22" t="str">
        <f t="shared" si="17"/>
        <v/>
      </c>
      <c r="N13" s="30"/>
      <c r="O13" s="26"/>
      <c r="P13" s="31">
        <f t="shared" si="1"/>
        <v>0</v>
      </c>
      <c r="Q13" s="21"/>
      <c r="R13" s="28"/>
      <c r="S13" s="22">
        <f t="shared" si="2"/>
        <v>0</v>
      </c>
      <c r="T13" s="30"/>
      <c r="U13" s="26"/>
      <c r="V13" s="31">
        <f t="shared" si="3"/>
        <v>0</v>
      </c>
      <c r="W13" s="26" t="str">
        <f t="shared" si="18"/>
        <v/>
      </c>
      <c r="X13" s="36" t="str">
        <f t="shared" si="4"/>
        <v/>
      </c>
      <c r="Y13" s="301" t="str">
        <f t="shared" si="5"/>
        <v/>
      </c>
      <c r="Z13" s="38"/>
      <c r="AA13" s="38"/>
      <c r="AB13" s="38"/>
      <c r="AC13" s="38"/>
      <c r="AD13" s="157">
        <f t="shared" si="19"/>
        <v>0</v>
      </c>
      <c r="AE13" s="34"/>
      <c r="AF13" s="35"/>
      <c r="AG13" s="40"/>
      <c r="AH13" s="44"/>
      <c r="AI13" s="13"/>
      <c r="AJ13" s="304"/>
      <c r="AK13" s="45"/>
      <c r="AL13" s="23"/>
      <c r="AM13" s="138"/>
      <c r="AN13" s="25">
        <f t="shared" ca="1" si="22"/>
        <v>0</v>
      </c>
      <c r="AO13" s="50"/>
      <c r="AP13" s="53">
        <f t="shared" si="6"/>
        <v>0</v>
      </c>
      <c r="AQ13" s="322"/>
      <c r="AR13" s="55"/>
      <c r="AS13" s="375">
        <f t="shared" si="7"/>
        <v>0</v>
      </c>
      <c r="AT13" s="375">
        <v>0</v>
      </c>
      <c r="AU13" s="344" t="str">
        <f t="shared" si="8"/>
        <v/>
      </c>
      <c r="AV13" s="18" t="str">
        <f>IF(F13="","",(SUM($AS$6:AS13)))</f>
        <v/>
      </c>
      <c r="AW13" s="18">
        <f>IF(AS13&lt;&gt;"", SUMIFS($AS$6:AS13, $BG$6:BG13, BG13), "")</f>
        <v>9415</v>
      </c>
      <c r="AX13" s="57" t="str">
        <f t="shared" ca="1" si="9"/>
        <v>no drilling completed</v>
      </c>
      <c r="AY13" s="15" t="str">
        <f t="shared" ca="1" si="10"/>
        <v>LINK</v>
      </c>
      <c r="AZ13" s="10" t="s">
        <v>333</v>
      </c>
      <c r="BA13" s="14" t="s">
        <v>332</v>
      </c>
      <c r="BB13" t="str">
        <f t="shared" si="11"/>
        <v>25</v>
      </c>
      <c r="BC13" t="str">
        <f t="shared" si="12"/>
        <v>06</v>
      </c>
      <c r="BD13">
        <f t="shared" si="13"/>
        <v>16</v>
      </c>
      <c r="BE13" t="str">
        <f t="shared" si="14"/>
        <v>N</v>
      </c>
      <c r="BF13" t="str">
        <f t="shared" si="20"/>
        <v>https://www.coreplan.io/app/ddh1-drilling/speewah-mining-speewah-fluorite-project-wa/plods/1665-250616N</v>
      </c>
      <c r="BG13" t="str">
        <f t="shared" si="15"/>
        <v>2025-06</v>
      </c>
    </row>
    <row r="14" spans="1:81">
      <c r="A14" s="510" t="e">
        <f>VLOOKUP(F14,'Tenement Lookup'!A:BH,60,FALSE)</f>
        <v>#N/A</v>
      </c>
      <c r="C14" s="152" t="s">
        <v>11</v>
      </c>
      <c r="D14" s="1">
        <f t="shared" si="21"/>
        <v>45825.21</v>
      </c>
      <c r="E14" t="s">
        <v>171</v>
      </c>
      <c r="H14" s="4" t="s">
        <v>215</v>
      </c>
      <c r="I14" s="4">
        <v>4</v>
      </c>
      <c r="J14" s="5">
        <f t="shared" si="0"/>
        <v>520</v>
      </c>
      <c r="K14" s="21"/>
      <c r="L14" s="28"/>
      <c r="M14" s="22" t="str">
        <f t="shared" si="17"/>
        <v/>
      </c>
      <c r="N14" s="30"/>
      <c r="O14" s="26"/>
      <c r="P14" s="31">
        <f t="shared" si="1"/>
        <v>0</v>
      </c>
      <c r="Q14" s="21"/>
      <c r="R14" s="28"/>
      <c r="S14" s="22">
        <f t="shared" si="2"/>
        <v>0</v>
      </c>
      <c r="T14" s="30"/>
      <c r="U14" s="26"/>
      <c r="V14" s="31">
        <f t="shared" si="3"/>
        <v>0</v>
      </c>
      <c r="W14" s="26" t="str">
        <f t="shared" si="18"/>
        <v/>
      </c>
      <c r="X14" s="36" t="str">
        <f t="shared" si="4"/>
        <v/>
      </c>
      <c r="Y14" s="301" t="str">
        <f t="shared" si="5"/>
        <v/>
      </c>
      <c r="Z14" s="38">
        <v>1</v>
      </c>
      <c r="AA14" s="38">
        <v>1</v>
      </c>
      <c r="AB14" s="38">
        <v>1</v>
      </c>
      <c r="AC14" s="38">
        <v>13122</v>
      </c>
      <c r="AD14" s="157">
        <f t="shared" si="19"/>
        <v>750</v>
      </c>
      <c r="AE14" s="34"/>
      <c r="AF14" s="35">
        <v>10.75</v>
      </c>
      <c r="AG14" s="40"/>
      <c r="AH14" s="44"/>
      <c r="AI14" s="13">
        <v>1.25</v>
      </c>
      <c r="AJ14" s="304"/>
      <c r="AK14" s="45"/>
      <c r="AL14" s="23"/>
      <c r="AM14" s="138"/>
      <c r="AN14" s="25">
        <f t="shared" ca="1" si="22"/>
        <v>12</v>
      </c>
      <c r="AO14" s="50"/>
      <c r="AP14" s="53">
        <f t="shared" si="6"/>
        <v>5395</v>
      </c>
      <c r="AQ14" s="322"/>
      <c r="AR14" s="55"/>
      <c r="AS14" s="375">
        <f t="shared" si="7"/>
        <v>6665</v>
      </c>
      <c r="AT14" s="375">
        <v>6490</v>
      </c>
      <c r="AU14" s="344">
        <f t="shared" si="8"/>
        <v>7.8019504876219059E-2</v>
      </c>
      <c r="AV14" s="18" t="str">
        <f>IF(F14="","",(SUM($AS$6:AS14)))</f>
        <v/>
      </c>
      <c r="AW14" s="18">
        <f>IF(AS14&lt;&gt;"", SUMIFS($AS$6:AS14, $BG$6:BG14, BG14), "")</f>
        <v>16080</v>
      </c>
      <c r="AX14" s="57" t="str">
        <f t="shared" ca="1" si="9"/>
        <v>no drilling completed</v>
      </c>
      <c r="AY14" s="15" t="str">
        <f t="shared" ca="1" si="10"/>
        <v>LINK</v>
      </c>
      <c r="AZ14" s="10" t="s">
        <v>337</v>
      </c>
      <c r="BA14" s="14" t="s">
        <v>332</v>
      </c>
      <c r="BB14" t="str">
        <f t="shared" si="11"/>
        <v>25</v>
      </c>
      <c r="BC14" t="str">
        <f t="shared" si="12"/>
        <v>06</v>
      </c>
      <c r="BD14">
        <f t="shared" si="13"/>
        <v>17</v>
      </c>
      <c r="BE14" t="str">
        <f t="shared" si="14"/>
        <v>D</v>
      </c>
      <c r="BF14" t="str">
        <f t="shared" si="20"/>
        <v>https://www.coreplan.io/app/ddh1-drilling/speewah-mining-speewah-fluorite-project-wa/plods/1665-250617D</v>
      </c>
      <c r="BG14" t="str">
        <f t="shared" si="15"/>
        <v>2025-06</v>
      </c>
    </row>
    <row r="15" spans="1:81">
      <c r="A15" s="510" t="e">
        <f>VLOOKUP(F15,'Tenement Lookup'!A:BH,60,FALSE)</f>
        <v>#N/A</v>
      </c>
      <c r="C15" s="152" t="s">
        <v>11</v>
      </c>
      <c r="D15" s="1">
        <f t="shared" si="21"/>
        <v>45825.71</v>
      </c>
      <c r="E15" t="s">
        <v>172</v>
      </c>
      <c r="H15" s="4" t="s">
        <v>330</v>
      </c>
      <c r="I15" s="4">
        <v>3</v>
      </c>
      <c r="J15" s="5">
        <f t="shared" si="0"/>
        <v>390</v>
      </c>
      <c r="K15" s="21"/>
      <c r="L15" s="28"/>
      <c r="M15" s="22" t="str">
        <f t="shared" si="17"/>
        <v/>
      </c>
      <c r="N15" s="30"/>
      <c r="O15" s="26"/>
      <c r="P15" s="31">
        <f t="shared" si="1"/>
        <v>0</v>
      </c>
      <c r="Q15" s="21"/>
      <c r="R15" s="28"/>
      <c r="S15" s="22">
        <f t="shared" si="2"/>
        <v>0</v>
      </c>
      <c r="T15" s="30"/>
      <c r="U15" s="26"/>
      <c r="V15" s="31">
        <f t="shared" si="3"/>
        <v>0</v>
      </c>
      <c r="W15" s="26" t="str">
        <f t="shared" si="18"/>
        <v/>
      </c>
      <c r="X15" s="36" t="str">
        <f t="shared" si="4"/>
        <v/>
      </c>
      <c r="Y15" s="301" t="str">
        <f t="shared" si="5"/>
        <v/>
      </c>
      <c r="Z15" s="38"/>
      <c r="AA15" s="38"/>
      <c r="AB15" s="38"/>
      <c r="AC15" s="38"/>
      <c r="AD15" s="157">
        <f t="shared" si="19"/>
        <v>0</v>
      </c>
      <c r="AE15" s="34"/>
      <c r="AF15" s="35">
        <v>7.25</v>
      </c>
      <c r="AG15" s="40"/>
      <c r="AH15" s="44">
        <v>3.25</v>
      </c>
      <c r="AI15" s="13">
        <v>1.5</v>
      </c>
      <c r="AJ15" s="304"/>
      <c r="AK15" s="45"/>
      <c r="AL15" s="23"/>
      <c r="AM15" s="138"/>
      <c r="AN15" s="25">
        <f t="shared" ca="1" si="22"/>
        <v>12</v>
      </c>
      <c r="AO15" s="50"/>
      <c r="AP15" s="53">
        <f t="shared" si="6"/>
        <v>5045</v>
      </c>
      <c r="AQ15" s="322"/>
      <c r="AR15" s="55"/>
      <c r="AS15" s="375">
        <f t="shared" si="7"/>
        <v>5435</v>
      </c>
      <c r="AT15" s="375">
        <v>5435</v>
      </c>
      <c r="AU15" s="344">
        <f t="shared" si="8"/>
        <v>7.1757129714811407E-2</v>
      </c>
      <c r="AV15" s="18" t="str">
        <f>IF(F15="","",(SUM($AS$6:AS15)))</f>
        <v/>
      </c>
      <c r="AW15" s="18">
        <f>IF(AS15&lt;&gt;"", SUMIFS($AS$6:AS15, $BG$6:BG15, BG15), "")</f>
        <v>21515</v>
      </c>
      <c r="AX15" s="57" t="str">
        <f t="shared" ca="1" si="9"/>
        <v>no drilling completed</v>
      </c>
      <c r="AY15" s="15" t="str">
        <f t="shared" ca="1" si="10"/>
        <v>LINK</v>
      </c>
      <c r="AZ15" s="10" t="s">
        <v>338</v>
      </c>
      <c r="BA15" s="14" t="s">
        <v>332</v>
      </c>
      <c r="BB15" t="str">
        <f t="shared" si="11"/>
        <v>25</v>
      </c>
      <c r="BC15" t="str">
        <f t="shared" si="12"/>
        <v>06</v>
      </c>
      <c r="BD15">
        <f t="shared" si="13"/>
        <v>17</v>
      </c>
      <c r="BE15" t="str">
        <f t="shared" si="14"/>
        <v>N</v>
      </c>
      <c r="BF15" t="str">
        <f t="shared" si="20"/>
        <v>https://www.coreplan.io/app/ddh1-drilling/speewah-mining-speewah-fluorite-project-wa/plods/1665-250617N</v>
      </c>
      <c r="BG15" t="str">
        <f t="shared" si="15"/>
        <v>2025-06</v>
      </c>
    </row>
    <row r="16" spans="1:81">
      <c r="A16" s="510" t="str">
        <f>VLOOKUP(F16,'Tenement Lookup'!A:BH,60,FALSE)</f>
        <v>M 80/268</v>
      </c>
      <c r="B16" t="str">
        <f>VLOOKUP(F16,Purpose!$A$2:$B$334,2,FALSE)</f>
        <v>Met</v>
      </c>
      <c r="C16" s="152" t="s">
        <v>11</v>
      </c>
      <c r="D16" s="1">
        <f t="shared" si="21"/>
        <v>45826.21</v>
      </c>
      <c r="E16" t="s">
        <v>171</v>
      </c>
      <c r="F16" s="501" t="s">
        <v>339</v>
      </c>
      <c r="H16" s="4" t="s">
        <v>215</v>
      </c>
      <c r="I16" s="4">
        <v>4</v>
      </c>
      <c r="J16" s="5">
        <f t="shared" si="0"/>
        <v>520</v>
      </c>
      <c r="K16" s="21">
        <v>0</v>
      </c>
      <c r="L16" s="28">
        <v>24.5</v>
      </c>
      <c r="M16" s="22">
        <f t="shared" si="17"/>
        <v>24.5</v>
      </c>
      <c r="N16" s="30"/>
      <c r="O16" s="26"/>
      <c r="P16" s="31">
        <f t="shared" si="1"/>
        <v>0</v>
      </c>
      <c r="Q16" s="21"/>
      <c r="R16" s="28"/>
      <c r="S16" s="22">
        <f t="shared" si="2"/>
        <v>0</v>
      </c>
      <c r="T16" s="30"/>
      <c r="U16" s="26"/>
      <c r="V16" s="31">
        <f t="shared" si="3"/>
        <v>0</v>
      </c>
      <c r="W16" s="26">
        <f t="shared" si="18"/>
        <v>24.5</v>
      </c>
      <c r="X16" s="36">
        <f t="shared" si="4"/>
        <v>4287.5</v>
      </c>
      <c r="Y16" s="301">
        <f t="shared" si="5"/>
        <v>4287.5</v>
      </c>
      <c r="Z16" s="38">
        <v>1</v>
      </c>
      <c r="AA16" s="38">
        <v>1</v>
      </c>
      <c r="AB16" s="38">
        <v>1</v>
      </c>
      <c r="AC16" s="38">
        <v>13122</v>
      </c>
      <c r="AD16" s="157">
        <f t="shared" si="19"/>
        <v>750</v>
      </c>
      <c r="AE16" s="34">
        <v>8.75</v>
      </c>
      <c r="AF16" s="35">
        <v>1.5</v>
      </c>
      <c r="AG16" s="40"/>
      <c r="AH16" s="44"/>
      <c r="AI16" s="13">
        <v>1.75</v>
      </c>
      <c r="AJ16" s="304"/>
      <c r="AK16" s="45"/>
      <c r="AL16" s="23"/>
      <c r="AM16" s="138"/>
      <c r="AN16" s="25">
        <f t="shared" ca="1" si="22"/>
        <v>12</v>
      </c>
      <c r="AO16" s="50"/>
      <c r="AP16" s="53">
        <f t="shared" si="6"/>
        <v>1320</v>
      </c>
      <c r="AQ16" s="322"/>
      <c r="AR16" s="119">
        <f>301+47.29+151.79+47.56</f>
        <v>547.6400000000001</v>
      </c>
      <c r="AS16" s="375">
        <f t="shared" si="7"/>
        <v>7425.14</v>
      </c>
      <c r="AT16" s="375">
        <v>7250.14</v>
      </c>
      <c r="AU16" s="344">
        <f t="shared" si="8"/>
        <v>7.003234955839216E-2</v>
      </c>
      <c r="AV16" s="18">
        <f>IF(F16="","",(SUM($AS$6:AS16)))</f>
        <v>28940.14</v>
      </c>
      <c r="AW16" s="18">
        <f>IF(AS16&lt;&gt;"", SUMIFS($AS$6:AS16, $BG$6:BG16, BG16), "")</f>
        <v>28940.14</v>
      </c>
      <c r="AX16" s="57">
        <f t="shared" ca="1" si="9"/>
        <v>303.06693877551021</v>
      </c>
      <c r="AY16" s="15" t="str">
        <f t="shared" ca="1" si="10"/>
        <v>LINK</v>
      </c>
      <c r="AZ16" s="10" t="s">
        <v>340</v>
      </c>
      <c r="BA16" s="14" t="s">
        <v>332</v>
      </c>
      <c r="BB16" t="str">
        <f t="shared" si="11"/>
        <v>25</v>
      </c>
      <c r="BC16" t="str">
        <f t="shared" si="12"/>
        <v>06</v>
      </c>
      <c r="BD16">
        <f t="shared" si="13"/>
        <v>18</v>
      </c>
      <c r="BE16" t="str">
        <f t="shared" si="14"/>
        <v>D</v>
      </c>
      <c r="BF16" t="str">
        <f t="shared" si="20"/>
        <v>https://www.coreplan.io/app/ddh1-drilling/speewah-mining-speewah-fluorite-project-wa/plods/1665-250618D</v>
      </c>
      <c r="BG16" t="str">
        <f t="shared" si="15"/>
        <v>2025-06</v>
      </c>
    </row>
    <row r="17" spans="1:59">
      <c r="A17" s="510" t="str">
        <f>VLOOKUP(F17,'Tenement Lookup'!A:BH,60,FALSE)</f>
        <v>M 80/268</v>
      </c>
      <c r="B17" t="str">
        <f>VLOOKUP(F17,Purpose!$A$2:$B$334,2,FALSE)</f>
        <v>Met</v>
      </c>
      <c r="C17" s="152" t="s">
        <v>11</v>
      </c>
      <c r="D17" s="1">
        <f t="shared" si="21"/>
        <v>45826.71</v>
      </c>
      <c r="E17" t="s">
        <v>172</v>
      </c>
      <c r="F17" s="501" t="s">
        <v>341</v>
      </c>
      <c r="H17" s="4" t="s">
        <v>330</v>
      </c>
      <c r="I17" s="4">
        <v>3</v>
      </c>
      <c r="J17" s="5">
        <f t="shared" si="0"/>
        <v>390</v>
      </c>
      <c r="K17" s="21">
        <v>24.5</v>
      </c>
      <c r="L17" s="28">
        <v>51.5</v>
      </c>
      <c r="M17" s="22">
        <f t="shared" si="17"/>
        <v>27</v>
      </c>
      <c r="N17" s="30"/>
      <c r="O17" s="26"/>
      <c r="P17" s="31">
        <f t="shared" si="1"/>
        <v>0</v>
      </c>
      <c r="Q17" s="21"/>
      <c r="R17" s="28"/>
      <c r="S17" s="22">
        <f t="shared" si="2"/>
        <v>0</v>
      </c>
      <c r="T17" s="30"/>
      <c r="U17" s="26"/>
      <c r="V17" s="31">
        <f t="shared" si="3"/>
        <v>0</v>
      </c>
      <c r="W17" s="26">
        <f t="shared" si="18"/>
        <v>27</v>
      </c>
      <c r="X17" s="36">
        <f t="shared" si="4"/>
        <v>4725</v>
      </c>
      <c r="Y17" s="301">
        <f t="shared" si="5"/>
        <v>4725</v>
      </c>
      <c r="Z17" s="38"/>
      <c r="AA17" s="38"/>
      <c r="AB17" s="38"/>
      <c r="AC17" s="38"/>
      <c r="AD17" s="157">
        <f t="shared" si="19"/>
        <v>0</v>
      </c>
      <c r="AE17" s="34">
        <v>10.25</v>
      </c>
      <c r="AF17" s="35">
        <v>1</v>
      </c>
      <c r="AG17" s="40"/>
      <c r="AH17" s="44"/>
      <c r="AI17" s="13">
        <v>0.75</v>
      </c>
      <c r="AJ17" s="304"/>
      <c r="AK17" s="45"/>
      <c r="AL17" s="23"/>
      <c r="AM17" s="138"/>
      <c r="AN17" s="25">
        <f t="shared" ca="1" si="22"/>
        <v>12</v>
      </c>
      <c r="AO17" s="50"/>
      <c r="AP17" s="53">
        <f t="shared" si="6"/>
        <v>730</v>
      </c>
      <c r="AQ17" s="322"/>
      <c r="AR17" s="119">
        <f>117.93+136.05</f>
        <v>253.98000000000002</v>
      </c>
      <c r="AS17" s="375">
        <f t="shared" si="7"/>
        <v>6098.98</v>
      </c>
      <c r="AT17" s="375">
        <v>6098.98</v>
      </c>
      <c r="AU17" s="344">
        <f t="shared" si="8"/>
        <v>6.3945118691978012E-2</v>
      </c>
      <c r="AV17" s="18">
        <f>IF(F17="","",(SUM($AS$6:AS17)))</f>
        <v>35039.119999999995</v>
      </c>
      <c r="AW17" s="18">
        <f>IF(AS17&lt;&gt;"", SUMIFS($AS$6:AS17, $BG$6:BG17, BG17), "")</f>
        <v>35039.119999999995</v>
      </c>
      <c r="AX17" s="57">
        <f t="shared" ca="1" si="9"/>
        <v>225.88814814814813</v>
      </c>
      <c r="AY17" s="15" t="str">
        <f t="shared" ca="1" si="10"/>
        <v>LINK</v>
      </c>
      <c r="AZ17" s="10" t="s">
        <v>342</v>
      </c>
      <c r="BA17" s="14" t="s">
        <v>332</v>
      </c>
      <c r="BB17" t="str">
        <f t="shared" si="11"/>
        <v>25</v>
      </c>
      <c r="BC17" t="str">
        <f t="shared" si="12"/>
        <v>06</v>
      </c>
      <c r="BD17">
        <f t="shared" si="13"/>
        <v>18</v>
      </c>
      <c r="BE17" t="str">
        <f t="shared" si="14"/>
        <v>N</v>
      </c>
      <c r="BF17" t="str">
        <f t="shared" si="20"/>
        <v>https://www.coreplan.io/app/ddh1-drilling/speewah-mining-speewah-fluorite-project-wa/plods/1665-250618N</v>
      </c>
      <c r="BG17" t="str">
        <f t="shared" si="15"/>
        <v>2025-06</v>
      </c>
    </row>
    <row r="18" spans="1:59">
      <c r="A18" s="510" t="str">
        <f>VLOOKUP(F18,'Tenement Lookup'!A:BH,60,FALSE)</f>
        <v>M 80/268</v>
      </c>
      <c r="B18" t="str">
        <f>VLOOKUP(F18,Purpose!$A$2:$B$334,2,FALSE)</f>
        <v>Met</v>
      </c>
      <c r="C18" s="152" t="s">
        <v>11</v>
      </c>
      <c r="D18" s="1">
        <f t="shared" si="21"/>
        <v>45827.21</v>
      </c>
      <c r="E18" t="s">
        <v>171</v>
      </c>
      <c r="F18" s="501" t="s">
        <v>343</v>
      </c>
      <c r="H18" s="4" t="s">
        <v>215</v>
      </c>
      <c r="I18" s="4">
        <v>4</v>
      </c>
      <c r="J18" s="5">
        <f t="shared" si="0"/>
        <v>520</v>
      </c>
      <c r="K18" s="21">
        <v>51.5</v>
      </c>
      <c r="L18" s="28">
        <v>80</v>
      </c>
      <c r="M18" s="22">
        <f t="shared" si="17"/>
        <v>28.5</v>
      </c>
      <c r="N18" s="30"/>
      <c r="O18" s="26"/>
      <c r="P18" s="31">
        <f t="shared" si="1"/>
        <v>0</v>
      </c>
      <c r="Q18" s="21"/>
      <c r="R18" s="28"/>
      <c r="S18" s="22">
        <f t="shared" si="2"/>
        <v>0</v>
      </c>
      <c r="T18" s="30"/>
      <c r="U18" s="26"/>
      <c r="V18" s="31">
        <f t="shared" si="3"/>
        <v>0</v>
      </c>
      <c r="W18" s="26">
        <f t="shared" si="18"/>
        <v>28.5</v>
      </c>
      <c r="X18" s="36">
        <f t="shared" si="4"/>
        <v>4987.5</v>
      </c>
      <c r="Y18" s="301">
        <f t="shared" si="5"/>
        <v>4987.5</v>
      </c>
      <c r="Z18" s="38">
        <v>1</v>
      </c>
      <c r="AA18" s="38">
        <v>1</v>
      </c>
      <c r="AB18" s="38">
        <v>1</v>
      </c>
      <c r="AC18" s="38">
        <v>13122</v>
      </c>
      <c r="AD18" s="157">
        <f t="shared" si="19"/>
        <v>750</v>
      </c>
      <c r="AE18" s="34">
        <v>9.25</v>
      </c>
      <c r="AF18" s="35">
        <v>2.5</v>
      </c>
      <c r="AG18" s="40"/>
      <c r="AH18" s="44"/>
      <c r="AI18" s="13">
        <v>0.25</v>
      </c>
      <c r="AJ18" s="304"/>
      <c r="AK18" s="45"/>
      <c r="AL18" s="23"/>
      <c r="AM18" s="138"/>
      <c r="AN18" s="25">
        <f t="shared" ca="1" si="22"/>
        <v>12</v>
      </c>
      <c r="AO18" s="50"/>
      <c r="AP18" s="53">
        <f t="shared" si="6"/>
        <v>1240</v>
      </c>
      <c r="AQ18" s="322"/>
      <c r="AR18" s="119">
        <f>761+117.93</f>
        <v>878.93000000000006</v>
      </c>
      <c r="AS18" s="375">
        <f t="shared" si="7"/>
        <v>8376.43</v>
      </c>
      <c r="AT18" s="375">
        <v>8201.43</v>
      </c>
      <c r="AU18" s="344">
        <f t="shared" si="8"/>
        <v>6.2078952489306304E-2</v>
      </c>
      <c r="AV18" s="18">
        <f>IF(F18="","",(SUM($AS$6:AS18)))</f>
        <v>43415.549999999996</v>
      </c>
      <c r="AW18" s="18">
        <f>IF(AS18&lt;&gt;"", SUMIFS($AS$6:AS18, $BG$6:BG18, BG18), "")</f>
        <v>43415.549999999996</v>
      </c>
      <c r="AX18" s="57">
        <f t="shared" ca="1" si="9"/>
        <v>293.90982456140352</v>
      </c>
      <c r="AY18" s="15" t="str">
        <f t="shared" ca="1" si="10"/>
        <v>LINK</v>
      </c>
      <c r="AZ18" s="10" t="s">
        <v>344</v>
      </c>
      <c r="BA18" s="14" t="s">
        <v>332</v>
      </c>
      <c r="BB18" t="str">
        <f t="shared" si="11"/>
        <v>25</v>
      </c>
      <c r="BC18" t="str">
        <f t="shared" si="12"/>
        <v>06</v>
      </c>
      <c r="BD18">
        <f t="shared" si="13"/>
        <v>19</v>
      </c>
      <c r="BE18" t="str">
        <f t="shared" si="14"/>
        <v>D</v>
      </c>
      <c r="BF18" t="str">
        <f t="shared" si="20"/>
        <v>https://www.coreplan.io/app/ddh1-drilling/speewah-mining-speewah-fluorite-project-wa/plods/1665-250619D</v>
      </c>
      <c r="BG18" t="str">
        <f t="shared" si="15"/>
        <v>2025-06</v>
      </c>
    </row>
    <row r="19" spans="1:59">
      <c r="A19" s="510" t="str">
        <f>VLOOKUP(F19,'Tenement Lookup'!A:BH,60,FALSE)</f>
        <v>M 80/268</v>
      </c>
      <c r="B19" t="str">
        <f>VLOOKUP(F19,Purpose!$A$2:$B$334,2,FALSE)</f>
        <v>Met</v>
      </c>
      <c r="C19" s="152" t="s">
        <v>11</v>
      </c>
      <c r="D19" s="1">
        <f t="shared" si="21"/>
        <v>45827.71</v>
      </c>
      <c r="E19" t="s">
        <v>172</v>
      </c>
      <c r="F19" s="501" t="s">
        <v>341</v>
      </c>
      <c r="H19" s="4" t="s">
        <v>330</v>
      </c>
      <c r="I19" s="4">
        <v>3</v>
      </c>
      <c r="J19" s="5">
        <f t="shared" si="0"/>
        <v>390</v>
      </c>
      <c r="K19" s="21">
        <v>0</v>
      </c>
      <c r="L19" s="28">
        <v>27.5</v>
      </c>
      <c r="M19" s="22">
        <f t="shared" si="17"/>
        <v>27.5</v>
      </c>
      <c r="N19" s="30"/>
      <c r="O19" s="26"/>
      <c r="P19" s="31">
        <f t="shared" ref="P19:P79" si="23">IF(ISBLANK(N19),,O19-N19)</f>
        <v>0</v>
      </c>
      <c r="Q19" s="21"/>
      <c r="R19" s="28"/>
      <c r="S19" s="22">
        <f t="shared" si="2"/>
        <v>0</v>
      </c>
      <c r="T19" s="30"/>
      <c r="U19" s="26"/>
      <c r="V19" s="31">
        <f t="shared" si="3"/>
        <v>0</v>
      </c>
      <c r="W19" s="26">
        <f t="shared" si="18"/>
        <v>27.5</v>
      </c>
      <c r="X19" s="36">
        <f t="shared" si="4"/>
        <v>4812.5</v>
      </c>
      <c r="Y19" s="301">
        <f t="shared" si="5"/>
        <v>4812.5</v>
      </c>
      <c r="Z19" s="38"/>
      <c r="AA19" s="38"/>
      <c r="AB19" s="38"/>
      <c r="AC19" s="38"/>
      <c r="AD19" s="157">
        <f t="shared" si="19"/>
        <v>0</v>
      </c>
      <c r="AE19" s="34">
        <v>8</v>
      </c>
      <c r="AF19" s="35">
        <v>3</v>
      </c>
      <c r="AG19" s="40"/>
      <c r="AH19" s="44">
        <v>1</v>
      </c>
      <c r="AI19" s="13"/>
      <c r="AJ19" s="304"/>
      <c r="AK19" s="45"/>
      <c r="AL19" s="23"/>
      <c r="AM19" s="138"/>
      <c r="AN19" s="25">
        <f t="shared" ca="1" si="22"/>
        <v>12</v>
      </c>
      <c r="AO19" s="50"/>
      <c r="AP19" s="53">
        <f t="shared" si="6"/>
        <v>1740</v>
      </c>
      <c r="AQ19" s="322"/>
      <c r="AR19" s="119">
        <v>301</v>
      </c>
      <c r="AS19" s="375">
        <f t="shared" si="7"/>
        <v>7243.5</v>
      </c>
      <c r="AT19" s="375">
        <v>7243.5</v>
      </c>
      <c r="AU19" s="344">
        <f t="shared" si="8"/>
        <v>5.3841375025885277E-2</v>
      </c>
      <c r="AV19" s="18">
        <f>IF(F19="","",(SUM($AS$6:AS19)))</f>
        <v>50659.049999999996</v>
      </c>
      <c r="AW19" s="18">
        <f>IF(AS19&lt;&gt;"", SUMIFS($AS$6:AS19, $BG$6:BG19, BG19), "")</f>
        <v>50659.049999999996</v>
      </c>
      <c r="AX19" s="57">
        <f t="shared" ca="1" si="9"/>
        <v>263.39999999999998</v>
      </c>
      <c r="AY19" s="15" t="str">
        <f t="shared" ca="1" si="10"/>
        <v>LINK</v>
      </c>
      <c r="AZ19" s="10" t="s">
        <v>345</v>
      </c>
      <c r="BA19" s="14" t="s">
        <v>332</v>
      </c>
      <c r="BB19" t="str">
        <f t="shared" si="11"/>
        <v>25</v>
      </c>
      <c r="BC19" t="str">
        <f t="shared" si="12"/>
        <v>06</v>
      </c>
      <c r="BD19">
        <f t="shared" si="13"/>
        <v>19</v>
      </c>
      <c r="BE19" t="str">
        <f t="shared" si="14"/>
        <v>N</v>
      </c>
      <c r="BF19" t="str">
        <f t="shared" si="20"/>
        <v>https://www.coreplan.io/app/ddh1-drilling/speewah-mining-speewah-fluorite-project-wa/plods/1665-250619N</v>
      </c>
      <c r="BG19" t="str">
        <f t="shared" si="15"/>
        <v>2025-06</v>
      </c>
    </row>
    <row r="20" spans="1:59">
      <c r="A20" s="510" t="str">
        <f>VLOOKUP(F20,'Tenement Lookup'!A:BH,60,FALSE)</f>
        <v>M 80/268</v>
      </c>
      <c r="B20" t="str">
        <f>VLOOKUP(F20,Purpose!$A$2:$B$334,2,FALSE)</f>
        <v>Met</v>
      </c>
      <c r="C20" s="152" t="s">
        <v>11</v>
      </c>
      <c r="D20" s="1">
        <f t="shared" si="21"/>
        <v>45828.21</v>
      </c>
      <c r="E20" t="s">
        <v>171</v>
      </c>
      <c r="F20" s="501" t="s">
        <v>343</v>
      </c>
      <c r="H20" s="4" t="s">
        <v>215</v>
      </c>
      <c r="I20" s="4">
        <v>4</v>
      </c>
      <c r="J20" s="5">
        <f t="shared" si="0"/>
        <v>520</v>
      </c>
      <c r="K20" s="21">
        <v>27.5</v>
      </c>
      <c r="L20" s="28">
        <v>59.3</v>
      </c>
      <c r="M20" s="22">
        <f t="shared" si="17"/>
        <v>31.799999999999997</v>
      </c>
      <c r="N20" s="30"/>
      <c r="O20" s="26"/>
      <c r="P20" s="31">
        <f t="shared" si="23"/>
        <v>0</v>
      </c>
      <c r="Q20" s="21"/>
      <c r="R20" s="28"/>
      <c r="S20" s="22">
        <f t="shared" si="2"/>
        <v>0</v>
      </c>
      <c r="T20" s="30"/>
      <c r="U20" s="26"/>
      <c r="V20" s="31">
        <f t="shared" si="3"/>
        <v>0</v>
      </c>
      <c r="W20" s="26">
        <f t="shared" si="18"/>
        <v>31.799999999999997</v>
      </c>
      <c r="X20" s="36">
        <f t="shared" si="4"/>
        <v>5564.9999999999991</v>
      </c>
      <c r="Y20" s="301">
        <f t="shared" si="5"/>
        <v>5564.9999999999991</v>
      </c>
      <c r="Z20" s="38">
        <v>1</v>
      </c>
      <c r="AA20" s="38">
        <v>1</v>
      </c>
      <c r="AB20" s="38">
        <v>1</v>
      </c>
      <c r="AC20" s="38">
        <v>13122</v>
      </c>
      <c r="AD20" s="157">
        <f t="shared" si="19"/>
        <v>750</v>
      </c>
      <c r="AE20" s="34">
        <v>11</v>
      </c>
      <c r="AF20" s="35">
        <v>0.75</v>
      </c>
      <c r="AG20" s="40"/>
      <c r="AH20" s="44"/>
      <c r="AI20" s="13">
        <v>0.25</v>
      </c>
      <c r="AJ20" s="304"/>
      <c r="AK20" s="45"/>
      <c r="AL20" s="23"/>
      <c r="AM20" s="138"/>
      <c r="AN20" s="25">
        <f t="shared" ca="1" si="22"/>
        <v>12</v>
      </c>
      <c r="AO20" s="50"/>
      <c r="AP20" s="53">
        <f t="shared" si="6"/>
        <v>435</v>
      </c>
      <c r="AQ20" s="322"/>
      <c r="AR20" s="119">
        <v>1030.72</v>
      </c>
      <c r="AS20" s="375">
        <f t="shared" si="7"/>
        <v>8300.7199999999993</v>
      </c>
      <c r="AT20" s="375">
        <v>8125.72</v>
      </c>
      <c r="AU20" s="344">
        <f t="shared" si="8"/>
        <v>6.2645168129993545E-2</v>
      </c>
      <c r="AV20" s="18">
        <f>IF(F20="","",(SUM($AS$6:AS20)))</f>
        <v>58959.77</v>
      </c>
      <c r="AW20" s="18">
        <f>IF(AS20&lt;&gt;"", SUMIFS($AS$6:AS20, $BG$6:BG20, BG20), "")</f>
        <v>58959.77</v>
      </c>
      <c r="AX20" s="57">
        <f t="shared" ca="1" si="9"/>
        <v>261.02893081761005</v>
      </c>
      <c r="AY20" s="15" t="str">
        <f t="shared" ca="1" si="10"/>
        <v>LINK</v>
      </c>
      <c r="AZ20" s="10" t="s">
        <v>346</v>
      </c>
      <c r="BA20" s="14" t="s">
        <v>332</v>
      </c>
      <c r="BB20" t="str">
        <f t="shared" si="11"/>
        <v>25</v>
      </c>
      <c r="BC20" t="str">
        <f t="shared" si="12"/>
        <v>06</v>
      </c>
      <c r="BD20">
        <f t="shared" si="13"/>
        <v>20</v>
      </c>
      <c r="BE20" t="str">
        <f t="shared" si="14"/>
        <v>D</v>
      </c>
      <c r="BF20" t="str">
        <f t="shared" si="20"/>
        <v>https://www.coreplan.io/app/ddh1-drilling/speewah-mining-speewah-fluorite-project-wa/plods/1665-250620D</v>
      </c>
      <c r="BG20" t="str">
        <f t="shared" si="15"/>
        <v>2025-06</v>
      </c>
    </row>
    <row r="21" spans="1:59">
      <c r="A21" s="510" t="str">
        <f>VLOOKUP(F21,'Tenement Lookup'!A:BH,60,FALSE)</f>
        <v>M 80/268</v>
      </c>
      <c r="B21" t="str">
        <f>VLOOKUP(F21,Purpose!$A$2:$B$334,2,FALSE)</f>
        <v>Met</v>
      </c>
      <c r="C21" s="152" t="s">
        <v>11</v>
      </c>
      <c r="D21" s="1">
        <f t="shared" si="21"/>
        <v>45828.71</v>
      </c>
      <c r="E21" t="s">
        <v>172</v>
      </c>
      <c r="F21" s="501" t="s">
        <v>347</v>
      </c>
      <c r="H21" s="4" t="s">
        <v>330</v>
      </c>
      <c r="I21" s="4">
        <v>3</v>
      </c>
      <c r="J21" s="5">
        <f t="shared" si="0"/>
        <v>390</v>
      </c>
      <c r="K21" s="21">
        <v>59.3</v>
      </c>
      <c r="L21" s="28">
        <v>80</v>
      </c>
      <c r="M21" s="22">
        <f t="shared" si="17"/>
        <v>20.700000000000003</v>
      </c>
      <c r="N21" s="30"/>
      <c r="O21" s="26"/>
      <c r="P21" s="31">
        <f t="shared" si="23"/>
        <v>0</v>
      </c>
      <c r="Q21" s="21"/>
      <c r="R21" s="28"/>
      <c r="S21" s="22">
        <f t="shared" si="2"/>
        <v>0</v>
      </c>
      <c r="T21" s="30"/>
      <c r="U21" s="26"/>
      <c r="V21" s="31">
        <f t="shared" si="3"/>
        <v>0</v>
      </c>
      <c r="W21" s="26">
        <f t="shared" si="18"/>
        <v>20.700000000000003</v>
      </c>
      <c r="X21" s="36">
        <f t="shared" si="4"/>
        <v>3622.5000000000005</v>
      </c>
      <c r="Y21" s="301">
        <f t="shared" si="5"/>
        <v>3622.5000000000005</v>
      </c>
      <c r="Z21" s="38"/>
      <c r="AA21" s="38"/>
      <c r="AB21" s="38"/>
      <c r="AC21" s="38"/>
      <c r="AD21" s="157">
        <f t="shared" si="19"/>
        <v>0</v>
      </c>
      <c r="AE21" s="34">
        <v>7</v>
      </c>
      <c r="AF21" s="35">
        <v>2</v>
      </c>
      <c r="AG21" s="40"/>
      <c r="AH21" s="44">
        <v>1</v>
      </c>
      <c r="AI21" s="13">
        <v>2</v>
      </c>
      <c r="AJ21" s="304" t="s">
        <v>348</v>
      </c>
      <c r="AK21" s="45"/>
      <c r="AL21" s="23"/>
      <c r="AM21" s="138"/>
      <c r="AN21" s="25">
        <f t="shared" ca="1" si="22"/>
        <v>12</v>
      </c>
      <c r="AO21" s="50"/>
      <c r="AP21" s="53">
        <f t="shared" si="6"/>
        <v>2000</v>
      </c>
      <c r="AQ21" s="322"/>
      <c r="AR21" s="119">
        <v>117.93</v>
      </c>
      <c r="AS21" s="375">
        <f t="shared" si="7"/>
        <v>6130.43</v>
      </c>
      <c r="AT21" s="375">
        <v>6130.43</v>
      </c>
      <c r="AU21" s="344">
        <f t="shared" si="8"/>
        <v>6.3617070906934747E-2</v>
      </c>
      <c r="AV21" s="18">
        <f>IF(F21="","",(SUM($AS$6:AS21)))</f>
        <v>65090.2</v>
      </c>
      <c r="AW21" s="18">
        <f>IF(AS21&lt;&gt;"", SUMIFS($AS$6:AS21, $BG$6:BG21, BG21), "")</f>
        <v>65090.2</v>
      </c>
      <c r="AX21" s="57">
        <f t="shared" ca="1" si="9"/>
        <v>296.156038647343</v>
      </c>
      <c r="AY21" s="15" t="str">
        <f t="shared" ca="1" si="10"/>
        <v>LINK</v>
      </c>
      <c r="AZ21" s="10" t="s">
        <v>349</v>
      </c>
      <c r="BA21" s="14" t="s">
        <v>332</v>
      </c>
      <c r="BB21" t="str">
        <f t="shared" si="11"/>
        <v>25</v>
      </c>
      <c r="BC21" t="str">
        <f t="shared" si="12"/>
        <v>06</v>
      </c>
      <c r="BD21">
        <f t="shared" si="13"/>
        <v>20</v>
      </c>
      <c r="BE21" t="str">
        <f t="shared" si="14"/>
        <v>N</v>
      </c>
      <c r="BF21" t="str">
        <f t="shared" si="20"/>
        <v>https://www.coreplan.io/app/ddh1-drilling/speewah-mining-speewah-fluorite-project-wa/plods/1665-250620N</v>
      </c>
      <c r="BG21" t="str">
        <f t="shared" si="15"/>
        <v>2025-06</v>
      </c>
    </row>
    <row r="22" spans="1:59">
      <c r="A22" s="510" t="str">
        <f>VLOOKUP(F22,'Tenement Lookup'!A:BH,60,FALSE)</f>
        <v>M 80/268</v>
      </c>
      <c r="B22" t="str">
        <f>VLOOKUP(F22,Purpose!$A$2:$B$334,2,FALSE)</f>
        <v>Met</v>
      </c>
      <c r="C22" s="152" t="s">
        <v>11</v>
      </c>
      <c r="D22" s="1">
        <f t="shared" si="21"/>
        <v>45829.21</v>
      </c>
      <c r="E22" t="s">
        <v>171</v>
      </c>
      <c r="F22" s="501" t="s">
        <v>350</v>
      </c>
      <c r="H22" s="4" t="s">
        <v>215</v>
      </c>
      <c r="I22" s="4">
        <v>4</v>
      </c>
      <c r="J22" s="5">
        <f t="shared" si="0"/>
        <v>520</v>
      </c>
      <c r="K22" s="21">
        <v>0</v>
      </c>
      <c r="L22" s="28">
        <v>1.9</v>
      </c>
      <c r="M22" s="22">
        <f t="shared" si="17"/>
        <v>1.9</v>
      </c>
      <c r="N22" s="30"/>
      <c r="O22" s="26"/>
      <c r="P22" s="31">
        <f t="shared" si="23"/>
        <v>0</v>
      </c>
      <c r="Q22" s="21"/>
      <c r="R22" s="28"/>
      <c r="S22" s="22">
        <f t="shared" si="2"/>
        <v>0</v>
      </c>
      <c r="T22" s="30"/>
      <c r="U22" s="26"/>
      <c r="V22" s="31">
        <f t="shared" ref="V22:V85" si="24">IF(ISBLANK(T22),,U22-T22)</f>
        <v>0</v>
      </c>
      <c r="W22" s="26">
        <f t="shared" si="18"/>
        <v>1.9</v>
      </c>
      <c r="X22" s="36">
        <f t="shared" si="4"/>
        <v>332.5</v>
      </c>
      <c r="Y22" s="301">
        <f t="shared" si="5"/>
        <v>575</v>
      </c>
      <c r="Z22" s="38">
        <v>1</v>
      </c>
      <c r="AA22" s="38">
        <v>1</v>
      </c>
      <c r="AB22" s="38">
        <v>1</v>
      </c>
      <c r="AC22" s="38">
        <v>13122</v>
      </c>
      <c r="AD22" s="157">
        <f t="shared" si="19"/>
        <v>750</v>
      </c>
      <c r="AE22" s="34">
        <v>1.25</v>
      </c>
      <c r="AF22" s="35">
        <v>6</v>
      </c>
      <c r="AG22" s="40"/>
      <c r="AH22" s="44">
        <v>0.25</v>
      </c>
      <c r="AI22" s="13">
        <v>4.5</v>
      </c>
      <c r="AJ22" s="304"/>
      <c r="AK22" s="45"/>
      <c r="AL22" s="23"/>
      <c r="AM22" s="138"/>
      <c r="AN22" s="25">
        <f t="shared" ca="1" si="22"/>
        <v>12</v>
      </c>
      <c r="AO22" s="50"/>
      <c r="AP22" s="53">
        <f t="shared" si="6"/>
        <v>4470</v>
      </c>
      <c r="AQ22" s="322"/>
      <c r="AR22" s="119"/>
      <c r="AS22" s="375">
        <f t="shared" si="7"/>
        <v>6315</v>
      </c>
      <c r="AT22" s="375">
        <v>6140</v>
      </c>
      <c r="AU22" s="344">
        <f t="shared" si="8"/>
        <v>8.2343626286619162E-2</v>
      </c>
      <c r="AV22" s="18">
        <f>IF(F22="","",(SUM($AS$6:AS22)))</f>
        <v>71405.2</v>
      </c>
      <c r="AW22" s="18">
        <f>IF(AS22&lt;&gt;"", SUMIFS($AS$6:AS22, $BG$6:BG22, BG22), "")</f>
        <v>71405.2</v>
      </c>
      <c r="AX22" s="57"/>
      <c r="AY22" s="15" t="str">
        <f t="shared" ca="1" si="10"/>
        <v>LINK</v>
      </c>
      <c r="AZ22" s="10" t="s">
        <v>351</v>
      </c>
      <c r="BA22" s="14" t="s">
        <v>332</v>
      </c>
      <c r="BB22" t="str">
        <f t="shared" si="11"/>
        <v>25</v>
      </c>
      <c r="BC22" t="str">
        <f t="shared" si="12"/>
        <v>06</v>
      </c>
      <c r="BD22">
        <f t="shared" si="13"/>
        <v>21</v>
      </c>
      <c r="BE22" t="str">
        <f t="shared" si="14"/>
        <v>D</v>
      </c>
      <c r="BF22" t="str">
        <f t="shared" si="20"/>
        <v>https://www.coreplan.io/app/ddh1-drilling/speewah-mining-speewah-fluorite-project-wa/plods/1665-250621D</v>
      </c>
      <c r="BG22" t="str">
        <f t="shared" si="15"/>
        <v>2025-06</v>
      </c>
    </row>
    <row r="23" spans="1:59">
      <c r="A23" s="510" t="str">
        <f>VLOOKUP(F23,'Tenement Lookup'!A:BH,60,FALSE)</f>
        <v>M 80/268</v>
      </c>
      <c r="B23" t="str">
        <f>VLOOKUP(F23,Purpose!$A$2:$B$334,2,FALSE)</f>
        <v>Met</v>
      </c>
      <c r="C23" s="152" t="s">
        <v>11</v>
      </c>
      <c r="D23" s="1">
        <f t="shared" si="21"/>
        <v>45829.71</v>
      </c>
      <c r="E23" t="s">
        <v>172</v>
      </c>
      <c r="F23" s="501" t="s">
        <v>350</v>
      </c>
      <c r="H23" s="4" t="s">
        <v>330</v>
      </c>
      <c r="I23" s="4">
        <v>3</v>
      </c>
      <c r="J23" s="5">
        <f t="shared" si="0"/>
        <v>390</v>
      </c>
      <c r="K23" s="21">
        <v>1.9</v>
      </c>
      <c r="L23" s="28">
        <v>21.4</v>
      </c>
      <c r="M23" s="22">
        <f t="shared" si="17"/>
        <v>19.5</v>
      </c>
      <c r="N23" s="30"/>
      <c r="O23" s="26"/>
      <c r="P23" s="31">
        <f t="shared" si="23"/>
        <v>0</v>
      </c>
      <c r="Q23" s="21"/>
      <c r="R23" s="28"/>
      <c r="S23" s="22">
        <f t="shared" si="2"/>
        <v>0</v>
      </c>
      <c r="T23" s="30"/>
      <c r="U23" s="26"/>
      <c r="V23" s="31">
        <f t="shared" si="24"/>
        <v>0</v>
      </c>
      <c r="W23" s="26">
        <f t="shared" si="18"/>
        <v>19.5</v>
      </c>
      <c r="X23" s="36">
        <f t="shared" si="4"/>
        <v>3412.5</v>
      </c>
      <c r="Y23" s="301">
        <f t="shared" si="5"/>
        <v>4140</v>
      </c>
      <c r="Z23" s="38"/>
      <c r="AA23" s="38"/>
      <c r="AB23" s="38"/>
      <c r="AC23" s="38"/>
      <c r="AD23" s="157">
        <f t="shared" si="19"/>
        <v>0</v>
      </c>
      <c r="AE23" s="34">
        <v>9</v>
      </c>
      <c r="AF23" s="35">
        <v>2</v>
      </c>
      <c r="AG23" s="40"/>
      <c r="AH23" s="44"/>
      <c r="AI23" s="13">
        <v>1</v>
      </c>
      <c r="AJ23" s="304"/>
      <c r="AK23" s="45"/>
      <c r="AL23" s="23"/>
      <c r="AM23" s="138"/>
      <c r="AN23" s="25">
        <f t="shared" ca="1" si="22"/>
        <v>12</v>
      </c>
      <c r="AO23" s="50"/>
      <c r="AP23" s="53">
        <f t="shared" si="6"/>
        <v>1280</v>
      </c>
      <c r="AQ23" s="322"/>
      <c r="AR23" s="119">
        <v>772.65</v>
      </c>
      <c r="AS23" s="375">
        <f t="shared" si="7"/>
        <v>6582.65</v>
      </c>
      <c r="AT23" s="375">
        <v>6582.65</v>
      </c>
      <c r="AU23" s="344">
        <f t="shared" si="8"/>
        <v>5.9246655982013327E-2</v>
      </c>
      <c r="AV23" s="18">
        <f>IF(F23="","",(SUM($AS$6:AS23)))</f>
        <v>77987.849999999991</v>
      </c>
      <c r="AW23" s="18">
        <f>IF(AS23&lt;&gt;"", SUMIFS($AS$6:AS23, $BG$6:BG23, BG23), "")</f>
        <v>77987.849999999991</v>
      </c>
      <c r="AX23" s="57">
        <f ca="1">IF(AND(D23&gt;TODAY(),ISBLANK(H23)),"",IF(ISBLANK(AE23),"no drilling completed",AS23/(W23)))</f>
        <v>337.57179487179485</v>
      </c>
      <c r="AY23" s="15" t="str">
        <f t="shared" ca="1" si="10"/>
        <v>LINK</v>
      </c>
      <c r="AZ23" s="10" t="s">
        <v>352</v>
      </c>
      <c r="BA23" s="14" t="s">
        <v>332</v>
      </c>
      <c r="BB23" t="str">
        <f t="shared" si="11"/>
        <v>25</v>
      </c>
      <c r="BC23" t="str">
        <f t="shared" si="12"/>
        <v>06</v>
      </c>
      <c r="BD23">
        <f t="shared" si="13"/>
        <v>21</v>
      </c>
      <c r="BE23" t="str">
        <f t="shared" si="14"/>
        <v>N</v>
      </c>
      <c r="BF23" t="str">
        <f t="shared" si="20"/>
        <v>https://www.coreplan.io/app/ddh1-drilling/speewah-mining-speewah-fluorite-project-wa/plods/1665-250621N</v>
      </c>
      <c r="BG23" t="str">
        <f t="shared" si="15"/>
        <v>2025-06</v>
      </c>
    </row>
    <row r="24" spans="1:59">
      <c r="A24" s="510" t="str">
        <f>VLOOKUP(F24,'Tenement Lookup'!A:BH,60,FALSE)</f>
        <v>M 80/268</v>
      </c>
      <c r="B24" t="str">
        <f>VLOOKUP(F24,Purpose!$A$2:$B$334,2,FALSE)</f>
        <v>Met</v>
      </c>
      <c r="C24" s="152" t="s">
        <v>11</v>
      </c>
      <c r="D24" s="1">
        <f t="shared" si="21"/>
        <v>45830.21</v>
      </c>
      <c r="E24" t="s">
        <v>171</v>
      </c>
      <c r="F24" s="501" t="s">
        <v>350</v>
      </c>
      <c r="H24" s="4" t="s">
        <v>215</v>
      </c>
      <c r="I24" s="4">
        <v>4</v>
      </c>
      <c r="J24" s="5">
        <f t="shared" si="0"/>
        <v>520</v>
      </c>
      <c r="K24" s="21">
        <v>21.4</v>
      </c>
      <c r="L24" s="28">
        <v>51.4</v>
      </c>
      <c r="M24" s="22">
        <f t="shared" si="17"/>
        <v>30</v>
      </c>
      <c r="N24" s="30"/>
      <c r="O24" s="26"/>
      <c r="P24" s="31">
        <f t="shared" si="23"/>
        <v>0</v>
      </c>
      <c r="Q24" s="21"/>
      <c r="R24" s="28"/>
      <c r="S24" s="22">
        <f t="shared" si="2"/>
        <v>0</v>
      </c>
      <c r="T24" s="30"/>
      <c r="U24" s="26"/>
      <c r="V24" s="31">
        <f t="shared" si="24"/>
        <v>0</v>
      </c>
      <c r="W24" s="26">
        <f t="shared" si="18"/>
        <v>30</v>
      </c>
      <c r="X24" s="36">
        <f t="shared" si="4"/>
        <v>5250</v>
      </c>
      <c r="Y24" s="301">
        <f t="shared" si="5"/>
        <v>5250</v>
      </c>
      <c r="Z24" s="38">
        <v>1</v>
      </c>
      <c r="AA24" s="38">
        <v>1</v>
      </c>
      <c r="AB24" s="38">
        <v>1</v>
      </c>
      <c r="AC24" s="38">
        <v>13122</v>
      </c>
      <c r="AD24" s="157">
        <f t="shared" si="19"/>
        <v>750</v>
      </c>
      <c r="AE24" s="34">
        <v>10.5</v>
      </c>
      <c r="AF24" s="35">
        <v>0.75</v>
      </c>
      <c r="AG24" s="40"/>
      <c r="AH24" s="44"/>
      <c r="AI24" s="13">
        <v>0.25</v>
      </c>
      <c r="AJ24" s="304"/>
      <c r="AK24" s="45">
        <v>0.5</v>
      </c>
      <c r="AL24" s="23"/>
      <c r="AM24" s="138"/>
      <c r="AN24" s="25">
        <f t="shared" ca="1" si="22"/>
        <v>12</v>
      </c>
      <c r="AO24" s="50"/>
      <c r="AP24" s="53">
        <f t="shared" si="6"/>
        <v>435</v>
      </c>
      <c r="AQ24" s="322"/>
      <c r="AR24" s="119"/>
      <c r="AS24" s="375">
        <f t="shared" si="7"/>
        <v>6955</v>
      </c>
      <c r="AT24" s="375">
        <v>6780</v>
      </c>
      <c r="AU24" s="344">
        <f t="shared" si="8"/>
        <v>7.476635514018691E-2</v>
      </c>
      <c r="AV24" s="18">
        <f>IF(F24="","",(SUM($AS$6:AS24)))</f>
        <v>84942.849999999991</v>
      </c>
      <c r="AW24" s="18">
        <f>IF(AS24&lt;&gt;"", SUMIFS($AS$6:AS24, $BG$6:BG24, BG24), "")</f>
        <v>84942.849999999991</v>
      </c>
      <c r="AX24" s="57">
        <f ca="1">IF(AND(D24&gt;TODAY(),ISBLANK(H24)),"",IF(ISBLANK(AE24),"no drilling completed",AS24/(W24)))</f>
        <v>231.83333333333334</v>
      </c>
      <c r="AY24" s="15" t="str">
        <f t="shared" ca="1" si="10"/>
        <v>LINK</v>
      </c>
      <c r="AZ24" s="10" t="s">
        <v>353</v>
      </c>
      <c r="BA24" s="14" t="s">
        <v>332</v>
      </c>
      <c r="BB24" t="str">
        <f t="shared" si="11"/>
        <v>25</v>
      </c>
      <c r="BC24" t="str">
        <f t="shared" si="12"/>
        <v>06</v>
      </c>
      <c r="BD24">
        <f t="shared" si="13"/>
        <v>22</v>
      </c>
      <c r="BE24" t="str">
        <f t="shared" si="14"/>
        <v>D</v>
      </c>
      <c r="BF24" t="str">
        <f t="shared" si="20"/>
        <v>https://www.coreplan.io/app/ddh1-drilling/speewah-mining-speewah-fluorite-project-wa/plods/1665-250622D</v>
      </c>
      <c r="BG24" t="str">
        <f t="shared" si="15"/>
        <v>2025-06</v>
      </c>
    </row>
    <row r="25" spans="1:59">
      <c r="A25" s="510" t="str">
        <f>VLOOKUP(F25,'Tenement Lookup'!A:BH,60,FALSE)</f>
        <v>M 80/268</v>
      </c>
      <c r="B25" t="str">
        <f>VLOOKUP(F25,Purpose!$A$2:$B$334,2,FALSE)</f>
        <v>Met</v>
      </c>
      <c r="C25" s="152" t="s">
        <v>11</v>
      </c>
      <c r="D25" s="1">
        <f t="shared" si="21"/>
        <v>45830.71</v>
      </c>
      <c r="E25" t="s">
        <v>172</v>
      </c>
      <c r="F25" s="501" t="s">
        <v>350</v>
      </c>
      <c r="H25" s="4" t="s">
        <v>330</v>
      </c>
      <c r="I25" s="4">
        <v>3</v>
      </c>
      <c r="J25" s="5">
        <f t="shared" si="0"/>
        <v>390</v>
      </c>
      <c r="K25" s="21">
        <v>51.4</v>
      </c>
      <c r="L25" s="28">
        <v>80</v>
      </c>
      <c r="M25" s="22">
        <f t="shared" si="17"/>
        <v>28.6</v>
      </c>
      <c r="N25" s="30"/>
      <c r="O25" s="26"/>
      <c r="P25" s="31">
        <f t="shared" si="23"/>
        <v>0</v>
      </c>
      <c r="Q25" s="21"/>
      <c r="R25" s="28"/>
      <c r="S25" s="22">
        <f t="shared" si="2"/>
        <v>0</v>
      </c>
      <c r="T25" s="30"/>
      <c r="U25" s="26"/>
      <c r="V25" s="31">
        <f t="shared" si="24"/>
        <v>0</v>
      </c>
      <c r="W25" s="26">
        <f t="shared" si="18"/>
        <v>28.6</v>
      </c>
      <c r="X25" s="36">
        <f t="shared" si="4"/>
        <v>5005</v>
      </c>
      <c r="Y25" s="301">
        <f t="shared" si="5"/>
        <v>5005</v>
      </c>
      <c r="Z25" s="38"/>
      <c r="AA25" s="38"/>
      <c r="AB25" s="38"/>
      <c r="AC25" s="38"/>
      <c r="AD25" s="157">
        <f t="shared" si="19"/>
        <v>0</v>
      </c>
      <c r="AE25" s="34">
        <v>10</v>
      </c>
      <c r="AF25" s="35">
        <v>0.5</v>
      </c>
      <c r="AG25" s="40"/>
      <c r="AH25" s="44"/>
      <c r="AI25" s="13">
        <v>1</v>
      </c>
      <c r="AJ25" s="304"/>
      <c r="AK25" s="45">
        <v>0.5</v>
      </c>
      <c r="AL25" s="23"/>
      <c r="AM25" s="138"/>
      <c r="AN25" s="25">
        <f t="shared" ca="1" si="22"/>
        <v>12</v>
      </c>
      <c r="AO25" s="50"/>
      <c r="AP25" s="53">
        <f t="shared" si="6"/>
        <v>590</v>
      </c>
      <c r="AQ25" s="322"/>
      <c r="AR25" s="119">
        <v>117.93</v>
      </c>
      <c r="AS25" s="375">
        <f t="shared" si="7"/>
        <v>6102.93</v>
      </c>
      <c r="AT25" s="375">
        <v>6102.93</v>
      </c>
      <c r="AU25" s="344">
        <f t="shared" si="8"/>
        <v>6.3903731486351631E-2</v>
      </c>
      <c r="AV25" s="18">
        <f>IF(F25="","",(SUM($AS$6:AS25)))</f>
        <v>91045.78</v>
      </c>
      <c r="AW25" s="18">
        <f>IF(AS25&lt;&gt;"", SUMIFS($AS$6:AS25, $BG$6:BG25, BG25), "")</f>
        <v>91045.78</v>
      </c>
      <c r="AX25" s="57">
        <f ca="1">IF(AND(D25&gt;TODAY(),ISBLANK(H25)),"",IF(ISBLANK(AE25),"no drilling completed",AS25/(W25)))</f>
        <v>213.38916083916084</v>
      </c>
      <c r="AY25" s="15" t="str">
        <f t="shared" ca="1" si="10"/>
        <v>LINK</v>
      </c>
      <c r="AZ25" s="10" t="s">
        <v>354</v>
      </c>
      <c r="BA25" s="14" t="s">
        <v>332</v>
      </c>
      <c r="BB25" t="str">
        <f t="shared" si="11"/>
        <v>25</v>
      </c>
      <c r="BC25" t="str">
        <f t="shared" si="12"/>
        <v>06</v>
      </c>
      <c r="BD25">
        <f t="shared" si="13"/>
        <v>22</v>
      </c>
      <c r="BE25" t="str">
        <f t="shared" si="14"/>
        <v>N</v>
      </c>
      <c r="BF25" t="str">
        <f t="shared" si="20"/>
        <v>https://www.coreplan.io/app/ddh1-drilling/speewah-mining-speewah-fluorite-project-wa/plods/1665-250622N</v>
      </c>
      <c r="BG25" t="str">
        <f t="shared" si="15"/>
        <v>2025-06</v>
      </c>
    </row>
    <row r="26" spans="1:59">
      <c r="A26" s="510" t="str">
        <f>VLOOKUP(F26,'Tenement Lookup'!A:BH,60,FALSE)</f>
        <v>M 80/268</v>
      </c>
      <c r="B26" t="str">
        <f>VLOOKUP(F26,Purpose!$A$2:$B$334,2,FALSE)</f>
        <v>Met</v>
      </c>
      <c r="C26" s="152" t="s">
        <v>11</v>
      </c>
      <c r="D26" s="1">
        <f t="shared" si="21"/>
        <v>45831.21</v>
      </c>
      <c r="E26" t="s">
        <v>171</v>
      </c>
      <c r="F26" s="501" t="s">
        <v>350</v>
      </c>
      <c r="H26" s="4" t="s">
        <v>215</v>
      </c>
      <c r="I26" s="4">
        <v>4</v>
      </c>
      <c r="J26" s="5">
        <f t="shared" si="0"/>
        <v>520</v>
      </c>
      <c r="K26" s="21">
        <v>80</v>
      </c>
      <c r="L26" s="28">
        <v>104.2</v>
      </c>
      <c r="M26" s="22">
        <f t="shared" si="17"/>
        <v>24.200000000000003</v>
      </c>
      <c r="N26" s="30"/>
      <c r="O26" s="26"/>
      <c r="P26" s="31">
        <f t="shared" si="23"/>
        <v>0</v>
      </c>
      <c r="Q26" s="21"/>
      <c r="R26" s="28"/>
      <c r="S26" s="22">
        <f t="shared" si="2"/>
        <v>0</v>
      </c>
      <c r="T26" s="30"/>
      <c r="U26" s="26"/>
      <c r="V26" s="31">
        <f t="shared" si="24"/>
        <v>0</v>
      </c>
      <c r="W26" s="26">
        <f t="shared" si="18"/>
        <v>24.200000000000003</v>
      </c>
      <c r="X26" s="36">
        <f t="shared" si="4"/>
        <v>4235.0000000000009</v>
      </c>
      <c r="Y26" s="301">
        <f t="shared" si="5"/>
        <v>5175</v>
      </c>
      <c r="Z26" s="38">
        <v>1</v>
      </c>
      <c r="AA26" s="38">
        <v>1</v>
      </c>
      <c r="AB26" s="38">
        <v>1</v>
      </c>
      <c r="AC26" s="38">
        <v>13122</v>
      </c>
      <c r="AD26" s="157">
        <f t="shared" si="19"/>
        <v>750</v>
      </c>
      <c r="AE26" s="34">
        <v>11.25</v>
      </c>
      <c r="AF26" s="35">
        <v>0.5</v>
      </c>
      <c r="AG26" s="40"/>
      <c r="AH26" s="44"/>
      <c r="AI26" s="13">
        <v>0.25</v>
      </c>
      <c r="AJ26" s="304"/>
      <c r="AK26" s="45"/>
      <c r="AL26" s="23"/>
      <c r="AM26" s="138"/>
      <c r="AN26" s="25">
        <f t="shared" ca="1" si="22"/>
        <v>12</v>
      </c>
      <c r="AO26" s="50"/>
      <c r="AP26" s="53">
        <f t="shared" si="6"/>
        <v>320</v>
      </c>
      <c r="AQ26" s="322"/>
      <c r="AR26" s="119"/>
      <c r="AS26" s="375">
        <f t="shared" si="7"/>
        <v>6765</v>
      </c>
      <c r="AT26" s="375">
        <v>6590</v>
      </c>
      <c r="AU26" s="344">
        <f t="shared" si="8"/>
        <v>7.6866223207686629E-2</v>
      </c>
      <c r="AV26" s="18">
        <f>IF(F26="","",(SUM($AS$6:AS26)))</f>
        <v>97810.78</v>
      </c>
      <c r="AW26" s="18">
        <f>IF(AS26&lt;&gt;"", SUMIFS($AS$6:AS26, $BG$6:BG26, BG26), "")</f>
        <v>97810.78</v>
      </c>
      <c r="AX26" s="57">
        <f ca="1">IF(AND(D26&gt;TODAY(),ISBLANK(H26)),"",IF(ISBLANK(AE26),"no drilling completed",AS26/(W26)))</f>
        <v>279.5454545454545</v>
      </c>
      <c r="AY26" s="15" t="str">
        <f t="shared" ca="1" si="10"/>
        <v>LINK</v>
      </c>
      <c r="AZ26" s="10" t="s">
        <v>355</v>
      </c>
      <c r="BA26" s="14" t="s">
        <v>332</v>
      </c>
      <c r="BB26" t="str">
        <f t="shared" si="11"/>
        <v>25</v>
      </c>
      <c r="BC26" t="str">
        <f t="shared" si="12"/>
        <v>06</v>
      </c>
      <c r="BD26">
        <f t="shared" si="13"/>
        <v>23</v>
      </c>
      <c r="BE26" t="str">
        <f t="shared" si="14"/>
        <v>D</v>
      </c>
      <c r="BF26" t="str">
        <f t="shared" si="20"/>
        <v>https://www.coreplan.io/app/ddh1-drilling/speewah-mining-speewah-fluorite-project-wa/plods/1665-250623D</v>
      </c>
      <c r="BG26" t="str">
        <f t="shared" si="15"/>
        <v>2025-06</v>
      </c>
    </row>
    <row r="27" spans="1:59">
      <c r="A27" s="510" t="str">
        <f>VLOOKUP(F27,'Tenement Lookup'!A:BH,60,FALSE)</f>
        <v>M 80/268</v>
      </c>
      <c r="B27" t="str">
        <f>VLOOKUP(F27,Purpose!$A$2:$B$334,2,FALSE)</f>
        <v>Met</v>
      </c>
      <c r="C27" s="152" t="s">
        <v>11</v>
      </c>
      <c r="D27" s="1">
        <f t="shared" si="21"/>
        <v>45831.71</v>
      </c>
      <c r="E27" t="s">
        <v>172</v>
      </c>
      <c r="F27" s="501" t="s">
        <v>350</v>
      </c>
      <c r="H27" s="4" t="s">
        <v>330</v>
      </c>
      <c r="I27" s="4">
        <v>3</v>
      </c>
      <c r="J27" s="5">
        <f t="shared" si="0"/>
        <v>390</v>
      </c>
      <c r="K27" s="21">
        <v>104.2</v>
      </c>
      <c r="L27" s="28">
        <v>110</v>
      </c>
      <c r="M27" s="22">
        <f t="shared" si="17"/>
        <v>5.7999999999999972</v>
      </c>
      <c r="N27" s="30"/>
      <c r="O27" s="26"/>
      <c r="P27" s="31">
        <f t="shared" si="23"/>
        <v>0</v>
      </c>
      <c r="Q27" s="21"/>
      <c r="R27" s="28"/>
      <c r="S27" s="22">
        <f t="shared" si="2"/>
        <v>0</v>
      </c>
      <c r="T27" s="30"/>
      <c r="U27" s="26"/>
      <c r="V27" s="31">
        <f t="shared" si="24"/>
        <v>0</v>
      </c>
      <c r="W27" s="26">
        <f t="shared" si="18"/>
        <v>5.7999999999999972</v>
      </c>
      <c r="X27" s="36">
        <f t="shared" si="4"/>
        <v>1014.9999999999995</v>
      </c>
      <c r="Y27" s="301">
        <f t="shared" si="5"/>
        <v>1840</v>
      </c>
      <c r="Z27" s="38"/>
      <c r="AA27" s="38"/>
      <c r="AB27" s="38"/>
      <c r="AC27" s="38"/>
      <c r="AD27" s="157">
        <f t="shared" si="19"/>
        <v>0</v>
      </c>
      <c r="AE27" s="34">
        <v>4</v>
      </c>
      <c r="AF27" s="35">
        <v>4.75</v>
      </c>
      <c r="AG27" s="40"/>
      <c r="AH27" s="44">
        <v>1</v>
      </c>
      <c r="AI27" s="13">
        <v>2.25</v>
      </c>
      <c r="AJ27" s="304" t="s">
        <v>348</v>
      </c>
      <c r="AK27" s="45"/>
      <c r="AL27" s="23"/>
      <c r="AM27" s="138"/>
      <c r="AN27" s="25">
        <f t="shared" ca="1" si="22"/>
        <v>12</v>
      </c>
      <c r="AO27" s="50"/>
      <c r="AP27" s="53">
        <f t="shared" si="6"/>
        <v>3355</v>
      </c>
      <c r="AQ27" s="322"/>
      <c r="AR27" s="119">
        <v>232</v>
      </c>
      <c r="AS27" s="375">
        <f t="shared" si="7"/>
        <v>5817</v>
      </c>
      <c r="AT27" s="375">
        <v>5817</v>
      </c>
      <c r="AU27" s="344">
        <f t="shared" si="8"/>
        <v>6.7044868488911807E-2</v>
      </c>
      <c r="AV27" s="18">
        <f>IF(F27="","",(SUM($AS$6:AS27)))</f>
        <v>103627.78</v>
      </c>
      <c r="AW27" s="18">
        <f>IF(AS27&lt;&gt;"", SUMIFS($AS$6:AS27, $BG$6:BG27, BG27), "")</f>
        <v>103627.78</v>
      </c>
      <c r="AX27" s="57"/>
      <c r="AY27" s="15" t="str">
        <f t="shared" ca="1" si="10"/>
        <v>LINK</v>
      </c>
      <c r="AZ27" s="10" t="s">
        <v>356</v>
      </c>
      <c r="BA27" s="14" t="s">
        <v>332</v>
      </c>
      <c r="BB27" t="str">
        <f t="shared" si="11"/>
        <v>25</v>
      </c>
      <c r="BC27" t="str">
        <f t="shared" si="12"/>
        <v>06</v>
      </c>
      <c r="BD27">
        <f t="shared" si="13"/>
        <v>23</v>
      </c>
      <c r="BE27" t="str">
        <f t="shared" si="14"/>
        <v>N</v>
      </c>
      <c r="BF27" t="str">
        <f t="shared" si="20"/>
        <v>https://www.coreplan.io/app/ddh1-drilling/speewah-mining-speewah-fluorite-project-wa/plods/1665-250623N</v>
      </c>
      <c r="BG27" t="str">
        <f t="shared" si="15"/>
        <v>2025-06</v>
      </c>
    </row>
    <row r="28" spans="1:59">
      <c r="A28" s="510" t="str">
        <f>VLOOKUP(F28,'Tenement Lookup'!A:BH,60,FALSE)</f>
        <v>M 80/268</v>
      </c>
      <c r="B28" t="str">
        <f>VLOOKUP(F28,Purpose!$A$2:$B$334,2,FALSE)</f>
        <v>Met</v>
      </c>
      <c r="C28" s="152" t="s">
        <v>11</v>
      </c>
      <c r="D28" s="1">
        <f t="shared" si="21"/>
        <v>45832.21</v>
      </c>
      <c r="E28" t="s">
        <v>171</v>
      </c>
      <c r="F28" s="501" t="s">
        <v>357</v>
      </c>
      <c r="H28" s="4" t="s">
        <v>215</v>
      </c>
      <c r="I28" s="4">
        <v>4</v>
      </c>
      <c r="J28" s="5">
        <f t="shared" si="0"/>
        <v>520</v>
      </c>
      <c r="K28" s="21">
        <v>0</v>
      </c>
      <c r="L28" s="28">
        <v>12</v>
      </c>
      <c r="M28" s="22">
        <f t="shared" si="17"/>
        <v>12</v>
      </c>
      <c r="N28" s="30"/>
      <c r="O28" s="26"/>
      <c r="P28" s="31">
        <f t="shared" si="23"/>
        <v>0</v>
      </c>
      <c r="Q28" s="21"/>
      <c r="R28" s="28"/>
      <c r="S28" s="22">
        <f t="shared" ref="S28:S91" si="25">IF(ISBLANK(Q28),,R28-Q28)</f>
        <v>0</v>
      </c>
      <c r="T28" s="30"/>
      <c r="U28" s="26"/>
      <c r="V28" s="31">
        <f t="shared" si="24"/>
        <v>0</v>
      </c>
      <c r="W28" s="26">
        <f t="shared" si="18"/>
        <v>12</v>
      </c>
      <c r="X28" s="36">
        <f t="shared" si="4"/>
        <v>2100</v>
      </c>
      <c r="Y28" s="301">
        <f t="shared" si="5"/>
        <v>2645</v>
      </c>
      <c r="Z28" s="38">
        <v>1</v>
      </c>
      <c r="AA28" s="38">
        <v>1</v>
      </c>
      <c r="AB28" s="38">
        <v>1</v>
      </c>
      <c r="AC28" s="38">
        <v>13122</v>
      </c>
      <c r="AD28" s="157">
        <f t="shared" si="19"/>
        <v>750</v>
      </c>
      <c r="AE28" s="34">
        <v>5.75</v>
      </c>
      <c r="AF28" s="35">
        <v>5</v>
      </c>
      <c r="AG28" s="40"/>
      <c r="AH28" s="44"/>
      <c r="AI28" s="13">
        <v>1.25</v>
      </c>
      <c r="AJ28" s="304"/>
      <c r="AK28" s="45"/>
      <c r="AL28" s="23"/>
      <c r="AM28" s="138"/>
      <c r="AN28" s="25">
        <f t="shared" ca="1" si="22"/>
        <v>12</v>
      </c>
      <c r="AO28" s="50"/>
      <c r="AP28" s="53">
        <f t="shared" si="6"/>
        <v>2750</v>
      </c>
      <c r="AQ28" s="322"/>
      <c r="AR28" s="119">
        <v>500.08</v>
      </c>
      <c r="AS28" s="375">
        <f t="shared" si="7"/>
        <v>7165.08</v>
      </c>
      <c r="AT28" s="375">
        <v>6990.08</v>
      </c>
      <c r="AU28" s="344">
        <f t="shared" si="8"/>
        <v>7.2574207126787138E-2</v>
      </c>
      <c r="AV28" s="18">
        <f>IF(F28="","",(SUM($AS$6:AS28)))</f>
        <v>110792.86</v>
      </c>
      <c r="AW28" s="18">
        <f>IF(AS28&lt;&gt;"", SUMIFS($AS$6:AS28, $BG$6:BG28, BG28), "")</f>
        <v>110792.86</v>
      </c>
      <c r="AX28" s="57">
        <f t="shared" ref="AX28:AX36" ca="1" si="26">IF(AND(D28&gt;TODAY(),ISBLANK(H28)),"",IF(ISBLANK(AE28),"no drilling completed",AS28/(W28)))</f>
        <v>597.09</v>
      </c>
      <c r="AY28" s="15" t="str">
        <f t="shared" ca="1" si="10"/>
        <v>LINK</v>
      </c>
      <c r="AZ28" s="10" t="s">
        <v>358</v>
      </c>
      <c r="BA28" s="14" t="s">
        <v>332</v>
      </c>
      <c r="BB28" t="str">
        <f t="shared" si="11"/>
        <v>25</v>
      </c>
      <c r="BC28" t="str">
        <f t="shared" si="12"/>
        <v>06</v>
      </c>
      <c r="BD28">
        <f t="shared" si="13"/>
        <v>24</v>
      </c>
      <c r="BE28" t="str">
        <f t="shared" si="14"/>
        <v>D</v>
      </c>
      <c r="BF28" t="str">
        <f t="shared" si="20"/>
        <v>https://www.coreplan.io/app/ddh1-drilling/speewah-mining-speewah-fluorite-project-wa/plods/1665-250624D</v>
      </c>
      <c r="BG28" t="str">
        <f t="shared" si="15"/>
        <v>2025-06</v>
      </c>
    </row>
    <row r="29" spans="1:59">
      <c r="A29" s="510" t="str">
        <f>VLOOKUP(F29,'Tenement Lookup'!A:BH,60,FALSE)</f>
        <v>M 80/268</v>
      </c>
      <c r="B29" t="str">
        <f>VLOOKUP(F29,Purpose!$A$2:$B$334,2,FALSE)</f>
        <v>Met</v>
      </c>
      <c r="C29" s="152" t="s">
        <v>11</v>
      </c>
      <c r="D29" s="1">
        <f t="shared" si="21"/>
        <v>45832.71</v>
      </c>
      <c r="E29" t="s">
        <v>172</v>
      </c>
      <c r="F29" s="501" t="s">
        <v>357</v>
      </c>
      <c r="H29" s="4" t="s">
        <v>330</v>
      </c>
      <c r="I29" s="4">
        <v>3</v>
      </c>
      <c r="J29" s="5">
        <f t="shared" si="0"/>
        <v>390</v>
      </c>
      <c r="K29" s="21">
        <v>12</v>
      </c>
      <c r="L29" s="28">
        <v>42.6</v>
      </c>
      <c r="M29" s="22">
        <f t="shared" si="17"/>
        <v>30.6</v>
      </c>
      <c r="N29" s="30"/>
      <c r="O29" s="26"/>
      <c r="P29" s="31">
        <f t="shared" si="23"/>
        <v>0</v>
      </c>
      <c r="Q29" s="21"/>
      <c r="R29" s="28"/>
      <c r="S29" s="22">
        <f t="shared" si="25"/>
        <v>0</v>
      </c>
      <c r="T29" s="30"/>
      <c r="U29" s="26"/>
      <c r="V29" s="31">
        <f t="shared" si="24"/>
        <v>0</v>
      </c>
      <c r="W29" s="26">
        <f t="shared" si="18"/>
        <v>30.6</v>
      </c>
      <c r="X29" s="36">
        <f t="shared" si="4"/>
        <v>5355</v>
      </c>
      <c r="Y29" s="301">
        <f t="shared" si="5"/>
        <v>5355</v>
      </c>
      <c r="Z29" s="38"/>
      <c r="AA29" s="38"/>
      <c r="AB29" s="38"/>
      <c r="AC29" s="38"/>
      <c r="AD29" s="157">
        <f t="shared" si="19"/>
        <v>0</v>
      </c>
      <c r="AE29" s="34">
        <v>10</v>
      </c>
      <c r="AF29" s="35">
        <v>0.5</v>
      </c>
      <c r="AG29" s="40"/>
      <c r="AH29" s="44"/>
      <c r="AI29" s="13">
        <v>1</v>
      </c>
      <c r="AJ29" s="304"/>
      <c r="AK29" s="45">
        <v>0.5</v>
      </c>
      <c r="AL29" s="23"/>
      <c r="AM29" s="138"/>
      <c r="AN29" s="25">
        <f t="shared" ca="1" si="22"/>
        <v>12</v>
      </c>
      <c r="AO29" s="50"/>
      <c r="AP29" s="53">
        <f t="shared" si="6"/>
        <v>590</v>
      </c>
      <c r="AQ29" s="322"/>
      <c r="AR29" s="119">
        <v>232</v>
      </c>
      <c r="AS29" s="375">
        <f t="shared" si="7"/>
        <v>6567</v>
      </c>
      <c r="AT29" s="375">
        <v>6567</v>
      </c>
      <c r="AU29" s="344">
        <f t="shared" si="8"/>
        <v>5.9387848332571949E-2</v>
      </c>
      <c r="AV29" s="18">
        <f>IF(F29="","",(SUM($AS$6:AS29)))</f>
        <v>117359.86</v>
      </c>
      <c r="AW29" s="18">
        <f>IF(AS29&lt;&gt;"", SUMIFS($AS$6:AS29, $BG$6:BG29, BG29), "")</f>
        <v>117359.86</v>
      </c>
      <c r="AX29" s="57">
        <f t="shared" ca="1" si="26"/>
        <v>214.60784313725489</v>
      </c>
      <c r="AY29" s="15" t="str">
        <f t="shared" ca="1" si="10"/>
        <v>LINK</v>
      </c>
      <c r="AZ29" s="10" t="s">
        <v>359</v>
      </c>
      <c r="BA29" s="14" t="s">
        <v>332</v>
      </c>
      <c r="BB29" t="str">
        <f t="shared" si="11"/>
        <v>25</v>
      </c>
      <c r="BC29" t="str">
        <f t="shared" si="12"/>
        <v>06</v>
      </c>
      <c r="BD29">
        <f t="shared" si="13"/>
        <v>24</v>
      </c>
      <c r="BE29" t="str">
        <f t="shared" si="14"/>
        <v>N</v>
      </c>
      <c r="BF29" t="str">
        <f t="shared" si="20"/>
        <v>https://www.coreplan.io/app/ddh1-drilling/speewah-mining-speewah-fluorite-project-wa/plods/1665-250624N</v>
      </c>
      <c r="BG29" t="str">
        <f t="shared" si="15"/>
        <v>2025-06</v>
      </c>
    </row>
    <row r="30" spans="1:59">
      <c r="A30" s="510" t="str">
        <f>VLOOKUP(F30,'Tenement Lookup'!A:BH,60,FALSE)</f>
        <v>M 80/268</v>
      </c>
      <c r="B30" t="str">
        <f>VLOOKUP(F30,Purpose!$A$2:$B$334,2,FALSE)</f>
        <v>Met</v>
      </c>
      <c r="C30" s="152" t="s">
        <v>11</v>
      </c>
      <c r="D30" s="1">
        <f t="shared" si="21"/>
        <v>45833.21</v>
      </c>
      <c r="E30" t="s">
        <v>171</v>
      </c>
      <c r="F30" s="501" t="s">
        <v>357</v>
      </c>
      <c r="H30" s="4" t="s">
        <v>360</v>
      </c>
      <c r="I30" s="4">
        <v>4</v>
      </c>
      <c r="J30" s="5">
        <f t="shared" si="0"/>
        <v>520</v>
      </c>
      <c r="K30" s="21">
        <v>42.6</v>
      </c>
      <c r="L30" s="28">
        <v>48.6</v>
      </c>
      <c r="M30" s="22">
        <f t="shared" si="17"/>
        <v>6</v>
      </c>
      <c r="N30" s="30"/>
      <c r="O30" s="26"/>
      <c r="P30" s="31">
        <f t="shared" si="23"/>
        <v>0</v>
      </c>
      <c r="Q30" s="21"/>
      <c r="R30" s="28"/>
      <c r="S30" s="22">
        <f t="shared" si="25"/>
        <v>0</v>
      </c>
      <c r="T30" s="30"/>
      <c r="U30" s="26"/>
      <c r="V30" s="31">
        <f t="shared" si="24"/>
        <v>0</v>
      </c>
      <c r="W30" s="26">
        <f t="shared" si="18"/>
        <v>6</v>
      </c>
      <c r="X30" s="36">
        <f t="shared" si="4"/>
        <v>1050</v>
      </c>
      <c r="Y30" s="301">
        <f t="shared" si="5"/>
        <v>1265</v>
      </c>
      <c r="Z30" s="38">
        <v>1</v>
      </c>
      <c r="AA30" s="38">
        <v>1</v>
      </c>
      <c r="AB30" s="38">
        <v>1</v>
      </c>
      <c r="AC30" s="38">
        <v>13122</v>
      </c>
      <c r="AD30" s="157">
        <f t="shared" si="19"/>
        <v>750</v>
      </c>
      <c r="AE30" s="34">
        <v>2.75</v>
      </c>
      <c r="AF30" s="35"/>
      <c r="AG30" s="40"/>
      <c r="AH30" s="44">
        <v>0.25</v>
      </c>
      <c r="AI30" s="13">
        <v>1</v>
      </c>
      <c r="AJ30" s="304"/>
      <c r="AK30" s="45">
        <v>8</v>
      </c>
      <c r="AL30" s="23"/>
      <c r="AM30" s="138"/>
      <c r="AN30" s="25">
        <f t="shared" ca="1" si="22"/>
        <v>12</v>
      </c>
      <c r="AO30" s="50"/>
      <c r="AP30" s="53">
        <f t="shared" si="6"/>
        <v>450</v>
      </c>
      <c r="AQ30" s="322"/>
      <c r="AR30" s="119"/>
      <c r="AS30" s="375">
        <f t="shared" si="7"/>
        <v>2985</v>
      </c>
      <c r="AT30" s="375">
        <v>2810</v>
      </c>
      <c r="AU30" s="344">
        <f t="shared" si="8"/>
        <v>0.17420435510887772</v>
      </c>
      <c r="AV30" s="18">
        <f>IF(F30="","",(SUM($AS$6:AS30)))</f>
        <v>120344.86</v>
      </c>
      <c r="AW30" s="18">
        <f>IF(AS30&lt;&gt;"", SUMIFS($AS$6:AS30, $BG$6:BG30, BG30), "")</f>
        <v>120344.86</v>
      </c>
      <c r="AX30" s="57">
        <f t="shared" ca="1" si="26"/>
        <v>497.5</v>
      </c>
      <c r="AY30" s="15" t="str">
        <f t="shared" ca="1" si="10"/>
        <v>LINK</v>
      </c>
      <c r="AZ30" s="10" t="s">
        <v>361</v>
      </c>
      <c r="BA30" s="14" t="s">
        <v>332</v>
      </c>
      <c r="BB30" t="str">
        <f t="shared" si="11"/>
        <v>25</v>
      </c>
      <c r="BC30" t="str">
        <f t="shared" si="12"/>
        <v>06</v>
      </c>
      <c r="BD30">
        <f t="shared" si="13"/>
        <v>25</v>
      </c>
      <c r="BE30" t="str">
        <f t="shared" si="14"/>
        <v>D</v>
      </c>
      <c r="BF30" t="str">
        <f t="shared" si="20"/>
        <v>https://www.coreplan.io/app/ddh1-drilling/speewah-mining-speewah-fluorite-project-wa/plods/1665-250625D</v>
      </c>
      <c r="BG30" t="str">
        <f t="shared" si="15"/>
        <v>2025-06</v>
      </c>
    </row>
    <row r="31" spans="1:59">
      <c r="A31" s="510" t="str">
        <f>VLOOKUP(F31,'Tenement Lookup'!A:BH,60,FALSE)</f>
        <v>M 80/268</v>
      </c>
      <c r="B31" t="str">
        <f>VLOOKUP(F31,Purpose!$A$2:$B$334,2,FALSE)</f>
        <v>Met</v>
      </c>
      <c r="C31" s="152" t="s">
        <v>11</v>
      </c>
      <c r="D31" s="1">
        <f t="shared" si="21"/>
        <v>45833.71</v>
      </c>
      <c r="E31" t="s">
        <v>172</v>
      </c>
      <c r="F31" s="501" t="s">
        <v>357</v>
      </c>
      <c r="H31" s="4" t="s">
        <v>215</v>
      </c>
      <c r="I31" s="4">
        <v>3</v>
      </c>
      <c r="J31" s="5">
        <f t="shared" si="0"/>
        <v>390</v>
      </c>
      <c r="K31" s="21">
        <v>48.6</v>
      </c>
      <c r="L31" s="28">
        <v>51.8</v>
      </c>
      <c r="M31" s="22">
        <f t="shared" si="17"/>
        <v>3.1999999999999957</v>
      </c>
      <c r="N31" s="30">
        <v>51.8</v>
      </c>
      <c r="O31" s="26">
        <v>65.599999999999994</v>
      </c>
      <c r="P31" s="31">
        <f t="shared" si="23"/>
        <v>13.799999999999997</v>
      </c>
      <c r="Q31" s="21"/>
      <c r="R31" s="28"/>
      <c r="S31" s="22">
        <f t="shared" si="25"/>
        <v>0</v>
      </c>
      <c r="T31" s="30"/>
      <c r="U31" s="26"/>
      <c r="V31" s="31">
        <f t="shared" si="24"/>
        <v>0</v>
      </c>
      <c r="W31" s="26">
        <f t="shared" si="18"/>
        <v>16.999999999999993</v>
      </c>
      <c r="X31" s="36">
        <f t="shared" si="4"/>
        <v>2422.9999999999986</v>
      </c>
      <c r="Y31" s="301">
        <f t="shared" si="5"/>
        <v>3105</v>
      </c>
      <c r="Z31" s="38"/>
      <c r="AA31" s="38"/>
      <c r="AB31" s="38"/>
      <c r="AC31" s="38"/>
      <c r="AD31" s="157">
        <f t="shared" si="19"/>
        <v>0</v>
      </c>
      <c r="AE31" s="34">
        <v>6.75</v>
      </c>
      <c r="AF31" s="35">
        <v>5</v>
      </c>
      <c r="AG31" s="40"/>
      <c r="AH31" s="44">
        <v>0.25</v>
      </c>
      <c r="AI31" s="13"/>
      <c r="AJ31" s="304"/>
      <c r="AK31" s="45"/>
      <c r="AL31" s="23"/>
      <c r="AM31" s="138"/>
      <c r="AN31" s="25">
        <f t="shared" ca="1" si="22"/>
        <v>12</v>
      </c>
      <c r="AO31" s="50"/>
      <c r="AP31" s="53">
        <f t="shared" si="6"/>
        <v>2390</v>
      </c>
      <c r="AQ31" s="322"/>
      <c r="AR31" s="119"/>
      <c r="AS31" s="375">
        <f t="shared" si="7"/>
        <v>5885</v>
      </c>
      <c r="AT31" s="375">
        <v>5885</v>
      </c>
      <c r="AU31" s="344">
        <f t="shared" si="8"/>
        <v>6.6270178419711126E-2</v>
      </c>
      <c r="AV31" s="18">
        <f>IF(F31="","",(SUM($AS$6:AS31)))</f>
        <v>126229.86</v>
      </c>
      <c r="AW31" s="18">
        <f>IF(AS31&lt;&gt;"", SUMIFS($AS$6:AS31, $BG$6:BG31, BG31), "")</f>
        <v>126229.86</v>
      </c>
      <c r="AX31" s="57">
        <f t="shared" ca="1" si="26"/>
        <v>346.17647058823542</v>
      </c>
      <c r="AY31" s="15" t="str">
        <f t="shared" ca="1" si="10"/>
        <v>LINK</v>
      </c>
      <c r="AZ31" s="10" t="s">
        <v>362</v>
      </c>
      <c r="BA31" s="14" t="s">
        <v>332</v>
      </c>
      <c r="BB31" t="str">
        <f t="shared" si="11"/>
        <v>25</v>
      </c>
      <c r="BC31" t="str">
        <f t="shared" si="12"/>
        <v>06</v>
      </c>
      <c r="BD31">
        <f t="shared" si="13"/>
        <v>25</v>
      </c>
      <c r="BE31" t="str">
        <f t="shared" si="14"/>
        <v>N</v>
      </c>
      <c r="BF31" t="str">
        <f t="shared" si="20"/>
        <v>https://www.coreplan.io/app/ddh1-drilling/speewah-mining-speewah-fluorite-project-wa/plods/1665-250625N</v>
      </c>
      <c r="BG31" t="str">
        <f t="shared" si="15"/>
        <v>2025-06</v>
      </c>
    </row>
    <row r="32" spans="1:59">
      <c r="A32" s="510" t="str">
        <f>VLOOKUP(F32,'Tenement Lookup'!A:BH,60,FALSE)</f>
        <v>M 80/268</v>
      </c>
      <c r="B32" t="str">
        <f>VLOOKUP(F32,Purpose!$A$2:$B$334,2,FALSE)</f>
        <v>Met</v>
      </c>
      <c r="C32" s="152" t="s">
        <v>11</v>
      </c>
      <c r="D32" s="1">
        <f t="shared" si="21"/>
        <v>45834.21</v>
      </c>
      <c r="E32" t="s">
        <v>171</v>
      </c>
      <c r="F32" s="501" t="s">
        <v>357</v>
      </c>
      <c r="H32" s="4" t="s">
        <v>360</v>
      </c>
      <c r="I32" s="4">
        <v>4</v>
      </c>
      <c r="J32" s="122">
        <f t="shared" si="0"/>
        <v>520</v>
      </c>
      <c r="K32" s="21"/>
      <c r="L32" s="28"/>
      <c r="M32" s="22">
        <v>0</v>
      </c>
      <c r="N32" s="30">
        <v>65.599999999999994</v>
      </c>
      <c r="O32" s="26">
        <v>99.6</v>
      </c>
      <c r="P32" s="31">
        <f t="shared" si="23"/>
        <v>34</v>
      </c>
      <c r="Q32" s="21"/>
      <c r="R32" s="28"/>
      <c r="S32" s="22">
        <f t="shared" si="25"/>
        <v>0</v>
      </c>
      <c r="T32" s="30"/>
      <c r="U32" s="26"/>
      <c r="V32" s="31">
        <f t="shared" si="24"/>
        <v>0</v>
      </c>
      <c r="W32" s="26">
        <f t="shared" si="18"/>
        <v>34</v>
      </c>
      <c r="X32" s="36">
        <f t="shared" si="4"/>
        <v>4590</v>
      </c>
      <c r="Y32" s="301">
        <f t="shared" si="5"/>
        <v>5175</v>
      </c>
      <c r="Z32" s="38">
        <v>1</v>
      </c>
      <c r="AA32" s="38">
        <v>1</v>
      </c>
      <c r="AB32" s="38">
        <v>1</v>
      </c>
      <c r="AC32" s="38">
        <v>13122</v>
      </c>
      <c r="AD32" s="157">
        <f t="shared" si="19"/>
        <v>750</v>
      </c>
      <c r="AE32" s="29">
        <v>11.25</v>
      </c>
      <c r="AF32" s="29">
        <v>0.5</v>
      </c>
      <c r="AG32" s="40"/>
      <c r="AH32" s="44">
        <v>0.25</v>
      </c>
      <c r="AI32" s="13"/>
      <c r="AJ32" s="304"/>
      <c r="AK32" s="45"/>
      <c r="AL32" s="23"/>
      <c r="AM32" s="138"/>
      <c r="AN32" s="25">
        <f t="shared" ca="1" si="22"/>
        <v>12</v>
      </c>
      <c r="AO32" s="50"/>
      <c r="AP32" s="53">
        <f>(AF32*$AF$2)+(AH32*$AH$2)+(AI32*$AI$2)</f>
        <v>320</v>
      </c>
      <c r="AQ32" s="322"/>
      <c r="AR32" s="119">
        <v>878.93</v>
      </c>
      <c r="AS32" s="375">
        <f t="shared" si="7"/>
        <v>7643.93</v>
      </c>
      <c r="AT32" s="375">
        <v>7468.93</v>
      </c>
      <c r="AU32" s="344">
        <f t="shared" si="8"/>
        <v>6.8027833849865188E-2</v>
      </c>
      <c r="AV32" s="18">
        <f>IF(F32="","",(SUM($AS$6:AS32)))</f>
        <v>133873.79</v>
      </c>
      <c r="AW32" s="18">
        <f>IF(AS32&lt;&gt;"", SUMIFS($AS$6:AS32, $BG$6:BG32, BG32), "")</f>
        <v>133873.79</v>
      </c>
      <c r="AX32" s="123">
        <f t="shared" ca="1" si="26"/>
        <v>224.82147058823531</v>
      </c>
      <c r="AY32" s="124" t="str">
        <f t="shared" ca="1" si="10"/>
        <v>LINK</v>
      </c>
      <c r="AZ32" s="10" t="s">
        <v>363</v>
      </c>
      <c r="BA32" s="125" t="s">
        <v>332</v>
      </c>
      <c r="BB32" t="str">
        <f t="shared" si="11"/>
        <v>25</v>
      </c>
      <c r="BC32" t="str">
        <f t="shared" si="12"/>
        <v>06</v>
      </c>
      <c r="BD32">
        <f t="shared" si="13"/>
        <v>26</v>
      </c>
      <c r="BE32" t="str">
        <f t="shared" si="14"/>
        <v>D</v>
      </c>
      <c r="BF32" t="str">
        <f t="shared" si="20"/>
        <v>https://www.coreplan.io/app/ddh1-drilling/speewah-mining-speewah-fluorite-project-wa/plods/1665-250626D</v>
      </c>
      <c r="BG32" t="str">
        <f t="shared" si="15"/>
        <v>2025-06</v>
      </c>
    </row>
    <row r="33" spans="1:59">
      <c r="A33" s="510" t="str">
        <f>VLOOKUP(F33,'Tenement Lookup'!A:BH,60,FALSE)</f>
        <v>M 80/268</v>
      </c>
      <c r="B33" t="str">
        <f>VLOOKUP(F33,Purpose!$A$2:$B$334,2,FALSE)</f>
        <v>Met</v>
      </c>
      <c r="C33" s="152" t="s">
        <v>11</v>
      </c>
      <c r="D33" s="1">
        <f t="shared" si="21"/>
        <v>45834.71</v>
      </c>
      <c r="E33" t="s">
        <v>172</v>
      </c>
      <c r="F33" s="501" t="s">
        <v>357</v>
      </c>
      <c r="H33" s="4" t="s">
        <v>215</v>
      </c>
      <c r="I33" s="4">
        <v>3</v>
      </c>
      <c r="J33" s="122">
        <f t="shared" si="0"/>
        <v>390</v>
      </c>
      <c r="K33" s="21"/>
      <c r="L33" s="28"/>
      <c r="M33" s="22">
        <v>0</v>
      </c>
      <c r="N33" s="30">
        <v>99.6</v>
      </c>
      <c r="O33" s="26">
        <v>130.69999999999999</v>
      </c>
      <c r="P33" s="31">
        <f t="shared" si="23"/>
        <v>31.099999999999994</v>
      </c>
      <c r="Q33" s="21"/>
      <c r="R33" s="28"/>
      <c r="S33" s="22">
        <f t="shared" si="25"/>
        <v>0</v>
      </c>
      <c r="T33" s="30"/>
      <c r="U33" s="26"/>
      <c r="V33" s="31">
        <f t="shared" si="24"/>
        <v>0</v>
      </c>
      <c r="W33" s="26">
        <f t="shared" si="18"/>
        <v>31.099999999999994</v>
      </c>
      <c r="X33" s="36">
        <f t="shared" si="4"/>
        <v>4198.4999999999991</v>
      </c>
      <c r="Y33" s="301">
        <f t="shared" si="5"/>
        <v>5060</v>
      </c>
      <c r="Z33" s="38"/>
      <c r="AA33" s="38"/>
      <c r="AB33" s="38"/>
      <c r="AC33" s="38"/>
      <c r="AD33" s="157">
        <f t="shared" si="19"/>
        <v>0</v>
      </c>
      <c r="AE33" s="29">
        <v>11</v>
      </c>
      <c r="AF33" s="29">
        <v>0.75</v>
      </c>
      <c r="AG33" s="40"/>
      <c r="AH33" s="44">
        <v>0.25</v>
      </c>
      <c r="AI33" s="13"/>
      <c r="AJ33" s="304"/>
      <c r="AK33" s="45"/>
      <c r="AL33" s="23"/>
      <c r="AM33" s="138"/>
      <c r="AN33" s="25">
        <f t="shared" ca="1" si="22"/>
        <v>12</v>
      </c>
      <c r="AO33" s="50"/>
      <c r="AP33" s="53">
        <f t="shared" si="6"/>
        <v>435</v>
      </c>
      <c r="AQ33" s="322"/>
      <c r="AR33" s="119"/>
      <c r="AS33" s="375">
        <f t="shared" si="7"/>
        <v>5885</v>
      </c>
      <c r="AT33" s="375">
        <v>5885</v>
      </c>
      <c r="AU33" s="344">
        <f t="shared" si="8"/>
        <v>6.6270178419711126E-2</v>
      </c>
      <c r="AV33" s="18">
        <f>IF(F33="","",(SUM($AS$6:AS33)))</f>
        <v>139758.79</v>
      </c>
      <c r="AW33" s="18">
        <f>IF(AS33&lt;&gt;"", SUMIFS($AS$6:AS33, $BG$6:BG33, BG33), "")</f>
        <v>139758.79</v>
      </c>
      <c r="AX33" s="123">
        <f t="shared" ca="1" si="26"/>
        <v>189.22829581993574</v>
      </c>
      <c r="AY33" s="124" t="str">
        <f t="shared" ca="1" si="10"/>
        <v>LINK</v>
      </c>
      <c r="AZ33" s="10" t="s">
        <v>364</v>
      </c>
      <c r="BA33" s="125" t="s">
        <v>332</v>
      </c>
      <c r="BB33" t="str">
        <f t="shared" si="11"/>
        <v>25</v>
      </c>
      <c r="BC33" t="str">
        <f t="shared" si="12"/>
        <v>06</v>
      </c>
      <c r="BD33">
        <f t="shared" si="13"/>
        <v>26</v>
      </c>
      <c r="BE33" t="str">
        <f t="shared" si="14"/>
        <v>N</v>
      </c>
      <c r="BF33" t="str">
        <f t="shared" si="20"/>
        <v>https://www.coreplan.io/app/ddh1-drilling/speewah-mining-speewah-fluorite-project-wa/plods/1665-250626N</v>
      </c>
      <c r="BG33" t="str">
        <f t="shared" si="15"/>
        <v>2025-06</v>
      </c>
    </row>
    <row r="34" spans="1:59">
      <c r="A34" s="510" t="str">
        <f>VLOOKUP(F34,'Tenement Lookup'!A:BH,60,FALSE)</f>
        <v>M 80/268</v>
      </c>
      <c r="B34" t="str">
        <f>VLOOKUP(F34,Purpose!$A$2:$B$334,2,FALSE)</f>
        <v>Met</v>
      </c>
      <c r="C34" s="152" t="s">
        <v>11</v>
      </c>
      <c r="D34" s="1">
        <f t="shared" si="21"/>
        <v>45835.21</v>
      </c>
      <c r="E34" t="s">
        <v>171</v>
      </c>
      <c r="F34" s="501" t="s">
        <v>365</v>
      </c>
      <c r="H34" s="4" t="s">
        <v>360</v>
      </c>
      <c r="I34" s="4">
        <v>4</v>
      </c>
      <c r="J34" s="122">
        <f t="shared" si="0"/>
        <v>520</v>
      </c>
      <c r="K34" s="21">
        <v>0</v>
      </c>
      <c r="L34" s="28">
        <v>18.100000000000001</v>
      </c>
      <c r="M34" s="22">
        <f t="shared" si="17"/>
        <v>18.100000000000001</v>
      </c>
      <c r="N34" s="30"/>
      <c r="O34" s="26"/>
      <c r="P34" s="31">
        <f t="shared" si="23"/>
        <v>0</v>
      </c>
      <c r="Q34" s="21"/>
      <c r="R34" s="28"/>
      <c r="S34" s="22">
        <f t="shared" si="25"/>
        <v>0</v>
      </c>
      <c r="T34" s="30"/>
      <c r="U34" s="26"/>
      <c r="V34" s="31">
        <f t="shared" si="24"/>
        <v>0</v>
      </c>
      <c r="W34" s="26">
        <f t="shared" si="18"/>
        <v>18.100000000000001</v>
      </c>
      <c r="X34" s="36">
        <f t="shared" si="4"/>
        <v>3167.5000000000005</v>
      </c>
      <c r="Y34" s="301">
        <f t="shared" si="5"/>
        <v>3167.5000000000005</v>
      </c>
      <c r="Z34" s="38">
        <v>1</v>
      </c>
      <c r="AA34" s="38">
        <v>1</v>
      </c>
      <c r="AB34" s="38">
        <v>1</v>
      </c>
      <c r="AC34" s="38">
        <v>13122</v>
      </c>
      <c r="AD34" s="157">
        <f t="shared" si="19"/>
        <v>750</v>
      </c>
      <c r="AE34" s="29">
        <v>6.75</v>
      </c>
      <c r="AF34" s="29">
        <v>5</v>
      </c>
      <c r="AG34" s="40"/>
      <c r="AH34" s="44">
        <v>0.25</v>
      </c>
      <c r="AI34" s="13"/>
      <c r="AJ34" s="304"/>
      <c r="AK34" s="45"/>
      <c r="AL34" s="23"/>
      <c r="AM34" s="138"/>
      <c r="AN34" s="25">
        <f t="shared" ca="1" si="22"/>
        <v>12</v>
      </c>
      <c r="AO34" s="50"/>
      <c r="AP34" s="53">
        <f t="shared" si="6"/>
        <v>2390</v>
      </c>
      <c r="AQ34" s="322"/>
      <c r="AR34" s="119">
        <v>395.85</v>
      </c>
      <c r="AS34" s="375">
        <f t="shared" si="7"/>
        <v>7223.35</v>
      </c>
      <c r="AT34" s="375">
        <v>7048.35</v>
      </c>
      <c r="AU34" s="344">
        <f t="shared" si="8"/>
        <v>7.1988758678452516E-2</v>
      </c>
      <c r="AV34" s="18">
        <f>IF(F34="","",(SUM($AS$6:AS34)))</f>
        <v>146982.14000000001</v>
      </c>
      <c r="AW34" s="18">
        <f>IF(AS34&lt;&gt;"", SUMIFS($AS$6:AS34, $BG$6:BG34, BG34), "")</f>
        <v>146982.14000000001</v>
      </c>
      <c r="AX34" s="123">
        <f t="shared" ca="1" si="26"/>
        <v>399.08011049723757</v>
      </c>
      <c r="AY34" s="124" t="str">
        <f t="shared" ca="1" si="10"/>
        <v>LINK</v>
      </c>
      <c r="AZ34" s="10" t="s">
        <v>366</v>
      </c>
      <c r="BA34" s="125" t="s">
        <v>332</v>
      </c>
      <c r="BB34" t="str">
        <f t="shared" si="11"/>
        <v>25</v>
      </c>
      <c r="BC34" t="str">
        <f t="shared" si="12"/>
        <v>06</v>
      </c>
      <c r="BD34">
        <f t="shared" si="13"/>
        <v>27</v>
      </c>
      <c r="BE34" t="str">
        <f t="shared" si="14"/>
        <v>D</v>
      </c>
      <c r="BF34" t="str">
        <f t="shared" si="20"/>
        <v>https://www.coreplan.io/app/ddh1-drilling/speewah-mining-speewah-fluorite-project-wa/plods/1665-250627D</v>
      </c>
      <c r="BG34" t="str">
        <f t="shared" si="15"/>
        <v>2025-06</v>
      </c>
    </row>
    <row r="35" spans="1:59">
      <c r="A35" s="510" t="str">
        <f>VLOOKUP(F35,'Tenement Lookup'!A:BH,60,FALSE)</f>
        <v>M 80/268</v>
      </c>
      <c r="B35" t="str">
        <f>VLOOKUP(F35,Purpose!$A$2:$B$334,2,FALSE)</f>
        <v>Met</v>
      </c>
      <c r="C35" s="152" t="s">
        <v>11</v>
      </c>
      <c r="D35" s="1">
        <f t="shared" si="21"/>
        <v>45835.71</v>
      </c>
      <c r="E35" t="s">
        <v>172</v>
      </c>
      <c r="F35" s="501" t="s">
        <v>365</v>
      </c>
      <c r="H35" s="4" t="s">
        <v>215</v>
      </c>
      <c r="I35" s="4">
        <v>3</v>
      </c>
      <c r="J35" s="122">
        <f t="shared" si="0"/>
        <v>390</v>
      </c>
      <c r="K35" s="21">
        <v>18.100000000000001</v>
      </c>
      <c r="L35" s="28">
        <v>43.9</v>
      </c>
      <c r="M35" s="22">
        <f t="shared" si="17"/>
        <v>25.799999999999997</v>
      </c>
      <c r="N35" s="30"/>
      <c r="O35" s="26"/>
      <c r="P35" s="31">
        <f t="shared" si="23"/>
        <v>0</v>
      </c>
      <c r="Q35" s="21"/>
      <c r="R35" s="28"/>
      <c r="S35" s="22">
        <f t="shared" si="25"/>
        <v>0</v>
      </c>
      <c r="T35" s="30"/>
      <c r="U35" s="26"/>
      <c r="V35" s="31">
        <f t="shared" si="24"/>
        <v>0</v>
      </c>
      <c r="W35" s="26">
        <f t="shared" si="18"/>
        <v>25.799999999999997</v>
      </c>
      <c r="X35" s="36">
        <f t="shared" si="4"/>
        <v>4514.9999999999991</v>
      </c>
      <c r="Y35" s="301">
        <f t="shared" si="5"/>
        <v>4945</v>
      </c>
      <c r="Z35" s="38"/>
      <c r="AA35" s="38"/>
      <c r="AB35" s="38"/>
      <c r="AC35" s="38"/>
      <c r="AD35" s="157">
        <f t="shared" si="19"/>
        <v>0</v>
      </c>
      <c r="AE35" s="29">
        <v>10.75</v>
      </c>
      <c r="AF35" s="29">
        <v>1</v>
      </c>
      <c r="AG35" s="40"/>
      <c r="AH35" s="44">
        <v>0.25</v>
      </c>
      <c r="AI35" s="13"/>
      <c r="AJ35" s="304"/>
      <c r="AK35" s="45"/>
      <c r="AL35" s="23"/>
      <c r="AM35" s="138"/>
      <c r="AN35" s="25">
        <f t="shared" ca="1" si="22"/>
        <v>12</v>
      </c>
      <c r="AO35" s="50"/>
      <c r="AP35" s="53">
        <f t="shared" si="6"/>
        <v>550</v>
      </c>
      <c r="AQ35" s="322"/>
      <c r="AR35" s="119">
        <v>407.22</v>
      </c>
      <c r="AS35" s="375">
        <f t="shared" si="7"/>
        <v>6292.22</v>
      </c>
      <c r="AT35" s="375">
        <v>6292.22</v>
      </c>
      <c r="AU35" s="344">
        <f t="shared" si="8"/>
        <v>6.1981303895922261E-2</v>
      </c>
      <c r="AV35" s="18">
        <f>IF(F35="","",(SUM($AS$6:AS35)))</f>
        <v>153274.36000000002</v>
      </c>
      <c r="AW35" s="18">
        <f>IF(AS35&lt;&gt;"", SUMIFS($AS$6:AS35, $BG$6:BG35, BG35), "")</f>
        <v>153274.36000000002</v>
      </c>
      <c r="AX35" s="123">
        <f t="shared" ca="1" si="26"/>
        <v>243.88449612403105</v>
      </c>
      <c r="AY35" s="124" t="str">
        <f t="shared" ca="1" si="10"/>
        <v>LINK</v>
      </c>
      <c r="AZ35" s="10" t="s">
        <v>367</v>
      </c>
      <c r="BA35" s="125" t="s">
        <v>332</v>
      </c>
      <c r="BB35" t="str">
        <f t="shared" si="11"/>
        <v>25</v>
      </c>
      <c r="BC35" t="str">
        <f t="shared" si="12"/>
        <v>06</v>
      </c>
      <c r="BD35">
        <f t="shared" si="13"/>
        <v>27</v>
      </c>
      <c r="BE35" t="str">
        <f t="shared" si="14"/>
        <v>N</v>
      </c>
      <c r="BF35" t="str">
        <f t="shared" si="20"/>
        <v>https://www.coreplan.io/app/ddh1-drilling/speewah-mining-speewah-fluorite-project-wa/plods/1665-250627N</v>
      </c>
      <c r="BG35" t="str">
        <f t="shared" si="15"/>
        <v>2025-06</v>
      </c>
    </row>
    <row r="36" spans="1:59">
      <c r="A36" s="510" t="str">
        <f>VLOOKUP(F36,'Tenement Lookup'!A:BH,60,FALSE)</f>
        <v>M 80/268</v>
      </c>
      <c r="B36" t="str">
        <f>VLOOKUP(F36,Purpose!$A$2:$B$334,2,FALSE)</f>
        <v>Met</v>
      </c>
      <c r="C36" s="152" t="s">
        <v>11</v>
      </c>
      <c r="D36" s="1">
        <f t="shared" si="21"/>
        <v>45836.21</v>
      </c>
      <c r="E36" t="s">
        <v>171</v>
      </c>
      <c r="F36" s="501" t="s">
        <v>365</v>
      </c>
      <c r="H36" s="4" t="s">
        <v>360</v>
      </c>
      <c r="I36" s="4">
        <v>4</v>
      </c>
      <c r="J36" s="122">
        <f t="shared" si="0"/>
        <v>520</v>
      </c>
      <c r="K36" s="21">
        <v>43.9</v>
      </c>
      <c r="L36" s="28">
        <v>75.400000000000006</v>
      </c>
      <c r="M36" s="22">
        <f t="shared" si="17"/>
        <v>31.500000000000007</v>
      </c>
      <c r="N36" s="30"/>
      <c r="O36" s="26"/>
      <c r="P36" s="31">
        <f t="shared" si="23"/>
        <v>0</v>
      </c>
      <c r="Q36" s="21"/>
      <c r="R36" s="28"/>
      <c r="S36" s="22">
        <f t="shared" si="25"/>
        <v>0</v>
      </c>
      <c r="T36" s="30"/>
      <c r="U36" s="26"/>
      <c r="V36" s="31">
        <f t="shared" si="24"/>
        <v>0</v>
      </c>
      <c r="W36" s="26">
        <f t="shared" si="18"/>
        <v>31.500000000000007</v>
      </c>
      <c r="X36" s="36">
        <f t="shared" si="4"/>
        <v>5512.5000000000009</v>
      </c>
      <c r="Y36" s="301">
        <f t="shared" si="5"/>
        <v>5512.5000000000009</v>
      </c>
      <c r="Z36" s="38">
        <v>1</v>
      </c>
      <c r="AA36" s="38">
        <v>1</v>
      </c>
      <c r="AB36" s="38">
        <v>1</v>
      </c>
      <c r="AC36" s="38">
        <v>13122</v>
      </c>
      <c r="AD36" s="157">
        <f t="shared" si="19"/>
        <v>750</v>
      </c>
      <c r="AE36" s="29">
        <v>11.25</v>
      </c>
      <c r="AF36" s="29">
        <v>0.5</v>
      </c>
      <c r="AG36" s="40"/>
      <c r="AH36" s="44">
        <v>0.25</v>
      </c>
      <c r="AI36" s="13"/>
      <c r="AJ36" s="304"/>
      <c r="AK36" s="45"/>
      <c r="AL36" s="23"/>
      <c r="AM36" s="138"/>
      <c r="AN36" s="25">
        <f t="shared" ca="1" si="22"/>
        <v>12</v>
      </c>
      <c r="AO36" s="50"/>
      <c r="AP36" s="53">
        <f t="shared" si="6"/>
        <v>320</v>
      </c>
      <c r="AQ36" s="322"/>
      <c r="AR36" s="119">
        <v>117.93</v>
      </c>
      <c r="AS36" s="375">
        <f t="shared" si="7"/>
        <v>7220.4300000000012</v>
      </c>
      <c r="AT36" s="375">
        <v>7045.43</v>
      </c>
      <c r="AU36" s="344">
        <f t="shared" si="8"/>
        <v>7.2017871511807455E-2</v>
      </c>
      <c r="AV36" s="18">
        <f>IF(F36="","",(SUM($AS$6:AS36)))</f>
        <v>160494.79</v>
      </c>
      <c r="AW36" s="18">
        <f>IF(AS36&lt;&gt;"", SUMIFS($AS$6:AS36, $BG$6:BG36, BG36), "")</f>
        <v>160494.79</v>
      </c>
      <c r="AX36" s="123">
        <f t="shared" ca="1" si="26"/>
        <v>229.22</v>
      </c>
      <c r="AY36" s="124" t="str">
        <f t="shared" ca="1" si="10"/>
        <v>LINK</v>
      </c>
      <c r="AZ36" s="10" t="s">
        <v>368</v>
      </c>
      <c r="BA36" s="125" t="s">
        <v>332</v>
      </c>
      <c r="BB36" t="str">
        <f t="shared" si="11"/>
        <v>25</v>
      </c>
      <c r="BC36" t="str">
        <f t="shared" si="12"/>
        <v>06</v>
      </c>
      <c r="BD36">
        <f t="shared" si="13"/>
        <v>28</v>
      </c>
      <c r="BE36" t="str">
        <f t="shared" si="14"/>
        <v>D</v>
      </c>
      <c r="BF36" t="str">
        <f t="shared" si="20"/>
        <v>https://www.coreplan.io/app/ddh1-drilling/speewah-mining-speewah-fluorite-project-wa/plods/1665-250628D</v>
      </c>
      <c r="BG36" t="str">
        <f t="shared" si="15"/>
        <v>2025-06</v>
      </c>
    </row>
    <row r="37" spans="1:59">
      <c r="A37" s="510" t="str">
        <f>VLOOKUP(F37,'Tenement Lookup'!A:BH,60,FALSE)</f>
        <v>M 80/268</v>
      </c>
      <c r="B37" t="str">
        <f>VLOOKUP(F37,Purpose!$A$2:$B$334,2,FALSE)</f>
        <v>Met</v>
      </c>
      <c r="C37" s="152" t="s">
        <v>11</v>
      </c>
      <c r="D37" s="1">
        <f t="shared" si="21"/>
        <v>45836.71</v>
      </c>
      <c r="E37" t="s">
        <v>172</v>
      </c>
      <c r="F37" s="501" t="s">
        <v>365</v>
      </c>
      <c r="H37" s="4" t="s">
        <v>215</v>
      </c>
      <c r="I37" s="4">
        <v>3</v>
      </c>
      <c r="J37" s="122">
        <f t="shared" si="0"/>
        <v>390</v>
      </c>
      <c r="K37" s="21">
        <v>75.400000000000006</v>
      </c>
      <c r="L37" s="28">
        <v>80</v>
      </c>
      <c r="M37" s="22">
        <f t="shared" si="17"/>
        <v>4.5999999999999943</v>
      </c>
      <c r="N37" s="30"/>
      <c r="O37" s="26"/>
      <c r="P37" s="31">
        <f t="shared" si="23"/>
        <v>0</v>
      </c>
      <c r="Q37" s="21"/>
      <c r="R37" s="28"/>
      <c r="S37" s="22">
        <f t="shared" si="25"/>
        <v>0</v>
      </c>
      <c r="T37" s="30"/>
      <c r="U37" s="26"/>
      <c r="V37" s="31">
        <f t="shared" si="24"/>
        <v>0</v>
      </c>
      <c r="W37" s="26">
        <f t="shared" si="18"/>
        <v>4.5999999999999943</v>
      </c>
      <c r="X37" s="36">
        <f t="shared" si="4"/>
        <v>804.99999999999898</v>
      </c>
      <c r="Y37" s="301">
        <f t="shared" si="5"/>
        <v>1265</v>
      </c>
      <c r="Z37" s="38"/>
      <c r="AA37" s="38"/>
      <c r="AB37" s="38"/>
      <c r="AC37" s="38"/>
      <c r="AD37" s="157">
        <f t="shared" si="19"/>
        <v>0</v>
      </c>
      <c r="AE37" s="29">
        <v>2.75</v>
      </c>
      <c r="AF37" s="29">
        <v>3</v>
      </c>
      <c r="AG37" s="40"/>
      <c r="AH37" s="44">
        <v>0.25</v>
      </c>
      <c r="AI37" s="13">
        <v>6</v>
      </c>
      <c r="AJ37" s="304" t="s">
        <v>348</v>
      </c>
      <c r="AK37" s="45"/>
      <c r="AL37" s="23"/>
      <c r="AM37" s="138"/>
      <c r="AN37" s="25">
        <f t="shared" ca="1" si="22"/>
        <v>12</v>
      </c>
      <c r="AO37" s="50"/>
      <c r="AP37" s="53">
        <f t="shared" si="6"/>
        <v>3630</v>
      </c>
      <c r="AQ37" s="322"/>
      <c r="AR37" s="119">
        <v>117.93</v>
      </c>
      <c r="AS37" s="375">
        <f t="shared" si="7"/>
        <v>5402.93</v>
      </c>
      <c r="AT37" s="375">
        <v>5402.93</v>
      </c>
      <c r="AU37" s="344">
        <f t="shared" si="8"/>
        <v>7.2183056230600798E-2</v>
      </c>
      <c r="AV37" s="18">
        <f>IF(F37="","",(SUM($AS$6:AS37)))</f>
        <v>165897.72</v>
      </c>
      <c r="AW37" s="18">
        <f>IF(AS37&lt;&gt;"", SUMIFS($AS$6:AS37, $BG$6:BG37, BG37), "")</f>
        <v>165897.72</v>
      </c>
      <c r="AX37" s="123"/>
      <c r="AY37" s="124" t="str">
        <f t="shared" ca="1" si="10"/>
        <v>LINK</v>
      </c>
      <c r="AZ37" s="10" t="s">
        <v>369</v>
      </c>
      <c r="BA37" s="125" t="s">
        <v>332</v>
      </c>
      <c r="BB37" t="str">
        <f t="shared" si="11"/>
        <v>25</v>
      </c>
      <c r="BC37" t="str">
        <f t="shared" si="12"/>
        <v>06</v>
      </c>
      <c r="BD37">
        <f t="shared" si="13"/>
        <v>28</v>
      </c>
      <c r="BE37" t="str">
        <f t="shared" si="14"/>
        <v>N</v>
      </c>
      <c r="BF37" t="str">
        <f t="shared" si="20"/>
        <v>https://www.coreplan.io/app/ddh1-drilling/speewah-mining-speewah-fluorite-project-wa/plods/1665-250628N</v>
      </c>
      <c r="BG37" t="str">
        <f t="shared" si="15"/>
        <v>2025-06</v>
      </c>
    </row>
    <row r="38" spans="1:59">
      <c r="A38" s="510" t="str">
        <f>VLOOKUP(F38,'Tenement Lookup'!A:BH,60,FALSE)</f>
        <v>M 80/268</v>
      </c>
      <c r="B38" t="str">
        <f>VLOOKUP(F38,Purpose!$A$2:$B$334,2,FALSE)</f>
        <v>Met</v>
      </c>
      <c r="C38" s="152" t="s">
        <v>11</v>
      </c>
      <c r="D38" s="1">
        <f t="shared" si="21"/>
        <v>45837.21</v>
      </c>
      <c r="E38" t="s">
        <v>171</v>
      </c>
      <c r="F38" s="501" t="s">
        <v>365</v>
      </c>
      <c r="H38" s="4" t="s">
        <v>360</v>
      </c>
      <c r="I38" s="4">
        <v>4</v>
      </c>
      <c r="J38" s="122">
        <f t="shared" si="0"/>
        <v>520</v>
      </c>
      <c r="K38" s="21">
        <v>0</v>
      </c>
      <c r="L38" s="28">
        <v>15.4</v>
      </c>
      <c r="M38" s="22">
        <f t="shared" si="17"/>
        <v>15.4</v>
      </c>
      <c r="N38" s="30"/>
      <c r="O38" s="26"/>
      <c r="P38" s="31">
        <f t="shared" si="23"/>
        <v>0</v>
      </c>
      <c r="Q38" s="21"/>
      <c r="R38" s="28"/>
      <c r="S38" s="22">
        <f t="shared" si="25"/>
        <v>0</v>
      </c>
      <c r="T38" s="30"/>
      <c r="U38" s="26"/>
      <c r="V38" s="31">
        <f t="shared" si="24"/>
        <v>0</v>
      </c>
      <c r="W38" s="26">
        <f t="shared" si="18"/>
        <v>15.4</v>
      </c>
      <c r="X38" s="36">
        <f t="shared" si="4"/>
        <v>2695</v>
      </c>
      <c r="Y38" s="301">
        <f t="shared" ref="Y38:Y69" si="27">IF(F38&lt;&gt;"",IF(X38&lt;(AE38*$AE$2),(AE38*$AE$2),X38),"")</f>
        <v>2695</v>
      </c>
      <c r="Z38" s="38">
        <v>1</v>
      </c>
      <c r="AA38" s="38">
        <v>1</v>
      </c>
      <c r="AB38" s="38">
        <v>1</v>
      </c>
      <c r="AC38" s="38">
        <v>13122</v>
      </c>
      <c r="AD38" s="157">
        <f t="shared" si="19"/>
        <v>750</v>
      </c>
      <c r="AE38" s="29">
        <v>4.75</v>
      </c>
      <c r="AF38" s="29">
        <v>5.5</v>
      </c>
      <c r="AG38" s="40"/>
      <c r="AH38" s="44">
        <v>0.25</v>
      </c>
      <c r="AI38" s="13">
        <v>1</v>
      </c>
      <c r="AJ38" s="304"/>
      <c r="AK38" s="45">
        <v>0.5</v>
      </c>
      <c r="AL38" s="23"/>
      <c r="AM38" s="138"/>
      <c r="AN38" s="25">
        <f t="shared" ca="1" si="22"/>
        <v>12</v>
      </c>
      <c r="AO38" s="50"/>
      <c r="AP38" s="53">
        <f t="shared" si="6"/>
        <v>2980</v>
      </c>
      <c r="AQ38" s="322"/>
      <c r="AR38" s="119">
        <v>396.12</v>
      </c>
      <c r="AS38" s="375">
        <f t="shared" si="7"/>
        <v>7341.12</v>
      </c>
      <c r="AT38" s="375">
        <v>7166.12</v>
      </c>
      <c r="AU38" s="344">
        <f t="shared" si="8"/>
        <v>7.0833878209319565E-2</v>
      </c>
      <c r="AV38" s="18">
        <f>IF(F38="","",(SUM($AS$6:AS38)))</f>
        <v>173238.84</v>
      </c>
      <c r="AW38" s="18">
        <f>IF(AS38&lt;&gt;"", SUMIFS($AS$6:AS38, $BG$6:BG38, BG38), "")</f>
        <v>173238.84</v>
      </c>
      <c r="AX38" s="123">
        <f ca="1">IF(AND(D38&gt;TODAY(),ISBLANK(H38)),"",IF(ISBLANK(AE38),"no drilling completed",AS38/(W38)))</f>
        <v>476.69610389610386</v>
      </c>
      <c r="AY38" s="124" t="str">
        <f t="shared" ca="1" si="10"/>
        <v>LINK</v>
      </c>
      <c r="AZ38" s="10" t="s">
        <v>370</v>
      </c>
      <c r="BA38" s="125" t="s">
        <v>332</v>
      </c>
      <c r="BB38" t="str">
        <f t="shared" si="11"/>
        <v>25</v>
      </c>
      <c r="BC38" t="str">
        <f t="shared" si="12"/>
        <v>06</v>
      </c>
      <c r="BD38">
        <f t="shared" si="13"/>
        <v>29</v>
      </c>
      <c r="BE38" t="str">
        <f t="shared" si="14"/>
        <v>D</v>
      </c>
      <c r="BF38" t="str">
        <f t="shared" si="20"/>
        <v>https://www.coreplan.io/app/ddh1-drilling/speewah-mining-speewah-fluorite-project-wa/plods/1665-250629D</v>
      </c>
      <c r="BG38" t="str">
        <f t="shared" si="15"/>
        <v>2025-06</v>
      </c>
    </row>
    <row r="39" spans="1:59">
      <c r="A39" s="510" t="str">
        <f>VLOOKUP(F39,'Tenement Lookup'!A:BH,60,FALSE)</f>
        <v>M 80/268</v>
      </c>
      <c r="B39" t="str">
        <f>VLOOKUP(F39,Purpose!$A$2:$B$334,2,FALSE)</f>
        <v>Met</v>
      </c>
      <c r="C39" s="152" t="s">
        <v>11</v>
      </c>
      <c r="D39" s="1">
        <f t="shared" si="21"/>
        <v>45837.71</v>
      </c>
      <c r="E39" t="s">
        <v>172</v>
      </c>
      <c r="F39" s="501" t="s">
        <v>365</v>
      </c>
      <c r="H39" s="4" t="s">
        <v>215</v>
      </c>
      <c r="I39" s="4">
        <v>3</v>
      </c>
      <c r="J39" s="122">
        <f>IF(ISBLANK(I39),"",I39*$J$2)</f>
        <v>390</v>
      </c>
      <c r="K39" s="21">
        <v>15.4</v>
      </c>
      <c r="L39" s="28">
        <v>45.4</v>
      </c>
      <c r="M39" s="22">
        <f t="shared" si="17"/>
        <v>30</v>
      </c>
      <c r="N39" s="30"/>
      <c r="O39" s="26"/>
      <c r="P39" s="31">
        <f t="shared" si="23"/>
        <v>0</v>
      </c>
      <c r="Q39" s="21"/>
      <c r="R39" s="28"/>
      <c r="S39" s="22">
        <f t="shared" si="25"/>
        <v>0</v>
      </c>
      <c r="T39" s="30"/>
      <c r="U39" s="26"/>
      <c r="V39" s="31">
        <f t="shared" si="24"/>
        <v>0</v>
      </c>
      <c r="W39" s="26">
        <f t="shared" si="18"/>
        <v>30</v>
      </c>
      <c r="X39" s="36">
        <f>IFERROR((M39*$M$2)+(P39*$P$2)+(S39*$S$2)+(V39*$V$2),"")</f>
        <v>5250</v>
      </c>
      <c r="Y39" s="301">
        <f t="shared" si="27"/>
        <v>5250</v>
      </c>
      <c r="Z39" s="38"/>
      <c r="AA39" s="38"/>
      <c r="AB39" s="38"/>
      <c r="AC39" s="38"/>
      <c r="AD39" s="157">
        <f t="shared" si="19"/>
        <v>0</v>
      </c>
      <c r="AE39" s="29">
        <v>10.25</v>
      </c>
      <c r="AF39" s="29">
        <v>1</v>
      </c>
      <c r="AG39" s="40"/>
      <c r="AH39" s="44">
        <v>0.25</v>
      </c>
      <c r="AI39" s="13"/>
      <c r="AJ39" s="304"/>
      <c r="AK39" s="45">
        <v>0.5</v>
      </c>
      <c r="AL39" s="23"/>
      <c r="AM39" s="138"/>
      <c r="AN39" s="25">
        <f t="shared" ca="1" si="22"/>
        <v>12</v>
      </c>
      <c r="AO39" s="50"/>
      <c r="AP39" s="53">
        <f t="shared" si="6"/>
        <v>550</v>
      </c>
      <c r="AQ39" s="322"/>
      <c r="AR39" s="119"/>
      <c r="AS39" s="375">
        <f t="shared" si="7"/>
        <v>6190</v>
      </c>
      <c r="AT39" s="375">
        <v>6190</v>
      </c>
      <c r="AU39" s="344">
        <f t="shared" si="8"/>
        <v>6.3004846526655903E-2</v>
      </c>
      <c r="AV39" s="18">
        <f>IF(F39="","",(SUM($AS$6:AS39)))</f>
        <v>179428.84</v>
      </c>
      <c r="AW39" s="18">
        <f>IF(AS39&lt;&gt;"", SUMIFS($AS$6:AS39, $BG$6:BG39, BG39), "")</f>
        <v>179428.84</v>
      </c>
      <c r="AX39" s="123">
        <f ca="1">IF(AND(D39&gt;TODAY(),ISBLANK(H39)),"",IF(ISBLANK(AE39),"no drilling completed",AS39/(W39)))</f>
        <v>206.33333333333334</v>
      </c>
      <c r="AY39" s="124" t="str">
        <f t="shared" ca="1" si="10"/>
        <v>LINK</v>
      </c>
      <c r="AZ39" s="299"/>
      <c r="BA39" s="125" t="s">
        <v>332</v>
      </c>
      <c r="BB39" t="str">
        <f t="shared" si="11"/>
        <v>25</v>
      </c>
      <c r="BC39" t="str">
        <f t="shared" si="12"/>
        <v>06</v>
      </c>
      <c r="BD39">
        <f t="shared" si="13"/>
        <v>29</v>
      </c>
      <c r="BE39" t="str">
        <f t="shared" si="14"/>
        <v>N</v>
      </c>
      <c r="BF39" t="str">
        <f t="shared" si="20"/>
        <v>https://www.coreplan.io/app/ddh1-drilling/speewah-mining-speewah-fluorite-project-wa/plods/1665-250629N</v>
      </c>
      <c r="BG39" t="str">
        <f t="shared" si="15"/>
        <v>2025-06</v>
      </c>
    </row>
    <row r="40" spans="1:59">
      <c r="A40" s="510" t="str">
        <f>VLOOKUP(F40,'Tenement Lookup'!A:BH,60,FALSE)</f>
        <v>M 80/268</v>
      </c>
      <c r="B40" t="str">
        <f>VLOOKUP(F40,Purpose!$A$2:$B$334,2,FALSE)</f>
        <v>Met</v>
      </c>
      <c r="C40" s="152" t="s">
        <v>11</v>
      </c>
      <c r="D40" s="1">
        <f t="shared" si="21"/>
        <v>45838.21</v>
      </c>
      <c r="E40" t="s">
        <v>171</v>
      </c>
      <c r="F40" s="501" t="s">
        <v>371</v>
      </c>
      <c r="H40" s="4" t="s">
        <v>360</v>
      </c>
      <c r="I40" s="4">
        <v>4</v>
      </c>
      <c r="J40" s="122">
        <f t="shared" ref="J40:J49" si="28">IF(ISBLANK(I40),"",I40*$J$2)</f>
        <v>520</v>
      </c>
      <c r="K40" s="21">
        <v>45.4</v>
      </c>
      <c r="L40" s="28">
        <v>62.5</v>
      </c>
      <c r="M40" s="22">
        <f t="shared" si="17"/>
        <v>17.100000000000001</v>
      </c>
      <c r="N40" s="30">
        <v>62.5</v>
      </c>
      <c r="O40" s="26">
        <v>63.4</v>
      </c>
      <c r="P40" s="31">
        <f t="shared" si="23"/>
        <v>0.89999999999999858</v>
      </c>
      <c r="Q40" s="21"/>
      <c r="R40" s="28"/>
      <c r="S40" s="22">
        <f t="shared" si="25"/>
        <v>0</v>
      </c>
      <c r="T40" s="30"/>
      <c r="U40" s="26"/>
      <c r="V40" s="31">
        <f t="shared" si="24"/>
        <v>0</v>
      </c>
      <c r="W40" s="26">
        <f t="shared" si="18"/>
        <v>18</v>
      </c>
      <c r="X40" s="36">
        <f t="shared" ref="X40:X49" si="29">IFERROR((M40*$M$2)+(P40*$P$2)+(S40*$S$2)+(V40*$V$2),"")</f>
        <v>3114.0000000000005</v>
      </c>
      <c r="Y40" s="301">
        <f t="shared" si="27"/>
        <v>3450</v>
      </c>
      <c r="Z40" s="38">
        <v>1</v>
      </c>
      <c r="AA40" s="38">
        <v>1</v>
      </c>
      <c r="AB40" s="38">
        <v>1</v>
      </c>
      <c r="AC40" s="38">
        <v>13122</v>
      </c>
      <c r="AD40" s="157">
        <f t="shared" si="19"/>
        <v>750</v>
      </c>
      <c r="AE40" s="29">
        <v>7.5</v>
      </c>
      <c r="AF40" s="29">
        <v>4.25</v>
      </c>
      <c r="AG40" s="40"/>
      <c r="AH40" s="44">
        <v>0.25</v>
      </c>
      <c r="AI40" s="13"/>
      <c r="AJ40" s="304"/>
      <c r="AK40" s="45"/>
      <c r="AL40" s="23"/>
      <c r="AM40" s="138"/>
      <c r="AN40" s="25">
        <f t="shared" ca="1" si="22"/>
        <v>12</v>
      </c>
      <c r="AO40" s="50"/>
      <c r="AP40" s="53">
        <f>(AF40*$AF$2)+(AH40*$AH$2)+(AI40*$AI$2)</f>
        <v>2045</v>
      </c>
      <c r="AQ40" s="322"/>
      <c r="AR40" s="119">
        <v>776.68</v>
      </c>
      <c r="AS40" s="375">
        <f t="shared" si="7"/>
        <v>7541.68</v>
      </c>
      <c r="AT40" s="375">
        <v>7366.68</v>
      </c>
      <c r="AU40" s="344">
        <f t="shared" si="8"/>
        <v>6.895015434226856E-2</v>
      </c>
      <c r="AV40" s="18">
        <f>IF(F40="","",(SUM($AS$6:AS40)))</f>
        <v>186970.52</v>
      </c>
      <c r="AW40" s="18">
        <f>IF(AS40&lt;&gt;"", SUMIFS($AS$6:AS40, $BG$6:BG40, BG40), "")</f>
        <v>186970.52</v>
      </c>
      <c r="AX40" s="123">
        <f ca="1">IF(AND(D40&gt;TODAY(),ISBLANK(H40)),"",IF(ISBLANK(AE40),"no drilling completed",AS40/(W40)))</f>
        <v>418.98222222222222</v>
      </c>
      <c r="AY40" s="124" t="str">
        <f t="shared" ca="1" si="10"/>
        <v>LINK</v>
      </c>
      <c r="BA40" s="125" t="s">
        <v>332</v>
      </c>
      <c r="BB40" t="str">
        <f t="shared" si="11"/>
        <v>25</v>
      </c>
      <c r="BC40" t="str">
        <f t="shared" si="12"/>
        <v>06</v>
      </c>
      <c r="BD40">
        <f t="shared" si="13"/>
        <v>30</v>
      </c>
      <c r="BE40" t="str">
        <f t="shared" si="14"/>
        <v>D</v>
      </c>
      <c r="BF40" t="str">
        <f t="shared" si="20"/>
        <v>https://www.coreplan.io/app/ddh1-drilling/speewah-mining-speewah-fluorite-project-wa/plods/1665-250630D</v>
      </c>
      <c r="BG40" t="str">
        <f t="shared" si="15"/>
        <v>2025-06</v>
      </c>
    </row>
    <row r="41" spans="1:59">
      <c r="A41" s="510" t="str">
        <f>VLOOKUP(F41,'Tenement Lookup'!A:BH,60,FALSE)</f>
        <v>M 80/268</v>
      </c>
      <c r="B41" t="str">
        <f>VLOOKUP(F41,Purpose!$A$2:$B$334,2,FALSE)</f>
        <v>Met</v>
      </c>
      <c r="C41" s="152" t="s">
        <v>11</v>
      </c>
      <c r="D41" s="1">
        <f t="shared" si="21"/>
        <v>45838.71</v>
      </c>
      <c r="E41" t="s">
        <v>172</v>
      </c>
      <c r="F41" s="501" t="s">
        <v>371</v>
      </c>
      <c r="H41" s="4" t="s">
        <v>215</v>
      </c>
      <c r="I41" s="4">
        <v>3</v>
      </c>
      <c r="J41" s="122">
        <f t="shared" si="28"/>
        <v>390</v>
      </c>
      <c r="K41" s="21"/>
      <c r="L41" s="28"/>
      <c r="M41" s="22">
        <v>0</v>
      </c>
      <c r="N41" s="30">
        <v>63.4</v>
      </c>
      <c r="O41" s="26">
        <v>66.400000000000006</v>
      </c>
      <c r="P41" s="31">
        <f t="shared" si="23"/>
        <v>3.0000000000000071</v>
      </c>
      <c r="Q41" s="21"/>
      <c r="R41" s="28"/>
      <c r="S41" s="22">
        <f t="shared" si="25"/>
        <v>0</v>
      </c>
      <c r="T41" s="30"/>
      <c r="U41" s="26"/>
      <c r="V41" s="31">
        <f t="shared" si="24"/>
        <v>0</v>
      </c>
      <c r="W41" s="26">
        <f>IFERROR(M41+P41+S41+V41,"")</f>
        <v>3.0000000000000071</v>
      </c>
      <c r="X41" s="36">
        <f>IFERROR((M41*$M$2)+(P41*$P$2)+(S41*$S$2)+(V41*$V$2),"")</f>
        <v>405.00000000000097</v>
      </c>
      <c r="Y41" s="301">
        <f t="shared" si="27"/>
        <v>575</v>
      </c>
      <c r="Z41" s="38"/>
      <c r="AA41" s="38"/>
      <c r="AB41" s="38"/>
      <c r="AC41" s="38"/>
      <c r="AD41" s="157">
        <f t="shared" si="19"/>
        <v>0</v>
      </c>
      <c r="AE41" s="29">
        <v>1.25</v>
      </c>
      <c r="AF41" s="29">
        <v>3</v>
      </c>
      <c r="AG41" s="40"/>
      <c r="AH41" s="44">
        <v>2.25</v>
      </c>
      <c r="AI41" s="13">
        <v>5.5</v>
      </c>
      <c r="AJ41" s="304" t="s">
        <v>372</v>
      </c>
      <c r="AK41" s="45"/>
      <c r="AL41" s="23"/>
      <c r="AM41" s="138"/>
      <c r="AN41" s="25">
        <f t="shared" ca="1" si="22"/>
        <v>12</v>
      </c>
      <c r="AO41" s="50"/>
      <c r="AP41" s="53">
        <f t="shared" si="6"/>
        <v>4170</v>
      </c>
      <c r="AQ41" s="322"/>
      <c r="AR41" s="119"/>
      <c r="AS41" s="375">
        <f t="shared" si="7"/>
        <v>5135</v>
      </c>
      <c r="AT41" s="375">
        <v>5135</v>
      </c>
      <c r="AU41" s="344">
        <f t="shared" si="8"/>
        <v>7.5949367088607597E-2</v>
      </c>
      <c r="AV41" s="18">
        <f>IF(F41="","",(SUM($AS$6:AS41)))</f>
        <v>192105.52</v>
      </c>
      <c r="AW41" s="18">
        <f>IF(AS41&lt;&gt;"", SUMIFS($AS$6:AS41, $BG$6:BG41, BG41), "")</f>
        <v>192105.52</v>
      </c>
      <c r="AX41" s="123"/>
      <c r="AY41" s="124" t="str">
        <f t="shared" ca="1" si="10"/>
        <v>LINK</v>
      </c>
      <c r="BA41" s="125" t="s">
        <v>332</v>
      </c>
      <c r="BB41" t="str">
        <f t="shared" si="11"/>
        <v>25</v>
      </c>
      <c r="BC41" t="str">
        <f t="shared" si="12"/>
        <v>06</v>
      </c>
      <c r="BD41">
        <f t="shared" si="13"/>
        <v>30</v>
      </c>
      <c r="BE41" t="str">
        <f t="shared" si="14"/>
        <v>N</v>
      </c>
      <c r="BF41" t="str">
        <f t="shared" si="20"/>
        <v>https://www.coreplan.io/app/ddh1-drilling/speewah-mining-speewah-fluorite-project-wa/plods/1665-250630N</v>
      </c>
      <c r="BG41" t="str">
        <f t="shared" si="15"/>
        <v>2025-06</v>
      </c>
    </row>
    <row r="42" spans="1:59">
      <c r="A42" s="510" t="str">
        <f>VLOOKUP(F42,'Tenement Lookup'!A:BH,60,FALSE)</f>
        <v>M 80/268</v>
      </c>
      <c r="B42" t="str">
        <f>VLOOKUP(F42,Purpose!$A$2:$B$334,2,FALSE)</f>
        <v>Met</v>
      </c>
      <c r="C42" s="152" t="s">
        <v>11</v>
      </c>
      <c r="D42" s="1">
        <f t="shared" si="21"/>
        <v>45839.21</v>
      </c>
      <c r="E42" t="s">
        <v>171</v>
      </c>
      <c r="F42" s="501" t="s">
        <v>343</v>
      </c>
      <c r="H42" s="4" t="s">
        <v>360</v>
      </c>
      <c r="I42" s="4">
        <v>4</v>
      </c>
      <c r="J42" s="122">
        <f t="shared" si="28"/>
        <v>520</v>
      </c>
      <c r="K42" s="21">
        <v>0</v>
      </c>
      <c r="L42" s="28">
        <v>1.8</v>
      </c>
      <c r="M42" s="22">
        <f t="shared" si="17"/>
        <v>1.8</v>
      </c>
      <c r="N42" s="30"/>
      <c r="O42" s="26"/>
      <c r="P42" s="31">
        <f t="shared" si="23"/>
        <v>0</v>
      </c>
      <c r="Q42" s="21"/>
      <c r="R42" s="28"/>
      <c r="S42" s="22">
        <f t="shared" si="25"/>
        <v>0</v>
      </c>
      <c r="T42" s="30"/>
      <c r="U42" s="26"/>
      <c r="V42" s="31">
        <f t="shared" si="24"/>
        <v>0</v>
      </c>
      <c r="W42" s="26">
        <f t="shared" si="18"/>
        <v>1.8</v>
      </c>
      <c r="X42" s="36">
        <f t="shared" si="29"/>
        <v>315</v>
      </c>
      <c r="Y42" s="301">
        <f t="shared" si="27"/>
        <v>460</v>
      </c>
      <c r="Z42" s="38">
        <v>1</v>
      </c>
      <c r="AA42" s="38">
        <v>1</v>
      </c>
      <c r="AB42" s="38">
        <v>1</v>
      </c>
      <c r="AC42" s="38">
        <v>13122</v>
      </c>
      <c r="AD42" s="157">
        <f t="shared" si="19"/>
        <v>750</v>
      </c>
      <c r="AE42" s="29">
        <v>1</v>
      </c>
      <c r="AF42" s="29">
        <v>4</v>
      </c>
      <c r="AG42" s="40" t="s">
        <v>373</v>
      </c>
      <c r="AH42" s="44">
        <v>0.75</v>
      </c>
      <c r="AI42" s="13">
        <v>1</v>
      </c>
      <c r="AJ42" s="304"/>
      <c r="AK42" s="45">
        <v>5.25</v>
      </c>
      <c r="AL42" s="23"/>
      <c r="AM42" s="138"/>
      <c r="AN42" s="25">
        <f t="shared" ca="1" si="22"/>
        <v>12</v>
      </c>
      <c r="AO42" s="50"/>
      <c r="AP42" s="53">
        <f t="shared" si="6"/>
        <v>2470</v>
      </c>
      <c r="AQ42" s="322"/>
      <c r="AR42" s="119">
        <v>761</v>
      </c>
      <c r="AS42" s="375">
        <f t="shared" si="7"/>
        <v>4961</v>
      </c>
      <c r="AT42" s="375">
        <v>4786</v>
      </c>
      <c r="AU42" s="344">
        <f t="shared" si="8"/>
        <v>0.10481757710139085</v>
      </c>
      <c r="AV42" s="18">
        <f>IF(F42="","",(SUM($AS$6:AS42)))</f>
        <v>197066.52</v>
      </c>
      <c r="AW42" s="18">
        <f>IF(AS42&lt;&gt;"", SUMIFS($AS$10:AS42, $BG$10:BG42, BG42), "")</f>
        <v>4961</v>
      </c>
      <c r="AX42" s="123"/>
      <c r="AY42" s="124" t="str">
        <f t="shared" ca="1" si="10"/>
        <v>LINK</v>
      </c>
      <c r="AZ42" t="s">
        <v>374</v>
      </c>
      <c r="BA42" s="125" t="s">
        <v>332</v>
      </c>
      <c r="BB42" t="str">
        <f t="shared" si="11"/>
        <v>25</v>
      </c>
      <c r="BC42" t="str">
        <f t="shared" si="12"/>
        <v>07</v>
      </c>
      <c r="BD42" t="str">
        <f t="shared" si="13"/>
        <v>01</v>
      </c>
      <c r="BE42" t="str">
        <f t="shared" si="14"/>
        <v>D</v>
      </c>
      <c r="BF42" t="str">
        <f t="shared" ref="BF42:BF59" si="30">CONCATENATE(BA42,BB42,BC42,0,BD42,BE42)</f>
        <v>https://www.coreplan.io/app/ddh1-drilling/speewah-mining-speewah-fluorite-project-wa/plods/1665-2507001D</v>
      </c>
      <c r="BG42" t="str">
        <f t="shared" si="15"/>
        <v>2025-07</v>
      </c>
    </row>
    <row r="43" spans="1:59">
      <c r="A43" s="510" t="str">
        <f>VLOOKUP(F43,'Tenement Lookup'!A:BH,60,FALSE)</f>
        <v>M 80/268</v>
      </c>
      <c r="B43" t="str">
        <f>VLOOKUP(F43,Purpose!$A$2:$B$334,2,FALSE)</f>
        <v>Met</v>
      </c>
      <c r="C43" s="152" t="s">
        <v>11</v>
      </c>
      <c r="D43" s="1">
        <f t="shared" si="21"/>
        <v>45839.71</v>
      </c>
      <c r="E43" t="s">
        <v>172</v>
      </c>
      <c r="F43" s="501" t="s">
        <v>343</v>
      </c>
      <c r="H43" s="4" t="s">
        <v>215</v>
      </c>
      <c r="I43" s="4">
        <v>3</v>
      </c>
      <c r="J43" s="122">
        <f t="shared" si="28"/>
        <v>390</v>
      </c>
      <c r="K43" s="21">
        <v>1.8</v>
      </c>
      <c r="L43" s="28">
        <v>20.2</v>
      </c>
      <c r="M43" s="22">
        <f t="shared" si="17"/>
        <v>18.399999999999999</v>
      </c>
      <c r="N43" s="30"/>
      <c r="O43" s="26"/>
      <c r="P43" s="31">
        <f t="shared" si="23"/>
        <v>0</v>
      </c>
      <c r="Q43" s="21"/>
      <c r="R43" s="28"/>
      <c r="S43" s="22">
        <f t="shared" si="25"/>
        <v>0</v>
      </c>
      <c r="T43" s="30"/>
      <c r="U43" s="26"/>
      <c r="V43" s="31">
        <f t="shared" si="24"/>
        <v>0</v>
      </c>
      <c r="W43" s="26">
        <f t="shared" si="18"/>
        <v>18.399999999999999</v>
      </c>
      <c r="X43" s="36">
        <f t="shared" si="29"/>
        <v>3219.9999999999995</v>
      </c>
      <c r="Y43" s="301">
        <f t="shared" si="27"/>
        <v>4140</v>
      </c>
      <c r="Z43" s="38"/>
      <c r="AA43" s="38"/>
      <c r="AB43" s="38"/>
      <c r="AC43" s="38"/>
      <c r="AD43" s="157">
        <f t="shared" si="19"/>
        <v>0</v>
      </c>
      <c r="AE43" s="29">
        <v>9</v>
      </c>
      <c r="AF43" s="29">
        <v>2.75</v>
      </c>
      <c r="AG43" s="40"/>
      <c r="AH43" s="44">
        <v>0.25</v>
      </c>
      <c r="AI43" s="13"/>
      <c r="AJ43" s="304"/>
      <c r="AK43" s="45"/>
      <c r="AL43" s="23"/>
      <c r="AM43" s="138"/>
      <c r="AN43" s="25">
        <f t="shared" ca="1" si="22"/>
        <v>12</v>
      </c>
      <c r="AO43" s="50"/>
      <c r="AP43" s="53">
        <f t="shared" si="6"/>
        <v>1355</v>
      </c>
      <c r="AQ43" s="322"/>
      <c r="AR43" s="119">
        <v>395</v>
      </c>
      <c r="AS43" s="375">
        <f t="shared" si="7"/>
        <v>6280</v>
      </c>
      <c r="AT43" s="375">
        <v>6280.85</v>
      </c>
      <c r="AU43" s="344">
        <f t="shared" si="8"/>
        <v>6.2101910828025478E-2</v>
      </c>
      <c r="AV43" s="18">
        <f>IF(F43="","",(SUM($AS$6:AS43)))</f>
        <v>203346.52</v>
      </c>
      <c r="AW43" s="18">
        <f>IF(AS43&lt;&gt;"", SUMIFS($AS$10:AS43, $BG$10:BG43, BG43), "")</f>
        <v>11241</v>
      </c>
      <c r="AX43" s="123">
        <f t="shared" ref="AX43:AX74" ca="1" si="31">IFERROR(IF(AND(D43&gt;TODAY(),ISBLANK(H43)),"",IF(ISBLANK(AE43),"no drilling completed",AS43/(W43))),"")</f>
        <v>341.304347826087</v>
      </c>
      <c r="AY43" s="124" t="str">
        <f t="shared" ca="1" si="10"/>
        <v>LINK</v>
      </c>
      <c r="AZ43" t="s">
        <v>375</v>
      </c>
      <c r="BA43" s="125" t="s">
        <v>332</v>
      </c>
      <c r="BB43" t="str">
        <f t="shared" si="11"/>
        <v>25</v>
      </c>
      <c r="BC43" t="str">
        <f t="shared" si="12"/>
        <v>07</v>
      </c>
      <c r="BD43" t="str">
        <f t="shared" si="13"/>
        <v>01</v>
      </c>
      <c r="BE43" t="str">
        <f t="shared" si="14"/>
        <v>N</v>
      </c>
      <c r="BF43" t="str">
        <f t="shared" si="30"/>
        <v>https://www.coreplan.io/app/ddh1-drilling/speewah-mining-speewah-fluorite-project-wa/plods/1665-2507001N</v>
      </c>
      <c r="BG43" t="str">
        <f t="shared" si="15"/>
        <v>2025-07</v>
      </c>
    </row>
    <row r="44" spans="1:59">
      <c r="A44" s="510" t="str">
        <f>VLOOKUP(F44,'Tenement Lookup'!A:BH,60,FALSE)</f>
        <v>M 80/268</v>
      </c>
      <c r="B44" t="str">
        <f>VLOOKUP(F44,Purpose!$A$2:$B$334,2,FALSE)</f>
        <v>Met</v>
      </c>
      <c r="C44" s="152" t="s">
        <v>11</v>
      </c>
      <c r="D44" s="1">
        <f t="shared" si="21"/>
        <v>45840.21</v>
      </c>
      <c r="E44" t="s">
        <v>171</v>
      </c>
      <c r="F44" s="501" t="s">
        <v>343</v>
      </c>
      <c r="H44" s="4" t="s">
        <v>360</v>
      </c>
      <c r="I44" s="4">
        <v>3</v>
      </c>
      <c r="J44" s="122">
        <f t="shared" si="28"/>
        <v>390</v>
      </c>
      <c r="K44" s="21">
        <v>20.2</v>
      </c>
      <c r="L44" s="28">
        <v>41.8</v>
      </c>
      <c r="M44" s="22">
        <f t="shared" si="17"/>
        <v>21.599999999999998</v>
      </c>
      <c r="N44" s="30"/>
      <c r="O44" s="26"/>
      <c r="P44" s="31">
        <f t="shared" si="23"/>
        <v>0</v>
      </c>
      <c r="Q44" s="21"/>
      <c r="R44" s="28"/>
      <c r="S44" s="22">
        <f t="shared" si="25"/>
        <v>0</v>
      </c>
      <c r="T44" s="30"/>
      <c r="U44" s="26"/>
      <c r="V44" s="31">
        <f t="shared" si="24"/>
        <v>0</v>
      </c>
      <c r="W44" s="26">
        <f t="shared" si="18"/>
        <v>21.599999999999998</v>
      </c>
      <c r="X44" s="36">
        <f t="shared" si="29"/>
        <v>3779.9999999999995</v>
      </c>
      <c r="Y44" s="301">
        <f t="shared" si="27"/>
        <v>4485</v>
      </c>
      <c r="Z44" s="38">
        <v>1</v>
      </c>
      <c r="AA44" s="38">
        <v>1</v>
      </c>
      <c r="AB44" s="38">
        <v>1</v>
      </c>
      <c r="AC44" s="38">
        <v>13122</v>
      </c>
      <c r="AD44" s="157">
        <f t="shared" si="19"/>
        <v>750</v>
      </c>
      <c r="AE44" s="29">
        <v>9.75</v>
      </c>
      <c r="AF44" s="29">
        <v>1.5</v>
      </c>
      <c r="AG44" s="40"/>
      <c r="AH44" s="44">
        <v>0.25</v>
      </c>
      <c r="AI44" s="13">
        <v>0.5</v>
      </c>
      <c r="AJ44" s="304"/>
      <c r="AK44" s="45"/>
      <c r="AL44" s="23"/>
      <c r="AM44" s="138"/>
      <c r="AN44" s="25">
        <f t="shared" ca="1" si="22"/>
        <v>12</v>
      </c>
      <c r="AO44" s="50"/>
      <c r="AP44" s="53">
        <f t="shared" si="6"/>
        <v>960</v>
      </c>
      <c r="AQ44" s="322"/>
      <c r="AR44" s="119">
        <v>0</v>
      </c>
      <c r="AS44" s="375">
        <f t="shared" si="7"/>
        <v>6585</v>
      </c>
      <c r="AT44" s="375">
        <v>6410</v>
      </c>
      <c r="AU44" s="344">
        <f t="shared" si="8"/>
        <v>5.9225512528473807E-2</v>
      </c>
      <c r="AV44" s="18">
        <f>IF(F44="","",(SUM($AS$6:AS44)))</f>
        <v>209931.51999999999</v>
      </c>
      <c r="AW44" s="18">
        <f>IF(AS44&lt;&gt;"", SUMIFS($AS$10:AS44, $BG$10:BG44, BG44), "")</f>
        <v>17826</v>
      </c>
      <c r="AX44" s="123">
        <f t="shared" ca="1" si="31"/>
        <v>304.86111111111114</v>
      </c>
      <c r="AY44" s="124" t="str">
        <f t="shared" ca="1" si="10"/>
        <v>LINK</v>
      </c>
      <c r="AZ44" t="s">
        <v>376</v>
      </c>
      <c r="BA44" s="125" t="s">
        <v>332</v>
      </c>
      <c r="BB44" t="str">
        <f t="shared" si="11"/>
        <v>25</v>
      </c>
      <c r="BC44" t="str">
        <f t="shared" si="12"/>
        <v>07</v>
      </c>
      <c r="BD44" t="str">
        <f t="shared" si="13"/>
        <v>02</v>
      </c>
      <c r="BE44" t="str">
        <f t="shared" si="14"/>
        <v>D</v>
      </c>
      <c r="BF44" t="str">
        <f t="shared" si="30"/>
        <v>https://www.coreplan.io/app/ddh1-drilling/speewah-mining-speewah-fluorite-project-wa/plods/1665-2507002D</v>
      </c>
      <c r="BG44" t="str">
        <f t="shared" si="15"/>
        <v>2025-07</v>
      </c>
    </row>
    <row r="45" spans="1:59">
      <c r="A45" s="510" t="str">
        <f>VLOOKUP(F45,'Tenement Lookup'!A:BH,60,FALSE)</f>
        <v>M 80/268</v>
      </c>
      <c r="B45" t="str">
        <f>VLOOKUP(F45,Purpose!$A$2:$B$334,2,FALSE)</f>
        <v>Met</v>
      </c>
      <c r="C45" s="152" t="s">
        <v>11</v>
      </c>
      <c r="D45" s="1">
        <f t="shared" si="21"/>
        <v>45840.71</v>
      </c>
      <c r="E45" t="s">
        <v>172</v>
      </c>
      <c r="F45" s="501" t="s">
        <v>343</v>
      </c>
      <c r="H45" s="4" t="s">
        <v>215</v>
      </c>
      <c r="I45" s="4">
        <v>3</v>
      </c>
      <c r="J45" s="122">
        <f t="shared" si="28"/>
        <v>390</v>
      </c>
      <c r="K45" s="21">
        <v>41.8</v>
      </c>
      <c r="L45" s="28">
        <v>50</v>
      </c>
      <c r="M45" s="22">
        <f t="shared" si="17"/>
        <v>8.2000000000000028</v>
      </c>
      <c r="N45" s="30">
        <v>50</v>
      </c>
      <c r="O45" s="26">
        <v>54.6</v>
      </c>
      <c r="P45" s="31">
        <f t="shared" si="23"/>
        <v>4.6000000000000014</v>
      </c>
      <c r="Q45" s="21">
        <v>0</v>
      </c>
      <c r="R45" s="28">
        <v>1.8</v>
      </c>
      <c r="S45" s="22">
        <f t="shared" si="25"/>
        <v>1.8</v>
      </c>
      <c r="T45" s="30"/>
      <c r="U45" s="26"/>
      <c r="V45" s="31">
        <f t="shared" si="24"/>
        <v>0</v>
      </c>
      <c r="W45" s="26">
        <f t="shared" si="18"/>
        <v>14.600000000000005</v>
      </c>
      <c r="X45" s="36">
        <f t="shared" si="29"/>
        <v>2371.0000000000009</v>
      </c>
      <c r="Y45" s="301">
        <f t="shared" si="27"/>
        <v>2875</v>
      </c>
      <c r="Z45" s="38"/>
      <c r="AA45" s="38"/>
      <c r="AB45" s="38"/>
      <c r="AC45" s="38"/>
      <c r="AD45" s="157">
        <f t="shared" si="19"/>
        <v>0</v>
      </c>
      <c r="AE45" s="29">
        <v>6.25</v>
      </c>
      <c r="AF45" s="29">
        <v>5.5</v>
      </c>
      <c r="AG45" s="40" t="s">
        <v>377</v>
      </c>
      <c r="AH45" s="44">
        <v>0.25</v>
      </c>
      <c r="AI45" s="13"/>
      <c r="AJ45" s="304"/>
      <c r="AK45" s="45"/>
      <c r="AL45" s="23"/>
      <c r="AM45" s="138"/>
      <c r="AN45" s="25">
        <f t="shared" ca="1" si="22"/>
        <v>12</v>
      </c>
      <c r="AO45" s="50"/>
      <c r="AP45" s="53">
        <f t="shared" si="6"/>
        <v>2620</v>
      </c>
      <c r="AQ45" s="322"/>
      <c r="AR45" s="119">
        <v>0</v>
      </c>
      <c r="AS45" s="375">
        <f t="shared" si="7"/>
        <v>5885</v>
      </c>
      <c r="AT45" s="375">
        <v>5885</v>
      </c>
      <c r="AU45" s="344">
        <f t="shared" si="8"/>
        <v>6.6270178419711126E-2</v>
      </c>
      <c r="AV45" s="18">
        <f>IF(F45="","",(SUM($AS$6:AS45)))</f>
        <v>215816.52</v>
      </c>
      <c r="AW45" s="18">
        <f>IF(AS45&lt;&gt;"", SUMIFS($AS$10:AS45, $BG$10:BG45, BG45), "")</f>
        <v>23711</v>
      </c>
      <c r="AX45" s="123">
        <f t="shared" ca="1" si="31"/>
        <v>403.0821917808218</v>
      </c>
      <c r="AY45" s="124" t="str">
        <f t="shared" ca="1" si="10"/>
        <v>LINK</v>
      </c>
      <c r="BA45" s="125" t="s">
        <v>332</v>
      </c>
      <c r="BB45" t="str">
        <f t="shared" si="11"/>
        <v>25</v>
      </c>
      <c r="BC45" t="str">
        <f t="shared" si="12"/>
        <v>07</v>
      </c>
      <c r="BD45" t="str">
        <f t="shared" si="13"/>
        <v>02</v>
      </c>
      <c r="BE45" t="str">
        <f t="shared" si="14"/>
        <v>N</v>
      </c>
      <c r="BF45" t="str">
        <f t="shared" si="30"/>
        <v>https://www.coreplan.io/app/ddh1-drilling/speewah-mining-speewah-fluorite-project-wa/plods/1665-2507002N</v>
      </c>
      <c r="BG45" t="str">
        <f t="shared" si="15"/>
        <v>2025-07</v>
      </c>
    </row>
    <row r="46" spans="1:59">
      <c r="A46" s="510" t="str">
        <f>VLOOKUP(F46,'Tenement Lookup'!A:BH,60,FALSE)</f>
        <v>M 80/268</v>
      </c>
      <c r="B46" t="str">
        <f>VLOOKUP(F46,Purpose!$A$2:$B$334,2,FALSE)</f>
        <v>Met</v>
      </c>
      <c r="C46" s="152" t="s">
        <v>11</v>
      </c>
      <c r="D46" s="1">
        <f t="shared" si="21"/>
        <v>45841.21</v>
      </c>
      <c r="E46" t="s">
        <v>171</v>
      </c>
      <c r="F46" s="501" t="s">
        <v>343</v>
      </c>
      <c r="G46" s="8" t="s">
        <v>347</v>
      </c>
      <c r="H46" s="4" t="s">
        <v>360</v>
      </c>
      <c r="I46" s="4">
        <v>3</v>
      </c>
      <c r="J46" s="122">
        <f t="shared" si="28"/>
        <v>390</v>
      </c>
      <c r="K46" s="21">
        <v>54.6</v>
      </c>
      <c r="L46" s="28">
        <v>60.2</v>
      </c>
      <c r="M46" s="22">
        <f t="shared" si="17"/>
        <v>5.6000000000000014</v>
      </c>
      <c r="N46" s="30"/>
      <c r="O46" s="26"/>
      <c r="P46" s="31">
        <f t="shared" si="23"/>
        <v>0</v>
      </c>
      <c r="Q46" s="21">
        <v>0</v>
      </c>
      <c r="R46" s="28">
        <v>0</v>
      </c>
      <c r="S46" s="22">
        <f t="shared" si="25"/>
        <v>0</v>
      </c>
      <c r="T46" s="30"/>
      <c r="U46" s="26"/>
      <c r="V46" s="31">
        <f t="shared" si="24"/>
        <v>0</v>
      </c>
      <c r="W46" s="26">
        <f t="shared" si="18"/>
        <v>5.6000000000000014</v>
      </c>
      <c r="X46" s="36">
        <f t="shared" si="29"/>
        <v>980.00000000000023</v>
      </c>
      <c r="Y46" s="301">
        <f t="shared" si="27"/>
        <v>1955</v>
      </c>
      <c r="Z46" s="38">
        <v>1</v>
      </c>
      <c r="AA46" s="38">
        <v>1</v>
      </c>
      <c r="AB46" s="38">
        <v>1</v>
      </c>
      <c r="AC46" s="38">
        <v>13122</v>
      </c>
      <c r="AD46" s="157">
        <f t="shared" si="19"/>
        <v>750</v>
      </c>
      <c r="AE46" s="29">
        <v>4.25</v>
      </c>
      <c r="AF46" s="29">
        <v>6.5</v>
      </c>
      <c r="AG46" s="40"/>
      <c r="AH46" s="44">
        <v>0.25</v>
      </c>
      <c r="AI46" s="13">
        <v>0.5</v>
      </c>
      <c r="AJ46" s="304" t="s">
        <v>378</v>
      </c>
      <c r="AK46" s="45"/>
      <c r="AL46" s="23">
        <v>0.5</v>
      </c>
      <c r="AM46" s="138"/>
      <c r="AN46" s="25">
        <f t="shared" ca="1" si="22"/>
        <v>12</v>
      </c>
      <c r="AO46" s="50"/>
      <c r="AP46" s="53">
        <f t="shared" si="6"/>
        <v>3260</v>
      </c>
      <c r="AQ46" s="322"/>
      <c r="AR46" s="119">
        <v>761</v>
      </c>
      <c r="AS46" s="375">
        <f t="shared" si="7"/>
        <v>7116</v>
      </c>
      <c r="AT46" s="375">
        <v>6941</v>
      </c>
      <c r="AU46" s="344">
        <f t="shared" si="8"/>
        <v>5.4806070826306917E-2</v>
      </c>
      <c r="AV46" s="18">
        <f>IF(F46="","",(SUM($AS$6:AS46)))</f>
        <v>222932.52</v>
      </c>
      <c r="AW46" s="18">
        <f>IF(AS46&lt;&gt;"", SUMIFS($AS$10:AS46, $BG$10:BG46, BG46), "")</f>
        <v>30827</v>
      </c>
      <c r="AX46" s="123">
        <f t="shared" ca="1" si="31"/>
        <v>1270.7142857142853</v>
      </c>
      <c r="AY46" s="124" t="str">
        <f t="shared" ca="1" si="10"/>
        <v>LINK</v>
      </c>
      <c r="BA46" s="125" t="s">
        <v>332</v>
      </c>
      <c r="BB46" t="str">
        <f t="shared" si="11"/>
        <v>25</v>
      </c>
      <c r="BC46" t="str">
        <f t="shared" si="12"/>
        <v>07</v>
      </c>
      <c r="BD46" t="str">
        <f t="shared" si="13"/>
        <v>03</v>
      </c>
      <c r="BE46" t="str">
        <f t="shared" si="14"/>
        <v>D</v>
      </c>
      <c r="BF46" t="str">
        <f t="shared" si="30"/>
        <v>https://www.coreplan.io/app/ddh1-drilling/speewah-mining-speewah-fluorite-project-wa/plods/1665-2507003D</v>
      </c>
      <c r="BG46" t="str">
        <f t="shared" si="15"/>
        <v>2025-07</v>
      </c>
    </row>
    <row r="47" spans="1:59">
      <c r="A47" s="510" t="str">
        <f>VLOOKUP(F47,'Tenement Lookup'!A:BH,60,FALSE)</f>
        <v>M 80/268</v>
      </c>
      <c r="B47" t="str">
        <f>VLOOKUP(F47,Purpose!$A$2:$B$334,2,FALSE)</f>
        <v>Met</v>
      </c>
      <c r="C47" s="152" t="s">
        <v>11</v>
      </c>
      <c r="D47" s="1">
        <f t="shared" si="21"/>
        <v>45841.71</v>
      </c>
      <c r="E47" t="s">
        <v>172</v>
      </c>
      <c r="F47" s="501" t="s">
        <v>347</v>
      </c>
      <c r="H47" s="4" t="s">
        <v>215</v>
      </c>
      <c r="I47" s="4">
        <v>3</v>
      </c>
      <c r="J47" s="122">
        <f t="shared" si="28"/>
        <v>390</v>
      </c>
      <c r="K47" s="21">
        <v>1.8</v>
      </c>
      <c r="L47" s="28">
        <v>10.199999999999999</v>
      </c>
      <c r="M47" s="22">
        <f t="shared" si="17"/>
        <v>8.3999999999999986</v>
      </c>
      <c r="N47" s="30"/>
      <c r="O47" s="26"/>
      <c r="P47" s="31">
        <f t="shared" si="23"/>
        <v>0</v>
      </c>
      <c r="Q47" s="21"/>
      <c r="R47" s="28"/>
      <c r="S47" s="22">
        <f t="shared" si="25"/>
        <v>0</v>
      </c>
      <c r="T47" s="30"/>
      <c r="U47" s="26"/>
      <c r="V47" s="31">
        <f t="shared" si="24"/>
        <v>0</v>
      </c>
      <c r="W47" s="26">
        <f t="shared" si="18"/>
        <v>8.3999999999999986</v>
      </c>
      <c r="X47" s="36">
        <f t="shared" si="29"/>
        <v>1469.9999999999998</v>
      </c>
      <c r="Y47" s="301">
        <f t="shared" si="27"/>
        <v>3680</v>
      </c>
      <c r="Z47" s="38"/>
      <c r="AA47" s="38"/>
      <c r="AB47" s="38"/>
      <c r="AC47" s="38"/>
      <c r="AD47" s="157">
        <f t="shared" si="19"/>
        <v>0</v>
      </c>
      <c r="AE47" s="29">
        <v>8</v>
      </c>
      <c r="AF47" s="29">
        <v>3</v>
      </c>
      <c r="AG47" s="40" t="s">
        <v>379</v>
      </c>
      <c r="AH47" s="44">
        <v>0.25</v>
      </c>
      <c r="AI47" s="13"/>
      <c r="AJ47" s="304"/>
      <c r="AK47" s="45"/>
      <c r="AL47" s="23">
        <v>0.75</v>
      </c>
      <c r="AM47" s="138"/>
      <c r="AN47" s="25">
        <f t="shared" ca="1" si="22"/>
        <v>12</v>
      </c>
      <c r="AO47" s="50"/>
      <c r="AP47" s="53">
        <f t="shared" si="6"/>
        <v>1470</v>
      </c>
      <c r="AQ47" s="322"/>
      <c r="AR47" s="119">
        <v>395</v>
      </c>
      <c r="AS47" s="375">
        <f t="shared" si="7"/>
        <v>5935</v>
      </c>
      <c r="AT47" s="375">
        <v>5935.85</v>
      </c>
      <c r="AU47" s="344">
        <f t="shared" si="8"/>
        <v>6.571187868576242E-2</v>
      </c>
      <c r="AV47" s="18">
        <f>IF(F47="","",(SUM($AS$6:AS47)))</f>
        <v>228867.52</v>
      </c>
      <c r="AW47" s="18">
        <f>IF(AS47&lt;&gt;"", SUMIFS($AS$10:AS47, $BG$10:BG47, BG47), "")</f>
        <v>36762</v>
      </c>
      <c r="AX47" s="123">
        <f t="shared" ca="1" si="31"/>
        <v>706.54761904761915</v>
      </c>
      <c r="AY47" s="124" t="str">
        <f t="shared" ca="1" si="10"/>
        <v>LINK</v>
      </c>
      <c r="AZ47" t="s">
        <v>380</v>
      </c>
      <c r="BA47" s="125" t="s">
        <v>332</v>
      </c>
      <c r="BB47" t="str">
        <f t="shared" si="11"/>
        <v>25</v>
      </c>
      <c r="BC47" t="str">
        <f t="shared" si="12"/>
        <v>07</v>
      </c>
      <c r="BD47" t="str">
        <f t="shared" si="13"/>
        <v>03</v>
      </c>
      <c r="BE47" t="str">
        <f t="shared" si="14"/>
        <v>N</v>
      </c>
      <c r="BF47" t="str">
        <f t="shared" si="30"/>
        <v>https://www.coreplan.io/app/ddh1-drilling/speewah-mining-speewah-fluorite-project-wa/plods/1665-2507003N</v>
      </c>
      <c r="BG47" t="str">
        <f t="shared" si="15"/>
        <v>2025-07</v>
      </c>
    </row>
    <row r="48" spans="1:59">
      <c r="A48" s="510" t="str">
        <f>VLOOKUP(F48,'Tenement Lookup'!A:BH,60,FALSE)</f>
        <v>M 80/268</v>
      </c>
      <c r="B48" t="str">
        <f>VLOOKUP(F48,Purpose!$A$2:$B$334,2,FALSE)</f>
        <v>Met</v>
      </c>
      <c r="C48" s="152" t="s">
        <v>11</v>
      </c>
      <c r="D48" s="1">
        <f t="shared" ref="D48:D111" si="32">D46+1</f>
        <v>45842.21</v>
      </c>
      <c r="E48" t="s">
        <v>171</v>
      </c>
      <c r="F48" s="501" t="s">
        <v>347</v>
      </c>
      <c r="H48" s="4" t="s">
        <v>360</v>
      </c>
      <c r="I48" s="4">
        <v>3</v>
      </c>
      <c r="J48" s="122">
        <f t="shared" si="28"/>
        <v>390</v>
      </c>
      <c r="K48" s="21">
        <v>10.199999999999999</v>
      </c>
      <c r="L48" s="28">
        <v>21.4</v>
      </c>
      <c r="M48" s="22">
        <f t="shared" si="17"/>
        <v>11.2</v>
      </c>
      <c r="N48" s="30"/>
      <c r="O48" s="26"/>
      <c r="P48" s="31">
        <f t="shared" si="23"/>
        <v>0</v>
      </c>
      <c r="Q48" s="21"/>
      <c r="R48" s="28"/>
      <c r="S48" s="22">
        <f t="shared" si="25"/>
        <v>0</v>
      </c>
      <c r="T48" s="30"/>
      <c r="U48" s="26"/>
      <c r="V48" s="31">
        <f t="shared" si="24"/>
        <v>0</v>
      </c>
      <c r="W48" s="26">
        <f t="shared" si="18"/>
        <v>11.2</v>
      </c>
      <c r="X48" s="36">
        <f t="shared" si="29"/>
        <v>1959.9999999999998</v>
      </c>
      <c r="Y48" s="301">
        <f t="shared" si="27"/>
        <v>4255</v>
      </c>
      <c r="Z48" s="38">
        <v>1</v>
      </c>
      <c r="AA48" s="38">
        <v>1</v>
      </c>
      <c r="AB48" s="38">
        <v>1</v>
      </c>
      <c r="AC48" s="38">
        <v>13122</v>
      </c>
      <c r="AD48" s="157">
        <f t="shared" si="19"/>
        <v>750</v>
      </c>
      <c r="AE48" s="29">
        <v>9.25</v>
      </c>
      <c r="AF48" s="29">
        <v>2.5</v>
      </c>
      <c r="AG48" s="40" t="s">
        <v>381</v>
      </c>
      <c r="AH48" s="44">
        <v>0.25</v>
      </c>
      <c r="AI48" s="13"/>
      <c r="AJ48" s="304"/>
      <c r="AK48" s="45"/>
      <c r="AL48" s="23"/>
      <c r="AM48" s="138"/>
      <c r="AN48" s="25">
        <f t="shared" ca="1" si="22"/>
        <v>12</v>
      </c>
      <c r="AO48" s="50"/>
      <c r="AP48" s="53">
        <f t="shared" si="6"/>
        <v>1240</v>
      </c>
      <c r="AQ48" s="322"/>
      <c r="AR48" s="119">
        <v>290.49</v>
      </c>
      <c r="AS48" s="375">
        <f t="shared" si="7"/>
        <v>6925.49</v>
      </c>
      <c r="AT48" s="375">
        <v>6750.49</v>
      </c>
      <c r="AU48" s="344">
        <f t="shared" si="8"/>
        <v>5.6313704878643969E-2</v>
      </c>
      <c r="AV48" s="18">
        <f>IF(F48="","",(SUM($AS$6:AS48)))</f>
        <v>235793.00999999998</v>
      </c>
      <c r="AW48" s="18">
        <f>IF(AS48&lt;&gt;"", SUMIFS($AS$10:AS48, $BG$10:BG48, BG48), "")</f>
        <v>43687.49</v>
      </c>
      <c r="AX48" s="123">
        <f t="shared" ca="1" si="31"/>
        <v>618.34732142857149</v>
      </c>
      <c r="AY48" s="124" t="str">
        <f t="shared" ca="1" si="10"/>
        <v>LINK</v>
      </c>
      <c r="AZ48" t="s">
        <v>382</v>
      </c>
      <c r="BA48" s="125" t="s">
        <v>332</v>
      </c>
      <c r="BB48" t="str">
        <f t="shared" si="11"/>
        <v>25</v>
      </c>
      <c r="BC48" t="str">
        <f t="shared" si="12"/>
        <v>07</v>
      </c>
      <c r="BD48" t="str">
        <f t="shared" si="13"/>
        <v>04</v>
      </c>
      <c r="BE48" t="str">
        <f t="shared" si="14"/>
        <v>D</v>
      </c>
      <c r="BF48" t="str">
        <f t="shared" si="30"/>
        <v>https://www.coreplan.io/app/ddh1-drilling/speewah-mining-speewah-fluorite-project-wa/plods/1665-2507004D</v>
      </c>
      <c r="BG48" t="str">
        <f t="shared" si="15"/>
        <v>2025-07</v>
      </c>
    </row>
    <row r="49" spans="1:59">
      <c r="A49" s="510" t="str">
        <f>VLOOKUP(F49,'Tenement Lookup'!A:BH,60,FALSE)</f>
        <v>M 80/268</v>
      </c>
      <c r="B49" t="str">
        <f>VLOOKUP(F49,Purpose!$A$2:$B$334,2,FALSE)</f>
        <v>Met</v>
      </c>
      <c r="C49" s="152" t="s">
        <v>11</v>
      </c>
      <c r="D49" s="1">
        <f t="shared" si="32"/>
        <v>45842.71</v>
      </c>
      <c r="E49" t="s">
        <v>172</v>
      </c>
      <c r="F49" s="501" t="s">
        <v>347</v>
      </c>
      <c r="H49" s="4" t="s">
        <v>215</v>
      </c>
      <c r="I49" s="4">
        <v>3</v>
      </c>
      <c r="J49" s="122">
        <f t="shared" si="28"/>
        <v>390</v>
      </c>
      <c r="K49" s="21">
        <v>21.4</v>
      </c>
      <c r="L49" s="28">
        <v>40.6</v>
      </c>
      <c r="M49" s="22">
        <f t="shared" si="17"/>
        <v>19.200000000000003</v>
      </c>
      <c r="N49" s="30"/>
      <c r="O49" s="26"/>
      <c r="P49" s="31">
        <f t="shared" si="23"/>
        <v>0</v>
      </c>
      <c r="Q49" s="21"/>
      <c r="R49" s="28"/>
      <c r="S49" s="22">
        <f t="shared" si="25"/>
        <v>0</v>
      </c>
      <c r="T49" s="30"/>
      <c r="U49" s="26"/>
      <c r="V49" s="31">
        <f t="shared" si="24"/>
        <v>0</v>
      </c>
      <c r="W49" s="26">
        <f t="shared" si="18"/>
        <v>19.200000000000003</v>
      </c>
      <c r="X49" s="36">
        <f t="shared" si="29"/>
        <v>3360.0000000000005</v>
      </c>
      <c r="Y49" s="301">
        <f t="shared" si="27"/>
        <v>3910</v>
      </c>
      <c r="Z49" s="38"/>
      <c r="AA49" s="38"/>
      <c r="AB49" s="38"/>
      <c r="AC49" s="38"/>
      <c r="AD49" s="157">
        <f t="shared" si="19"/>
        <v>0</v>
      </c>
      <c r="AE49" s="29">
        <v>8.5</v>
      </c>
      <c r="AF49" s="29">
        <v>2.25</v>
      </c>
      <c r="AG49" s="40"/>
      <c r="AH49" s="44">
        <v>1.25</v>
      </c>
      <c r="AI49" s="13"/>
      <c r="AJ49" s="304" t="s">
        <v>383</v>
      </c>
      <c r="AK49" s="45"/>
      <c r="AL49" s="23"/>
      <c r="AM49" s="138"/>
      <c r="AN49" s="25">
        <f t="shared" ca="1" si="22"/>
        <v>12</v>
      </c>
      <c r="AO49" s="50"/>
      <c r="AP49" s="53">
        <f t="shared" si="6"/>
        <v>1485</v>
      </c>
      <c r="AQ49" s="322"/>
      <c r="AR49" s="119">
        <v>117.93</v>
      </c>
      <c r="AS49" s="375">
        <f t="shared" si="7"/>
        <v>5902.93</v>
      </c>
      <c r="AT49" s="375">
        <v>5902.93</v>
      </c>
      <c r="AU49" s="344">
        <f t="shared" si="8"/>
        <v>6.6068884435356676E-2</v>
      </c>
      <c r="AV49" s="18">
        <f>IF(F49="","",(SUM($AS$6:AS49)))</f>
        <v>241695.93999999997</v>
      </c>
      <c r="AW49" s="18">
        <f>IF(AS49&lt;&gt;"", SUMIFS($AS$10:AS49, $BG$10:BG49, BG49), "")</f>
        <v>49590.42</v>
      </c>
      <c r="AX49" s="123">
        <f t="shared" ca="1" si="31"/>
        <v>307.44427083333329</v>
      </c>
      <c r="AY49" s="124" t="str">
        <f t="shared" ca="1" si="10"/>
        <v>LINK</v>
      </c>
      <c r="BA49" s="125" t="s">
        <v>332</v>
      </c>
      <c r="BB49" t="str">
        <f t="shared" si="11"/>
        <v>25</v>
      </c>
      <c r="BC49" t="str">
        <f t="shared" si="12"/>
        <v>07</v>
      </c>
      <c r="BD49" t="str">
        <f t="shared" si="13"/>
        <v>04</v>
      </c>
      <c r="BE49" t="str">
        <f t="shared" si="14"/>
        <v>N</v>
      </c>
      <c r="BF49" t="str">
        <f t="shared" si="30"/>
        <v>https://www.coreplan.io/app/ddh1-drilling/speewah-mining-speewah-fluorite-project-wa/plods/1665-2507004N</v>
      </c>
      <c r="BG49" t="str">
        <f t="shared" si="15"/>
        <v>2025-07</v>
      </c>
    </row>
    <row r="50" spans="1:59">
      <c r="A50" s="510" t="str">
        <f>VLOOKUP(F50,'Tenement Lookup'!A:BH,60,FALSE)</f>
        <v>M 80/268</v>
      </c>
      <c r="B50" t="str">
        <f>VLOOKUP(F50,Purpose!$A$2:$B$334,2,FALSE)</f>
        <v>Met</v>
      </c>
      <c r="C50" s="152" t="s">
        <v>11</v>
      </c>
      <c r="D50" s="1">
        <f t="shared" si="32"/>
        <v>45843.21</v>
      </c>
      <c r="E50" t="s">
        <v>171</v>
      </c>
      <c r="F50" s="501" t="s">
        <v>347</v>
      </c>
      <c r="H50" s="4" t="s">
        <v>360</v>
      </c>
      <c r="I50" s="4">
        <v>3</v>
      </c>
      <c r="J50" s="122">
        <f t="shared" ref="J50:J102" si="33">IF(ISBLANK(I50),"",I50*$J$2)</f>
        <v>390</v>
      </c>
      <c r="K50" s="21">
        <v>40.6</v>
      </c>
      <c r="L50" s="28">
        <v>63.9</v>
      </c>
      <c r="M50" s="22">
        <f t="shared" si="17"/>
        <v>23.299999999999997</v>
      </c>
      <c r="N50" s="30"/>
      <c r="O50" s="26"/>
      <c r="P50" s="31">
        <f t="shared" si="23"/>
        <v>0</v>
      </c>
      <c r="Q50" s="21"/>
      <c r="R50" s="28"/>
      <c r="S50" s="22">
        <f t="shared" si="25"/>
        <v>0</v>
      </c>
      <c r="T50" s="30"/>
      <c r="U50" s="26"/>
      <c r="V50" s="31">
        <f t="shared" si="24"/>
        <v>0</v>
      </c>
      <c r="W50" s="26">
        <f t="shared" si="18"/>
        <v>23.299999999999997</v>
      </c>
      <c r="X50" s="36">
        <f t="shared" ref="X50:X103" si="34">IFERROR((M50*$M$2)+(P50*$P$2)+(S50*$S$2)+(V50*$V$2),"")</f>
        <v>4077.4999999999995</v>
      </c>
      <c r="Y50" s="301">
        <f t="shared" si="27"/>
        <v>4485</v>
      </c>
      <c r="Z50" s="38">
        <v>1</v>
      </c>
      <c r="AA50" s="38">
        <v>1</v>
      </c>
      <c r="AB50" s="38">
        <v>1</v>
      </c>
      <c r="AC50" s="38">
        <v>13122</v>
      </c>
      <c r="AD50" s="157">
        <f t="shared" si="19"/>
        <v>750</v>
      </c>
      <c r="AE50" s="29">
        <v>9.75</v>
      </c>
      <c r="AF50" s="29">
        <v>2</v>
      </c>
      <c r="AG50" s="40" t="s">
        <v>384</v>
      </c>
      <c r="AH50" s="44">
        <v>0.25</v>
      </c>
      <c r="AI50" s="13"/>
      <c r="AJ50" s="304"/>
      <c r="AK50" s="45"/>
      <c r="AL50" s="23"/>
      <c r="AM50" s="138"/>
      <c r="AN50" s="25">
        <f t="shared" ca="1" si="22"/>
        <v>12</v>
      </c>
      <c r="AO50" s="50"/>
      <c r="AP50" s="53">
        <f t="shared" si="6"/>
        <v>1010</v>
      </c>
      <c r="AQ50" s="322"/>
      <c r="AR50" s="119">
        <v>117.93</v>
      </c>
      <c r="AS50" s="375">
        <f t="shared" si="7"/>
        <v>6752.93</v>
      </c>
      <c r="AT50" s="375">
        <v>6577.93</v>
      </c>
      <c r="AU50" s="344">
        <f t="shared" si="8"/>
        <v>5.7752708824169656E-2</v>
      </c>
      <c r="AV50" s="18">
        <f>IF(F50="","",(SUM($AS$6:AS50)))</f>
        <v>248448.86999999997</v>
      </c>
      <c r="AW50" s="18">
        <f>IF(AS50&lt;&gt;"", SUMIFS($AS$10:AS50, $BG$10:BG50, BG50), "")</f>
        <v>56343.35</v>
      </c>
      <c r="AX50" s="123">
        <f t="shared" ca="1" si="31"/>
        <v>289.82532188841208</v>
      </c>
      <c r="AY50" s="124" t="str">
        <f t="shared" ca="1" si="10"/>
        <v>LINK</v>
      </c>
      <c r="AZ50" s="10" t="s">
        <v>385</v>
      </c>
      <c r="BA50" s="125" t="s">
        <v>332</v>
      </c>
      <c r="BB50" t="str">
        <f t="shared" si="11"/>
        <v>25</v>
      </c>
      <c r="BC50" t="str">
        <f t="shared" si="12"/>
        <v>07</v>
      </c>
      <c r="BD50" t="str">
        <f t="shared" si="13"/>
        <v>05</v>
      </c>
      <c r="BE50" t="str">
        <f t="shared" si="14"/>
        <v>D</v>
      </c>
      <c r="BF50" t="str">
        <f t="shared" si="30"/>
        <v>https://www.coreplan.io/app/ddh1-drilling/speewah-mining-speewah-fluorite-project-wa/plods/1665-2507005D</v>
      </c>
      <c r="BG50" t="str">
        <f t="shared" si="15"/>
        <v>2025-07</v>
      </c>
    </row>
    <row r="51" spans="1:59">
      <c r="A51" s="510" t="str">
        <f>VLOOKUP(F51,'Tenement Lookup'!A:BH,60,FALSE)</f>
        <v>M 80/268</v>
      </c>
      <c r="B51" t="str">
        <f>VLOOKUP(F51,Purpose!$A$2:$B$334,2,FALSE)</f>
        <v>Met</v>
      </c>
      <c r="C51" s="152" t="s">
        <v>11</v>
      </c>
      <c r="D51" s="1">
        <f t="shared" si="32"/>
        <v>45843.71</v>
      </c>
      <c r="E51" t="s">
        <v>172</v>
      </c>
      <c r="F51" s="501" t="s">
        <v>347</v>
      </c>
      <c r="H51" s="4" t="s">
        <v>215</v>
      </c>
      <c r="I51" s="4">
        <v>3</v>
      </c>
      <c r="J51" s="122">
        <f t="shared" si="33"/>
        <v>390</v>
      </c>
      <c r="K51" s="21">
        <v>63.9</v>
      </c>
      <c r="L51" s="28">
        <v>79.099999999999994</v>
      </c>
      <c r="M51" s="22">
        <f t="shared" si="17"/>
        <v>15.199999999999996</v>
      </c>
      <c r="N51" s="30"/>
      <c r="O51" s="26"/>
      <c r="P51" s="31">
        <f t="shared" si="23"/>
        <v>0</v>
      </c>
      <c r="Q51" s="21"/>
      <c r="R51" s="28"/>
      <c r="S51" s="22">
        <f t="shared" si="25"/>
        <v>0</v>
      </c>
      <c r="T51" s="30"/>
      <c r="U51" s="26"/>
      <c r="V51" s="31">
        <f t="shared" si="24"/>
        <v>0</v>
      </c>
      <c r="W51" s="26">
        <f t="shared" si="18"/>
        <v>15.199999999999996</v>
      </c>
      <c r="X51" s="36">
        <f t="shared" si="34"/>
        <v>2659.9999999999991</v>
      </c>
      <c r="Y51" s="301">
        <f t="shared" si="27"/>
        <v>4025</v>
      </c>
      <c r="Z51" s="38"/>
      <c r="AA51" s="38"/>
      <c r="AB51" s="38"/>
      <c r="AC51" s="38"/>
      <c r="AD51" s="157">
        <f t="shared" si="19"/>
        <v>0</v>
      </c>
      <c r="AE51" s="29">
        <v>8.75</v>
      </c>
      <c r="AF51" s="29">
        <v>2.5</v>
      </c>
      <c r="AG51" s="40" t="s">
        <v>386</v>
      </c>
      <c r="AH51" s="44">
        <v>0.25</v>
      </c>
      <c r="AI51" s="13"/>
      <c r="AJ51" s="304"/>
      <c r="AK51" s="45"/>
      <c r="AL51" s="23">
        <v>0.5</v>
      </c>
      <c r="AM51" s="138"/>
      <c r="AN51" s="25">
        <f t="shared" ca="1" si="22"/>
        <v>12</v>
      </c>
      <c r="AO51" s="50"/>
      <c r="AP51" s="53">
        <f t="shared" si="6"/>
        <v>1240</v>
      </c>
      <c r="AQ51" s="322"/>
      <c r="AR51" s="119">
        <v>117.93</v>
      </c>
      <c r="AS51" s="375">
        <f t="shared" si="7"/>
        <v>5772.93</v>
      </c>
      <c r="AT51" s="375">
        <v>5772.93</v>
      </c>
      <c r="AU51" s="344">
        <f t="shared" si="8"/>
        <v>6.7556682655081565E-2</v>
      </c>
      <c r="AV51" s="18">
        <f>IF(F51="","",(SUM($AS$6:AS51)))</f>
        <v>254221.79999999996</v>
      </c>
      <c r="AW51" s="18">
        <f>IF(AS51&lt;&gt;"", SUMIFS($AS$10:AS51, $BG$10:BG51, BG51), "")</f>
        <v>62116.28</v>
      </c>
      <c r="AX51" s="123">
        <f t="shared" ca="1" si="31"/>
        <v>379.79802631578963</v>
      </c>
      <c r="AY51" s="124" t="str">
        <f t="shared" ca="1" si="10"/>
        <v>LINK</v>
      </c>
      <c r="AZ51" s="10" t="s">
        <v>387</v>
      </c>
      <c r="BA51" s="125" t="s">
        <v>332</v>
      </c>
      <c r="BB51" t="str">
        <f t="shared" si="11"/>
        <v>25</v>
      </c>
      <c r="BC51" t="str">
        <f t="shared" si="12"/>
        <v>07</v>
      </c>
      <c r="BD51" t="str">
        <f t="shared" si="13"/>
        <v>05</v>
      </c>
      <c r="BE51" t="str">
        <f t="shared" si="14"/>
        <v>N</v>
      </c>
      <c r="BF51" t="str">
        <f t="shared" si="30"/>
        <v>https://www.coreplan.io/app/ddh1-drilling/speewah-mining-speewah-fluorite-project-wa/plods/1665-2507005N</v>
      </c>
      <c r="BG51" t="str">
        <f t="shared" si="15"/>
        <v>2025-07</v>
      </c>
    </row>
    <row r="52" spans="1:59">
      <c r="A52" s="510" t="str">
        <f>VLOOKUP(F52,'Tenement Lookup'!A:BH,60,FALSE)</f>
        <v>M 80/268</v>
      </c>
      <c r="B52" t="str">
        <f>VLOOKUP(F52,Purpose!$A$2:$B$334,2,FALSE)</f>
        <v>Met</v>
      </c>
      <c r="C52" s="152" t="s">
        <v>11</v>
      </c>
      <c r="D52" s="1">
        <f t="shared" si="32"/>
        <v>45844.21</v>
      </c>
      <c r="E52" t="s">
        <v>171</v>
      </c>
      <c r="F52" s="501" t="s">
        <v>347</v>
      </c>
      <c r="H52" s="4" t="s">
        <v>360</v>
      </c>
      <c r="I52" s="4">
        <v>3</v>
      </c>
      <c r="J52" s="122">
        <f t="shared" si="33"/>
        <v>390</v>
      </c>
      <c r="K52" s="21">
        <v>79.099999999999994</v>
      </c>
      <c r="L52" s="28">
        <v>97</v>
      </c>
      <c r="M52" s="22">
        <f t="shared" si="17"/>
        <v>17.900000000000006</v>
      </c>
      <c r="N52" s="30"/>
      <c r="O52" s="26"/>
      <c r="P52" s="31">
        <f t="shared" si="23"/>
        <v>0</v>
      </c>
      <c r="Q52" s="21"/>
      <c r="R52" s="28"/>
      <c r="S52" s="22">
        <f t="shared" si="25"/>
        <v>0</v>
      </c>
      <c r="T52" s="30"/>
      <c r="U52" s="26"/>
      <c r="V52" s="31">
        <f t="shared" si="24"/>
        <v>0</v>
      </c>
      <c r="W52" s="26">
        <f t="shared" si="18"/>
        <v>17.900000000000006</v>
      </c>
      <c r="X52" s="36">
        <f t="shared" si="34"/>
        <v>3132.5000000000009</v>
      </c>
      <c r="Y52" s="301">
        <f t="shared" si="27"/>
        <v>4600</v>
      </c>
      <c r="Z52" s="38">
        <v>1</v>
      </c>
      <c r="AA52" s="38">
        <v>1</v>
      </c>
      <c r="AB52" s="38">
        <v>1</v>
      </c>
      <c r="AC52" s="38">
        <v>13122</v>
      </c>
      <c r="AD52" s="157">
        <f t="shared" si="19"/>
        <v>750</v>
      </c>
      <c r="AE52" s="29">
        <v>10</v>
      </c>
      <c r="AF52" s="29">
        <v>1.25</v>
      </c>
      <c r="AG52" s="40"/>
      <c r="AH52" s="44">
        <v>0.25</v>
      </c>
      <c r="AI52" s="13"/>
      <c r="AJ52" s="304"/>
      <c r="AK52" s="45">
        <v>0.5</v>
      </c>
      <c r="AL52" s="23"/>
      <c r="AM52" s="138"/>
      <c r="AN52" s="25">
        <f t="shared" ca="1" si="22"/>
        <v>12</v>
      </c>
      <c r="AO52" s="50"/>
      <c r="AP52" s="53">
        <f t="shared" si="6"/>
        <v>665</v>
      </c>
      <c r="AQ52" s="322"/>
      <c r="AR52" s="119">
        <v>878.93</v>
      </c>
      <c r="AS52" s="375">
        <f t="shared" si="7"/>
        <v>7283.93</v>
      </c>
      <c r="AT52" s="375">
        <v>7108.93</v>
      </c>
      <c r="AU52" s="344">
        <f t="shared" si="8"/>
        <v>5.3542524433925091E-2</v>
      </c>
      <c r="AV52" s="18">
        <f>IF(F52="","",(SUM($AS$6:AS52)))</f>
        <v>261505.72999999995</v>
      </c>
      <c r="AW52" s="18">
        <f>IF(AS52&lt;&gt;"", SUMIFS($AS$10:AS52, $BG$10:BG52, BG52), "")</f>
        <v>69400.209999999992</v>
      </c>
      <c r="AX52" s="123">
        <f t="shared" ca="1" si="31"/>
        <v>406.92346368715073</v>
      </c>
      <c r="AY52" s="124" t="str">
        <f t="shared" ca="1" si="10"/>
        <v>LINK</v>
      </c>
      <c r="AZ52" s="10" t="s">
        <v>388</v>
      </c>
      <c r="BA52" s="125" t="s">
        <v>332</v>
      </c>
      <c r="BB52" t="str">
        <f t="shared" si="11"/>
        <v>25</v>
      </c>
      <c r="BC52" t="str">
        <f t="shared" si="12"/>
        <v>07</v>
      </c>
      <c r="BD52" t="str">
        <f t="shared" si="13"/>
        <v>06</v>
      </c>
      <c r="BE52" t="str">
        <f t="shared" si="14"/>
        <v>D</v>
      </c>
      <c r="BF52" t="str">
        <f t="shared" si="30"/>
        <v>https://www.coreplan.io/app/ddh1-drilling/speewah-mining-speewah-fluorite-project-wa/plods/1665-2507006D</v>
      </c>
      <c r="BG52" t="str">
        <f t="shared" si="15"/>
        <v>2025-07</v>
      </c>
    </row>
    <row r="53" spans="1:59">
      <c r="A53" s="510" t="str">
        <f>VLOOKUP(F53,'Tenement Lookup'!A:BH,60,FALSE)</f>
        <v>M 80/268</v>
      </c>
      <c r="B53" t="str">
        <f>VLOOKUP(F53,Purpose!$A$2:$B$334,2,FALSE)</f>
        <v>Met</v>
      </c>
      <c r="C53" s="152" t="s">
        <v>11</v>
      </c>
      <c r="D53" s="1">
        <f t="shared" si="32"/>
        <v>45844.71</v>
      </c>
      <c r="E53" t="s">
        <v>172</v>
      </c>
      <c r="F53" s="501" t="s">
        <v>347</v>
      </c>
      <c r="H53" s="4" t="s">
        <v>215</v>
      </c>
      <c r="I53" s="4">
        <v>3</v>
      </c>
      <c r="J53" s="122">
        <f t="shared" si="33"/>
        <v>390</v>
      </c>
      <c r="K53" s="21">
        <v>97</v>
      </c>
      <c r="L53" s="28">
        <v>105.3</v>
      </c>
      <c r="M53" s="22">
        <f t="shared" si="17"/>
        <v>8.2999999999999972</v>
      </c>
      <c r="N53" s="30"/>
      <c r="O53" s="26"/>
      <c r="P53" s="31">
        <f t="shared" si="23"/>
        <v>0</v>
      </c>
      <c r="Q53" s="21"/>
      <c r="R53" s="28"/>
      <c r="S53" s="22">
        <f t="shared" si="25"/>
        <v>0</v>
      </c>
      <c r="T53" s="30"/>
      <c r="U53" s="26"/>
      <c r="V53" s="31">
        <f t="shared" si="24"/>
        <v>0</v>
      </c>
      <c r="W53" s="26">
        <f t="shared" si="18"/>
        <v>8.2999999999999972</v>
      </c>
      <c r="X53" s="36">
        <f t="shared" si="34"/>
        <v>1452.4999999999995</v>
      </c>
      <c r="Y53" s="301">
        <f t="shared" si="27"/>
        <v>2070</v>
      </c>
      <c r="Z53" s="38"/>
      <c r="AA53" s="38"/>
      <c r="AB53" s="38"/>
      <c r="AC53" s="38"/>
      <c r="AD53" s="157">
        <f t="shared" si="19"/>
        <v>0</v>
      </c>
      <c r="AE53" s="29">
        <v>4.5</v>
      </c>
      <c r="AF53" s="29">
        <v>3.75</v>
      </c>
      <c r="AG53" s="40"/>
      <c r="AH53" s="44">
        <v>0.25</v>
      </c>
      <c r="AI53" s="13">
        <v>3</v>
      </c>
      <c r="AJ53" s="304"/>
      <c r="AK53" s="45">
        <v>0.5</v>
      </c>
      <c r="AL53" s="23"/>
      <c r="AM53" s="138"/>
      <c r="AN53" s="25">
        <f t="shared" ca="1" si="22"/>
        <v>12</v>
      </c>
      <c r="AO53" s="50"/>
      <c r="AP53" s="53">
        <f t="shared" si="6"/>
        <v>2895</v>
      </c>
      <c r="AQ53" s="322"/>
      <c r="AR53" s="119">
        <v>117.93</v>
      </c>
      <c r="AS53" s="375">
        <f t="shared" si="7"/>
        <v>5472.93</v>
      </c>
      <c r="AT53" s="375">
        <v>5472.93</v>
      </c>
      <c r="AU53" s="344">
        <f t="shared" si="8"/>
        <v>7.1259818780799317E-2</v>
      </c>
      <c r="AV53" s="18">
        <f>IF(F53="","",(SUM($AS$6:AS53)))</f>
        <v>266978.65999999997</v>
      </c>
      <c r="AW53" s="18">
        <f>IF(AS53&lt;&gt;"", SUMIFS($AS$10:AS53, $BG$10:BG53, BG53), "")</f>
        <v>74873.139999999985</v>
      </c>
      <c r="AX53" s="123">
        <f t="shared" ca="1" si="31"/>
        <v>659.38915662650629</v>
      </c>
      <c r="AY53" s="124" t="str">
        <f t="shared" ca="1" si="10"/>
        <v>LINK</v>
      </c>
      <c r="AZ53" s="10" t="s">
        <v>389</v>
      </c>
      <c r="BA53" s="125" t="s">
        <v>332</v>
      </c>
      <c r="BB53" t="str">
        <f t="shared" si="11"/>
        <v>25</v>
      </c>
      <c r="BC53" t="str">
        <f t="shared" si="12"/>
        <v>07</v>
      </c>
      <c r="BD53" t="str">
        <f t="shared" si="13"/>
        <v>06</v>
      </c>
      <c r="BE53" t="str">
        <f t="shared" si="14"/>
        <v>N</v>
      </c>
      <c r="BF53" t="str">
        <f t="shared" si="30"/>
        <v>https://www.coreplan.io/app/ddh1-drilling/speewah-mining-speewah-fluorite-project-wa/plods/1665-2507006N</v>
      </c>
      <c r="BG53" t="str">
        <f t="shared" si="15"/>
        <v>2025-07</v>
      </c>
    </row>
    <row r="54" spans="1:59">
      <c r="A54" s="510" t="str">
        <f>VLOOKUP(F54,'Tenement Lookup'!A:BH,60,FALSE)</f>
        <v>M 80/268</v>
      </c>
      <c r="B54" t="str">
        <f>VLOOKUP(F54,Purpose!$A$2:$B$334,2,FALSE)</f>
        <v>Met</v>
      </c>
      <c r="C54" s="152" t="s">
        <v>11</v>
      </c>
      <c r="D54" s="1">
        <f t="shared" si="32"/>
        <v>45845.21</v>
      </c>
      <c r="E54" t="s">
        <v>171</v>
      </c>
      <c r="F54" s="501" t="s">
        <v>347</v>
      </c>
      <c r="G54" s="8" t="s">
        <v>390</v>
      </c>
      <c r="H54" s="4" t="s">
        <v>360</v>
      </c>
      <c r="I54" s="4">
        <v>3</v>
      </c>
      <c r="J54" s="122">
        <f t="shared" si="33"/>
        <v>390</v>
      </c>
      <c r="K54" s="21">
        <v>105.3</v>
      </c>
      <c r="L54" s="28">
        <v>105.3</v>
      </c>
      <c r="M54" s="22">
        <f t="shared" si="17"/>
        <v>0</v>
      </c>
      <c r="N54" s="30"/>
      <c r="O54" s="26"/>
      <c r="P54" s="31">
        <f t="shared" si="23"/>
        <v>0</v>
      </c>
      <c r="Q54" s="21">
        <v>0</v>
      </c>
      <c r="R54" s="28">
        <v>10.4</v>
      </c>
      <c r="S54" s="22">
        <f t="shared" si="25"/>
        <v>10.4</v>
      </c>
      <c r="T54" s="30"/>
      <c r="U54" s="26"/>
      <c r="V54" s="31">
        <f t="shared" si="24"/>
        <v>0</v>
      </c>
      <c r="W54" s="26">
        <f t="shared" si="18"/>
        <v>10.4</v>
      </c>
      <c r="X54" s="36">
        <f t="shared" si="34"/>
        <v>1820</v>
      </c>
      <c r="Y54" s="301">
        <f t="shared" si="27"/>
        <v>2185</v>
      </c>
      <c r="Z54" s="38">
        <v>1</v>
      </c>
      <c r="AA54" s="38">
        <v>1</v>
      </c>
      <c r="AB54" s="38">
        <v>1</v>
      </c>
      <c r="AC54" s="38">
        <v>13122</v>
      </c>
      <c r="AD54" s="157">
        <f t="shared" si="19"/>
        <v>750</v>
      </c>
      <c r="AE54" s="29">
        <v>4.75</v>
      </c>
      <c r="AF54" s="29">
        <v>5.5</v>
      </c>
      <c r="AG54" s="40" t="s">
        <v>391</v>
      </c>
      <c r="AH54" s="44">
        <v>0.75</v>
      </c>
      <c r="AI54" s="13">
        <v>1</v>
      </c>
      <c r="AJ54" s="304"/>
      <c r="AK54" s="45"/>
      <c r="AL54" s="23"/>
      <c r="AM54" s="138"/>
      <c r="AN54" s="25">
        <f t="shared" ca="1" si="22"/>
        <v>12</v>
      </c>
      <c r="AO54" s="50"/>
      <c r="AP54" s="53">
        <f t="shared" si="6"/>
        <v>3160</v>
      </c>
      <c r="AQ54" s="322"/>
      <c r="AR54" s="119">
        <v>422.05</v>
      </c>
      <c r="AS54" s="375">
        <f t="shared" si="7"/>
        <v>6907.05</v>
      </c>
      <c r="AT54" s="375">
        <v>6732.05</v>
      </c>
      <c r="AU54" s="344">
        <f t="shared" si="8"/>
        <v>5.6464047603535517E-2</v>
      </c>
      <c r="AV54" s="18">
        <f>IF(F54="","",(SUM($AS$6:AS54)))</f>
        <v>273885.70999999996</v>
      </c>
      <c r="AW54" s="18">
        <f>IF(AS54&lt;&gt;"", SUMIFS($AS$10:AS54, $BG$10:BG54, BG54), "")</f>
        <v>81780.189999999988</v>
      </c>
      <c r="AX54" s="123">
        <f t="shared" ca="1" si="31"/>
        <v>664.13942307692309</v>
      </c>
      <c r="AY54" s="124" t="str">
        <f t="shared" ca="1" si="10"/>
        <v>LINK</v>
      </c>
      <c r="BA54" s="125" t="s">
        <v>332</v>
      </c>
      <c r="BB54" t="str">
        <f t="shared" si="11"/>
        <v>25</v>
      </c>
      <c r="BC54" t="str">
        <f t="shared" si="12"/>
        <v>07</v>
      </c>
      <c r="BD54" t="str">
        <f t="shared" si="13"/>
        <v>07</v>
      </c>
      <c r="BE54" t="str">
        <f t="shared" si="14"/>
        <v>D</v>
      </c>
      <c r="BF54" t="str">
        <f t="shared" si="30"/>
        <v>https://www.coreplan.io/app/ddh1-drilling/speewah-mining-speewah-fluorite-project-wa/plods/1665-2507007D</v>
      </c>
      <c r="BG54" t="str">
        <f t="shared" si="15"/>
        <v>2025-07</v>
      </c>
    </row>
    <row r="55" spans="1:59">
      <c r="A55" s="510" t="str">
        <f>VLOOKUP(F55,'Tenement Lookup'!A:BH,60,FALSE)</f>
        <v>M 80/269</v>
      </c>
      <c r="B55" t="str">
        <f>VLOOKUP(F55,Purpose!$A$2:$B$334,2,FALSE)</f>
        <v>Met</v>
      </c>
      <c r="C55" s="152" t="s">
        <v>11</v>
      </c>
      <c r="D55" s="1">
        <f t="shared" si="32"/>
        <v>45845.71</v>
      </c>
      <c r="E55" t="s">
        <v>172</v>
      </c>
      <c r="F55" s="501" t="s">
        <v>390</v>
      </c>
      <c r="H55" s="4" t="s">
        <v>215</v>
      </c>
      <c r="I55" s="4">
        <v>3</v>
      </c>
      <c r="J55" s="122">
        <f t="shared" si="33"/>
        <v>390</v>
      </c>
      <c r="K55" s="21">
        <v>10.4</v>
      </c>
      <c r="L55" s="28">
        <v>36.799999999999997</v>
      </c>
      <c r="M55" s="22">
        <f t="shared" si="17"/>
        <v>26.4</v>
      </c>
      <c r="N55" s="30"/>
      <c r="O55" s="26"/>
      <c r="P55" s="31">
        <f t="shared" si="23"/>
        <v>0</v>
      </c>
      <c r="Q55" s="21"/>
      <c r="R55" s="28"/>
      <c r="S55" s="22">
        <f t="shared" si="25"/>
        <v>0</v>
      </c>
      <c r="T55" s="30"/>
      <c r="U55" s="26"/>
      <c r="V55" s="31">
        <f t="shared" si="24"/>
        <v>0</v>
      </c>
      <c r="W55" s="26">
        <f t="shared" si="18"/>
        <v>26.4</v>
      </c>
      <c r="X55" s="36">
        <f t="shared" si="34"/>
        <v>4620</v>
      </c>
      <c r="Y55" s="301">
        <f t="shared" si="27"/>
        <v>4945</v>
      </c>
      <c r="Z55" s="38"/>
      <c r="AA55" s="38"/>
      <c r="AB55" s="38"/>
      <c r="AC55" s="38"/>
      <c r="AD55" s="157">
        <f t="shared" si="19"/>
        <v>0</v>
      </c>
      <c r="AE55" s="29">
        <v>10.75</v>
      </c>
      <c r="AF55" s="29">
        <v>0.5</v>
      </c>
      <c r="AG55" s="40"/>
      <c r="AH55" s="44">
        <v>0.75</v>
      </c>
      <c r="AI55" s="13"/>
      <c r="AJ55" s="304"/>
      <c r="AK55" s="45"/>
      <c r="AL55" s="23"/>
      <c r="AM55" s="138"/>
      <c r="AN55" s="25">
        <f t="shared" ca="1" si="22"/>
        <v>12</v>
      </c>
      <c r="AO55" s="50"/>
      <c r="AP55" s="53">
        <f t="shared" si="6"/>
        <v>500</v>
      </c>
      <c r="AQ55" s="322"/>
      <c r="AR55" s="119">
        <v>117.93</v>
      </c>
      <c r="AS55" s="375">
        <f t="shared" si="7"/>
        <v>5952.93</v>
      </c>
      <c r="AT55" s="375">
        <v>5952.93</v>
      </c>
      <c r="AU55" s="344">
        <f t="shared" si="8"/>
        <v>6.5513956992606995E-2</v>
      </c>
      <c r="AV55" s="18">
        <f>IF(F55="","",(SUM($AS$6:AS55)))</f>
        <v>279838.63999999996</v>
      </c>
      <c r="AW55" s="18">
        <f>IF(AS55&lt;&gt;"", SUMIFS($AS$10:AS55, $BG$10:BG55, BG55), "")</f>
        <v>87733.119999999995</v>
      </c>
      <c r="AX55" s="123">
        <f t="shared" ca="1" si="31"/>
        <v>225.48977272727274</v>
      </c>
      <c r="AY55" s="124" t="str">
        <f t="shared" ca="1" si="10"/>
        <v>LINK</v>
      </c>
      <c r="BA55" s="125" t="s">
        <v>332</v>
      </c>
      <c r="BB55" t="str">
        <f t="shared" si="11"/>
        <v>25</v>
      </c>
      <c r="BC55" t="str">
        <f t="shared" si="12"/>
        <v>07</v>
      </c>
      <c r="BD55" t="str">
        <f t="shared" si="13"/>
        <v>07</v>
      </c>
      <c r="BE55" t="str">
        <f t="shared" si="14"/>
        <v>N</v>
      </c>
      <c r="BF55" t="str">
        <f t="shared" si="30"/>
        <v>https://www.coreplan.io/app/ddh1-drilling/speewah-mining-speewah-fluorite-project-wa/plods/1665-2507007N</v>
      </c>
      <c r="BG55" t="str">
        <f t="shared" si="15"/>
        <v>2025-07</v>
      </c>
    </row>
    <row r="56" spans="1:59">
      <c r="A56" s="510" t="str">
        <f>VLOOKUP(F56,'Tenement Lookup'!A:BH,60,FALSE)</f>
        <v>M 80/269</v>
      </c>
      <c r="B56" t="str">
        <f>VLOOKUP(F56,Purpose!$A$2:$B$334,2,FALSE)</f>
        <v>Met</v>
      </c>
      <c r="C56" s="152" t="s">
        <v>11</v>
      </c>
      <c r="D56" s="1">
        <f t="shared" si="32"/>
        <v>45846.21</v>
      </c>
      <c r="E56" t="s">
        <v>171</v>
      </c>
      <c r="F56" s="501" t="s">
        <v>390</v>
      </c>
      <c r="H56" s="4" t="s">
        <v>392</v>
      </c>
      <c r="I56" s="4">
        <v>3</v>
      </c>
      <c r="J56" s="122">
        <f t="shared" si="33"/>
        <v>390</v>
      </c>
      <c r="K56" s="21">
        <v>36.799999999999997</v>
      </c>
      <c r="L56" s="28">
        <v>42.4</v>
      </c>
      <c r="M56" s="22">
        <f t="shared" si="17"/>
        <v>5.6000000000000014</v>
      </c>
      <c r="N56" s="30"/>
      <c r="O56" s="26"/>
      <c r="P56" s="31">
        <f t="shared" si="23"/>
        <v>0</v>
      </c>
      <c r="Q56" s="21"/>
      <c r="R56" s="28"/>
      <c r="S56" s="22">
        <f t="shared" si="25"/>
        <v>0</v>
      </c>
      <c r="T56" s="30"/>
      <c r="U56" s="26"/>
      <c r="V56" s="31">
        <f t="shared" si="24"/>
        <v>0</v>
      </c>
      <c r="W56" s="26">
        <f t="shared" si="18"/>
        <v>5.6000000000000014</v>
      </c>
      <c r="X56" s="36">
        <f t="shared" si="34"/>
        <v>980.00000000000023</v>
      </c>
      <c r="Y56" s="301">
        <f t="shared" si="27"/>
        <v>3220</v>
      </c>
      <c r="Z56" s="38">
        <v>1</v>
      </c>
      <c r="AA56" s="38">
        <v>1</v>
      </c>
      <c r="AB56" s="38">
        <v>1</v>
      </c>
      <c r="AC56" s="38">
        <v>13122</v>
      </c>
      <c r="AD56" s="157">
        <f t="shared" si="19"/>
        <v>750</v>
      </c>
      <c r="AE56" s="29">
        <v>7</v>
      </c>
      <c r="AF56" s="29">
        <v>4.75</v>
      </c>
      <c r="AG56" s="40"/>
      <c r="AH56" s="44">
        <v>0.25</v>
      </c>
      <c r="AI56" s="13"/>
      <c r="AJ56" s="304"/>
      <c r="AK56" s="45"/>
      <c r="AL56" s="23"/>
      <c r="AM56" s="138"/>
      <c r="AN56" s="25">
        <f t="shared" ca="1" si="22"/>
        <v>12</v>
      </c>
      <c r="AO56" s="50"/>
      <c r="AP56" s="53">
        <f t="shared" si="6"/>
        <v>2275</v>
      </c>
      <c r="AQ56" s="322"/>
      <c r="AR56" s="119">
        <v>235.86</v>
      </c>
      <c r="AS56" s="375">
        <f t="shared" si="7"/>
        <v>6870.86</v>
      </c>
      <c r="AT56" s="375">
        <v>6695.86</v>
      </c>
      <c r="AU56" s="344">
        <f t="shared" si="8"/>
        <v>5.676145344250938E-2</v>
      </c>
      <c r="AV56" s="18">
        <f>IF(F56="","",(SUM($AS$6:AS56)))</f>
        <v>286709.49999999994</v>
      </c>
      <c r="AW56" s="18">
        <f>IF(AS56&lt;&gt;"", SUMIFS($AS$10:AS56, $BG$10:BG56, BG56), "")</f>
        <v>94603.98</v>
      </c>
      <c r="AX56" s="123">
        <f t="shared" ca="1" si="31"/>
        <v>1226.9392857142852</v>
      </c>
      <c r="AY56" s="124" t="str">
        <f t="shared" ca="1" si="10"/>
        <v>LINK</v>
      </c>
      <c r="AZ56" s="10" t="s">
        <v>393</v>
      </c>
      <c r="BA56" s="125" t="s">
        <v>332</v>
      </c>
      <c r="BB56" t="str">
        <f t="shared" si="11"/>
        <v>25</v>
      </c>
      <c r="BC56" t="str">
        <f t="shared" si="12"/>
        <v>07</v>
      </c>
      <c r="BD56" t="str">
        <f t="shared" si="13"/>
        <v>08</v>
      </c>
      <c r="BE56" t="str">
        <f t="shared" si="14"/>
        <v>D</v>
      </c>
      <c r="BF56" t="str">
        <f t="shared" si="30"/>
        <v>https://www.coreplan.io/app/ddh1-drilling/speewah-mining-speewah-fluorite-project-wa/plods/1665-2507008D</v>
      </c>
      <c r="BG56" t="str">
        <f t="shared" si="15"/>
        <v>2025-07</v>
      </c>
    </row>
    <row r="57" spans="1:59">
      <c r="A57" s="510" t="str">
        <f>VLOOKUP(F57,'Tenement Lookup'!A:BH,60,FALSE)</f>
        <v>M 80/269</v>
      </c>
      <c r="B57" t="str">
        <f>VLOOKUP(F57,Purpose!$A$2:$B$334,2,FALSE)</f>
        <v>Met</v>
      </c>
      <c r="C57" s="152" t="s">
        <v>11</v>
      </c>
      <c r="D57" s="1">
        <f t="shared" si="32"/>
        <v>45846.71</v>
      </c>
      <c r="E57" t="s">
        <v>172</v>
      </c>
      <c r="F57" s="501" t="s">
        <v>390</v>
      </c>
      <c r="H57" s="4" t="s">
        <v>394</v>
      </c>
      <c r="I57" s="4">
        <v>2</v>
      </c>
      <c r="J57" s="122">
        <f t="shared" si="33"/>
        <v>260</v>
      </c>
      <c r="K57" s="21">
        <v>42.4</v>
      </c>
      <c r="L57" s="28">
        <v>69.400000000000006</v>
      </c>
      <c r="M57" s="22">
        <f t="shared" si="17"/>
        <v>27.000000000000007</v>
      </c>
      <c r="N57" s="30"/>
      <c r="O57" s="26"/>
      <c r="P57" s="31">
        <f t="shared" si="23"/>
        <v>0</v>
      </c>
      <c r="Q57" s="21"/>
      <c r="R57" s="28"/>
      <c r="S57" s="22">
        <f t="shared" si="25"/>
        <v>0</v>
      </c>
      <c r="T57" s="30"/>
      <c r="U57" s="26"/>
      <c r="V57" s="31">
        <f t="shared" si="24"/>
        <v>0</v>
      </c>
      <c r="W57" s="26">
        <f t="shared" si="18"/>
        <v>27.000000000000007</v>
      </c>
      <c r="X57" s="36">
        <f t="shared" si="34"/>
        <v>4725.0000000000009</v>
      </c>
      <c r="Y57" s="301">
        <f t="shared" si="27"/>
        <v>4725.0000000000009</v>
      </c>
      <c r="Z57" s="38"/>
      <c r="AA57" s="38"/>
      <c r="AB57" s="38"/>
      <c r="AC57" s="38"/>
      <c r="AD57" s="157">
        <f t="shared" si="19"/>
        <v>0</v>
      </c>
      <c r="AE57" s="29">
        <v>9</v>
      </c>
      <c r="AF57" s="29">
        <v>1.5</v>
      </c>
      <c r="AG57" s="40"/>
      <c r="AH57" s="44">
        <v>0.5</v>
      </c>
      <c r="AI57" s="13"/>
      <c r="AJ57" s="304"/>
      <c r="AK57" s="45"/>
      <c r="AL57" s="23">
        <v>1</v>
      </c>
      <c r="AM57" s="138"/>
      <c r="AN57" s="25">
        <f t="shared" ca="1" si="22"/>
        <v>12</v>
      </c>
      <c r="AO57" s="50"/>
      <c r="AP57" s="53">
        <f t="shared" si="6"/>
        <v>870</v>
      </c>
      <c r="AQ57" s="322"/>
      <c r="AR57" s="119">
        <v>117.93</v>
      </c>
      <c r="AS57" s="375">
        <f t="shared" si="7"/>
        <v>5972.9300000000012</v>
      </c>
      <c r="AT57" s="375">
        <v>5972.93</v>
      </c>
      <c r="AU57" s="344">
        <f t="shared" si="8"/>
        <v>4.3529724942364963E-2</v>
      </c>
      <c r="AV57" s="18">
        <f>IF(F57="","",(SUM($AS$6:AS57)))</f>
        <v>292682.42999999993</v>
      </c>
      <c r="AW57" s="18">
        <f>IF(AS57&lt;&gt;"", SUMIFS($AS$10:AS57, $BG$10:BG57, BG57), "")</f>
        <v>100576.91</v>
      </c>
      <c r="AX57" s="123">
        <f t="shared" ca="1" si="31"/>
        <v>221.21962962962962</v>
      </c>
      <c r="AY57" s="124" t="str">
        <f t="shared" ca="1" si="10"/>
        <v>LINK</v>
      </c>
      <c r="BA57" s="125" t="s">
        <v>332</v>
      </c>
      <c r="BB57" t="str">
        <f t="shared" si="11"/>
        <v>25</v>
      </c>
      <c r="BC57" t="str">
        <f t="shared" si="12"/>
        <v>07</v>
      </c>
      <c r="BD57" t="str">
        <f t="shared" si="13"/>
        <v>08</v>
      </c>
      <c r="BE57" t="str">
        <f t="shared" si="14"/>
        <v>N</v>
      </c>
      <c r="BF57" t="str">
        <f t="shared" si="30"/>
        <v>https://www.coreplan.io/app/ddh1-drilling/speewah-mining-speewah-fluorite-project-wa/plods/1665-2507008N</v>
      </c>
      <c r="BG57" t="str">
        <f t="shared" si="15"/>
        <v>2025-07</v>
      </c>
    </row>
    <row r="58" spans="1:59">
      <c r="A58" s="510" t="str">
        <f>VLOOKUP(F58,'Tenement Lookup'!A:BH,60,FALSE)</f>
        <v>M 80/269</v>
      </c>
      <c r="B58" t="str">
        <f>VLOOKUP(F58,Purpose!$A$2:$B$334,2,FALSE)</f>
        <v>Met</v>
      </c>
      <c r="C58" s="152" t="s">
        <v>11</v>
      </c>
      <c r="D58" s="1">
        <f t="shared" si="32"/>
        <v>45847.21</v>
      </c>
      <c r="E58" t="s">
        <v>171</v>
      </c>
      <c r="F58" s="501" t="s">
        <v>390</v>
      </c>
      <c r="H58" s="4" t="s">
        <v>392</v>
      </c>
      <c r="I58" s="4">
        <v>5</v>
      </c>
      <c r="J58" s="122">
        <f t="shared" si="33"/>
        <v>650</v>
      </c>
      <c r="K58" s="21">
        <v>69.400000000000006</v>
      </c>
      <c r="L58" s="28">
        <v>79</v>
      </c>
      <c r="M58" s="22">
        <f t="shared" si="17"/>
        <v>9.5999999999999943</v>
      </c>
      <c r="N58" s="30"/>
      <c r="O58" s="26"/>
      <c r="P58" s="31">
        <f t="shared" si="23"/>
        <v>0</v>
      </c>
      <c r="Q58" s="21"/>
      <c r="R58" s="28"/>
      <c r="S58" s="22">
        <f t="shared" si="25"/>
        <v>0</v>
      </c>
      <c r="T58" s="30"/>
      <c r="U58" s="26"/>
      <c r="V58" s="31">
        <f t="shared" si="24"/>
        <v>0</v>
      </c>
      <c r="W58" s="26">
        <f t="shared" si="18"/>
        <v>9.5999999999999943</v>
      </c>
      <c r="X58" s="36">
        <f t="shared" si="34"/>
        <v>1679.9999999999991</v>
      </c>
      <c r="Y58" s="301">
        <f t="shared" si="27"/>
        <v>2070</v>
      </c>
      <c r="Z58" s="38">
        <v>1</v>
      </c>
      <c r="AA58" s="38">
        <v>1</v>
      </c>
      <c r="AB58" s="38">
        <v>1</v>
      </c>
      <c r="AC58" s="38">
        <v>13122</v>
      </c>
      <c r="AD58" s="157">
        <f t="shared" si="19"/>
        <v>750</v>
      </c>
      <c r="AE58" s="29">
        <v>4.5</v>
      </c>
      <c r="AF58" s="29"/>
      <c r="AG58" s="40" t="s">
        <v>395</v>
      </c>
      <c r="AH58" s="44">
        <v>0.5</v>
      </c>
      <c r="AI58" s="13"/>
      <c r="AJ58" s="304"/>
      <c r="AK58" s="45"/>
      <c r="AL58" s="23">
        <v>7</v>
      </c>
      <c r="AM58" s="138"/>
      <c r="AN58" s="25">
        <f t="shared" ca="1" si="22"/>
        <v>12</v>
      </c>
      <c r="AO58" s="50"/>
      <c r="AP58" s="53">
        <f t="shared" si="6"/>
        <v>180</v>
      </c>
      <c r="AQ58" s="322"/>
      <c r="AR58" s="119">
        <v>235.86</v>
      </c>
      <c r="AS58" s="375">
        <f t="shared" si="7"/>
        <v>3885.86</v>
      </c>
      <c r="AT58" s="375">
        <v>3710.86</v>
      </c>
      <c r="AU58" s="344">
        <f t="shared" si="8"/>
        <v>0.16727313902199256</v>
      </c>
      <c r="AV58" s="18">
        <f>IF(F58="","",(SUM($AS$6:AS58)))</f>
        <v>296568.28999999992</v>
      </c>
      <c r="AW58" s="18">
        <f>IF(AS58&lt;&gt;"", SUMIFS($AS$10:AS58, $BG$10:BG58, BG58), "")</f>
        <v>104462.77</v>
      </c>
      <c r="AX58" s="123">
        <f t="shared" ca="1" si="31"/>
        <v>404.77708333333356</v>
      </c>
      <c r="AY58" s="124" t="str">
        <f t="shared" ca="1" si="10"/>
        <v>LINK</v>
      </c>
      <c r="BA58" s="125" t="s">
        <v>332</v>
      </c>
      <c r="BB58" t="str">
        <f t="shared" si="11"/>
        <v>25</v>
      </c>
      <c r="BC58" t="str">
        <f t="shared" si="12"/>
        <v>07</v>
      </c>
      <c r="BD58" t="str">
        <f t="shared" si="13"/>
        <v>09</v>
      </c>
      <c r="BE58" t="str">
        <f t="shared" si="14"/>
        <v>D</v>
      </c>
      <c r="BF58" t="str">
        <f t="shared" si="30"/>
        <v>https://www.coreplan.io/app/ddh1-drilling/speewah-mining-speewah-fluorite-project-wa/plods/1665-2507009D</v>
      </c>
      <c r="BG58" t="str">
        <f t="shared" si="15"/>
        <v>2025-07</v>
      </c>
    </row>
    <row r="59" spans="1:59">
      <c r="A59" s="510" t="str">
        <f>VLOOKUP(F59,'Tenement Lookup'!A:BH,60,FALSE)</f>
        <v>M 80/269</v>
      </c>
      <c r="B59" t="str">
        <f>VLOOKUP(F59,Purpose!$A$2:$B$334,2,FALSE)</f>
        <v>Met</v>
      </c>
      <c r="C59" s="152" t="s">
        <v>11</v>
      </c>
      <c r="D59" s="1">
        <f t="shared" si="32"/>
        <v>45847.71</v>
      </c>
      <c r="E59" t="s">
        <v>172</v>
      </c>
      <c r="F59" s="501" t="s">
        <v>390</v>
      </c>
      <c r="G59" s="8" t="s">
        <v>396</v>
      </c>
      <c r="H59" s="4" t="s">
        <v>394</v>
      </c>
      <c r="I59" s="4">
        <v>2</v>
      </c>
      <c r="J59" s="122">
        <f t="shared" si="33"/>
        <v>260</v>
      </c>
      <c r="K59" s="21">
        <v>79</v>
      </c>
      <c r="L59" s="28">
        <v>90.4</v>
      </c>
      <c r="M59" s="22">
        <f t="shared" si="17"/>
        <v>11.400000000000006</v>
      </c>
      <c r="N59" s="30"/>
      <c r="O59" s="26"/>
      <c r="P59" s="31">
        <f t="shared" si="23"/>
        <v>0</v>
      </c>
      <c r="Q59" s="21"/>
      <c r="R59" s="28"/>
      <c r="S59" s="22">
        <f t="shared" si="25"/>
        <v>0</v>
      </c>
      <c r="T59" s="30"/>
      <c r="U59" s="26"/>
      <c r="V59" s="31">
        <f t="shared" si="24"/>
        <v>0</v>
      </c>
      <c r="W59" s="26">
        <f t="shared" si="18"/>
        <v>11.400000000000006</v>
      </c>
      <c r="X59" s="36">
        <f t="shared" si="34"/>
        <v>1995.0000000000009</v>
      </c>
      <c r="Y59" s="301">
        <f t="shared" si="27"/>
        <v>1995.0000000000009</v>
      </c>
      <c r="Z59" s="38"/>
      <c r="AA59" s="38"/>
      <c r="AB59" s="38"/>
      <c r="AC59" s="38"/>
      <c r="AD59" s="157">
        <f t="shared" si="19"/>
        <v>0</v>
      </c>
      <c r="AE59" s="29">
        <v>4</v>
      </c>
      <c r="AF59" s="29">
        <v>5</v>
      </c>
      <c r="AG59" s="40" t="s">
        <v>397</v>
      </c>
      <c r="AH59" s="44">
        <v>0.5</v>
      </c>
      <c r="AI59" s="13">
        <v>2.5</v>
      </c>
      <c r="AJ59" s="304" t="s">
        <v>398</v>
      </c>
      <c r="AK59" s="45"/>
      <c r="AL59" s="23"/>
      <c r="AM59" s="138"/>
      <c r="AN59" s="25">
        <f t="shared" ca="1" si="22"/>
        <v>12</v>
      </c>
      <c r="AO59" s="50"/>
      <c r="AP59" s="53">
        <f t="shared" si="6"/>
        <v>3380</v>
      </c>
      <c r="AQ59" s="322"/>
      <c r="AR59" s="119">
        <f>496.49-260</f>
        <v>236.49</v>
      </c>
      <c r="AS59" s="375">
        <f t="shared" si="7"/>
        <v>5871.4900000000007</v>
      </c>
      <c r="AT59" s="375">
        <v>5871.49</v>
      </c>
      <c r="AU59" s="344">
        <f t="shared" si="8"/>
        <v>4.4281775154177215E-2</v>
      </c>
      <c r="AV59" s="18">
        <f>IF(F59="","",(SUM($AS$6:AS59)))</f>
        <v>302439.77999999991</v>
      </c>
      <c r="AW59" s="18">
        <f>IF(AS59&lt;&gt;"", SUMIFS($AS$10:AS59, $BG$10:BG59, BG59), "")</f>
        <v>110334.26000000001</v>
      </c>
      <c r="AX59" s="123">
        <f t="shared" ca="1" si="31"/>
        <v>515.04298245614018</v>
      </c>
      <c r="AY59" s="124" t="str">
        <f t="shared" ca="1" si="10"/>
        <v>LINK</v>
      </c>
      <c r="BA59" s="125" t="s">
        <v>332</v>
      </c>
      <c r="BB59" t="str">
        <f t="shared" si="11"/>
        <v>25</v>
      </c>
      <c r="BC59" t="str">
        <f t="shared" si="12"/>
        <v>07</v>
      </c>
      <c r="BD59" t="str">
        <f t="shared" si="13"/>
        <v>09</v>
      </c>
      <c r="BE59" t="str">
        <f t="shared" si="14"/>
        <v>N</v>
      </c>
      <c r="BF59" t="str">
        <f t="shared" si="30"/>
        <v>https://www.coreplan.io/app/ddh1-drilling/speewah-mining-speewah-fluorite-project-wa/plods/1665-2507009N</v>
      </c>
      <c r="BG59" t="str">
        <f t="shared" si="15"/>
        <v>2025-07</v>
      </c>
    </row>
    <row r="60" spans="1:59">
      <c r="A60" s="510" t="str">
        <f>VLOOKUP(F60,'Tenement Lookup'!A:BH,60,FALSE)</f>
        <v>M 80/269</v>
      </c>
      <c r="B60" t="str">
        <f>VLOOKUP(F60,Purpose!$A$2:$B$334,2,FALSE)</f>
        <v>Met</v>
      </c>
      <c r="C60" s="152" t="s">
        <v>11</v>
      </c>
      <c r="D60" s="1">
        <f t="shared" si="32"/>
        <v>45848.21</v>
      </c>
      <c r="E60" t="s">
        <v>171</v>
      </c>
      <c r="F60" s="501" t="s">
        <v>396</v>
      </c>
      <c r="H60" s="4" t="s">
        <v>392</v>
      </c>
      <c r="I60" s="4">
        <v>4</v>
      </c>
      <c r="J60" s="122">
        <f t="shared" si="33"/>
        <v>520</v>
      </c>
      <c r="K60" s="21">
        <v>0</v>
      </c>
      <c r="L60" s="28">
        <v>7.9</v>
      </c>
      <c r="M60" s="22">
        <f t="shared" si="17"/>
        <v>7.9</v>
      </c>
      <c r="N60" s="30"/>
      <c r="O60" s="26"/>
      <c r="P60" s="31">
        <f t="shared" si="23"/>
        <v>0</v>
      </c>
      <c r="Q60" s="21"/>
      <c r="R60" s="28"/>
      <c r="S60" s="22">
        <f t="shared" si="25"/>
        <v>0</v>
      </c>
      <c r="T60" s="30"/>
      <c r="U60" s="26"/>
      <c r="V60" s="31">
        <f t="shared" si="24"/>
        <v>0</v>
      </c>
      <c r="W60" s="26">
        <f t="shared" si="18"/>
        <v>7.9</v>
      </c>
      <c r="X60" s="36">
        <f t="shared" si="34"/>
        <v>1382.5</v>
      </c>
      <c r="Y60" s="301">
        <f t="shared" si="27"/>
        <v>2300</v>
      </c>
      <c r="Z60" s="38">
        <v>1</v>
      </c>
      <c r="AA60" s="38">
        <v>1</v>
      </c>
      <c r="AB60" s="38">
        <v>1</v>
      </c>
      <c r="AC60" s="38">
        <v>13122</v>
      </c>
      <c r="AD60" s="157">
        <f t="shared" si="19"/>
        <v>750</v>
      </c>
      <c r="AE60" s="29">
        <v>5</v>
      </c>
      <c r="AF60" s="29">
        <v>2.5</v>
      </c>
      <c r="AG60" s="40" t="s">
        <v>399</v>
      </c>
      <c r="AH60" s="44">
        <v>0.5</v>
      </c>
      <c r="AI60" s="13">
        <v>2</v>
      </c>
      <c r="AJ60" s="304" t="s">
        <v>398</v>
      </c>
      <c r="AK60" s="45"/>
      <c r="AL60" s="23">
        <v>2</v>
      </c>
      <c r="AM60" s="138"/>
      <c r="AN60" s="25">
        <f t="shared" ca="1" si="22"/>
        <v>12</v>
      </c>
      <c r="AO60" s="50"/>
      <c r="AP60" s="53">
        <f t="shared" si="6"/>
        <v>2050</v>
      </c>
      <c r="AQ60" s="322"/>
      <c r="AR60" s="119">
        <f>960.72 - 390</f>
        <v>570.72</v>
      </c>
      <c r="AS60" s="375">
        <f t="shared" si="7"/>
        <v>6190.72</v>
      </c>
      <c r="AT60" s="375">
        <v>6015.72</v>
      </c>
      <c r="AU60" s="344">
        <f t="shared" si="8"/>
        <v>8.3996691822598987E-2</v>
      </c>
      <c r="AV60" s="18">
        <f>IF(F60="","",(SUM($AS$6:AS60)))</f>
        <v>308630.49999999988</v>
      </c>
      <c r="AW60" s="18">
        <f>IF(AS60&lt;&gt;"", SUMIFS($AS$10:AS60, $BG$10:BG60, BG60), "")</f>
        <v>116524.98000000001</v>
      </c>
      <c r="AX60" s="123">
        <f t="shared" ca="1" si="31"/>
        <v>783.63544303797471</v>
      </c>
      <c r="AY60" s="124" t="str">
        <f t="shared" ca="1" si="10"/>
        <v>LINK</v>
      </c>
      <c r="BA60" s="125" t="s">
        <v>332</v>
      </c>
      <c r="BB60" t="str">
        <f t="shared" si="11"/>
        <v>25</v>
      </c>
      <c r="BC60" t="str">
        <f t="shared" si="12"/>
        <v>07</v>
      </c>
      <c r="BD60">
        <f t="shared" si="13"/>
        <v>10</v>
      </c>
      <c r="BE60" t="str">
        <f t="shared" si="14"/>
        <v>D</v>
      </c>
      <c r="BF60" t="str">
        <f t="shared" si="20"/>
        <v>https://www.coreplan.io/app/ddh1-drilling/speewah-mining-speewah-fluorite-project-wa/plods/1665-250710D</v>
      </c>
      <c r="BG60" t="str">
        <f t="shared" si="15"/>
        <v>2025-07</v>
      </c>
    </row>
    <row r="61" spans="1:59">
      <c r="A61" s="510" t="str">
        <f>VLOOKUP(F61,'Tenement Lookup'!A:BH,60,FALSE)</f>
        <v>M 80/269</v>
      </c>
      <c r="B61" t="str">
        <f>VLOOKUP(F61,Purpose!$A$2:$B$334,2,FALSE)</f>
        <v>Met</v>
      </c>
      <c r="C61" s="152" t="s">
        <v>11</v>
      </c>
      <c r="D61" s="1">
        <f t="shared" si="32"/>
        <v>45848.71</v>
      </c>
      <c r="E61" t="s">
        <v>172</v>
      </c>
      <c r="F61" s="501" t="s">
        <v>396</v>
      </c>
      <c r="H61" s="4" t="s">
        <v>394</v>
      </c>
      <c r="I61" s="4">
        <v>3</v>
      </c>
      <c r="J61" s="122">
        <f t="shared" si="33"/>
        <v>390</v>
      </c>
      <c r="K61" s="21">
        <f>L60</f>
        <v>7.9</v>
      </c>
      <c r="L61" s="28">
        <v>27.5</v>
      </c>
      <c r="M61" s="22">
        <f t="shared" si="17"/>
        <v>19.600000000000001</v>
      </c>
      <c r="N61" s="30"/>
      <c r="O61" s="26"/>
      <c r="P61" s="31">
        <f t="shared" si="23"/>
        <v>0</v>
      </c>
      <c r="Q61" s="21"/>
      <c r="R61" s="28"/>
      <c r="S61" s="22">
        <f t="shared" si="25"/>
        <v>0</v>
      </c>
      <c r="T61" s="30"/>
      <c r="U61" s="26"/>
      <c r="V61" s="31">
        <f t="shared" si="24"/>
        <v>0</v>
      </c>
      <c r="W61" s="26">
        <f t="shared" si="18"/>
        <v>19.600000000000001</v>
      </c>
      <c r="X61" s="36">
        <f t="shared" si="34"/>
        <v>3430.0000000000005</v>
      </c>
      <c r="Y61" s="301">
        <f t="shared" si="27"/>
        <v>4025</v>
      </c>
      <c r="Z61" s="38"/>
      <c r="AA61" s="38"/>
      <c r="AB61" s="38"/>
      <c r="AC61" s="38"/>
      <c r="AD61" s="157">
        <f t="shared" si="19"/>
        <v>0</v>
      </c>
      <c r="AE61" s="29">
        <v>8.75</v>
      </c>
      <c r="AF61" s="29">
        <v>2.25</v>
      </c>
      <c r="AG61" s="40"/>
      <c r="AH61" s="44">
        <v>1</v>
      </c>
      <c r="AI61" s="13"/>
      <c r="AJ61" s="304"/>
      <c r="AK61" s="45"/>
      <c r="AL61" s="23"/>
      <c r="AM61" s="138"/>
      <c r="AN61" s="25">
        <f t="shared" ca="1" si="22"/>
        <v>12</v>
      </c>
      <c r="AO61" s="50"/>
      <c r="AP61" s="53">
        <f t="shared" si="6"/>
        <v>1395</v>
      </c>
      <c r="AQ61" s="322"/>
      <c r="AR61" s="119">
        <f>880.8-390</f>
        <v>490.79999999999995</v>
      </c>
      <c r="AS61" s="375">
        <f t="shared" si="7"/>
        <v>6300.8</v>
      </c>
      <c r="AT61" s="375">
        <v>6300.8</v>
      </c>
      <c r="AU61" s="344">
        <f t="shared" si="8"/>
        <v>6.1896901980700865E-2</v>
      </c>
      <c r="AV61" s="18">
        <f>IF(F61="","",(SUM($AS$6:AS61)))</f>
        <v>314931.29999999987</v>
      </c>
      <c r="AW61" s="18">
        <f>IF(AS61&lt;&gt;"", SUMIFS($AS$10:AS61, $BG$10:BG61, BG61), "")</f>
        <v>122825.78000000001</v>
      </c>
      <c r="AX61" s="123">
        <f t="shared" ca="1" si="31"/>
        <v>321.46938775510205</v>
      </c>
      <c r="AY61" s="124" t="str">
        <f t="shared" ca="1" si="10"/>
        <v>LINK</v>
      </c>
      <c r="BA61" s="125" t="s">
        <v>332</v>
      </c>
      <c r="BB61" t="str">
        <f t="shared" si="11"/>
        <v>25</v>
      </c>
      <c r="BC61" t="str">
        <f t="shared" si="12"/>
        <v>07</v>
      </c>
      <c r="BD61">
        <f t="shared" si="13"/>
        <v>10</v>
      </c>
      <c r="BE61" t="str">
        <f t="shared" si="14"/>
        <v>N</v>
      </c>
      <c r="BF61" t="str">
        <f t="shared" si="20"/>
        <v>https://www.coreplan.io/app/ddh1-drilling/speewah-mining-speewah-fluorite-project-wa/plods/1665-250710N</v>
      </c>
      <c r="BG61" t="str">
        <f t="shared" si="15"/>
        <v>2025-07</v>
      </c>
    </row>
    <row r="62" spans="1:59">
      <c r="A62" s="510" t="str">
        <f>VLOOKUP(F62,'Tenement Lookup'!A:BH,60,FALSE)</f>
        <v>M 80/269</v>
      </c>
      <c r="B62" t="str">
        <f>VLOOKUP(F62,Purpose!$A$2:$B$334,2,FALSE)</f>
        <v>Met</v>
      </c>
      <c r="C62" s="152" t="s">
        <v>11</v>
      </c>
      <c r="D62" s="1">
        <f t="shared" si="32"/>
        <v>45849.21</v>
      </c>
      <c r="E62" t="s">
        <v>171</v>
      </c>
      <c r="F62" s="501" t="s">
        <v>396</v>
      </c>
      <c r="H62" s="4" t="s">
        <v>392</v>
      </c>
      <c r="I62" s="4">
        <v>4</v>
      </c>
      <c r="J62" s="122">
        <f t="shared" si="33"/>
        <v>520</v>
      </c>
      <c r="K62" s="21">
        <f t="shared" ref="K62:K63" si="35">L61</f>
        <v>27.5</v>
      </c>
      <c r="L62" s="28">
        <v>45.5</v>
      </c>
      <c r="M62" s="22">
        <f t="shared" si="17"/>
        <v>18</v>
      </c>
      <c r="N62" s="30"/>
      <c r="O62" s="26"/>
      <c r="P62" s="31">
        <f t="shared" si="23"/>
        <v>0</v>
      </c>
      <c r="Q62" s="21"/>
      <c r="R62" s="28"/>
      <c r="S62" s="22">
        <f t="shared" si="25"/>
        <v>0</v>
      </c>
      <c r="T62" s="30"/>
      <c r="U62" s="26"/>
      <c r="V62" s="31">
        <f t="shared" si="24"/>
        <v>0</v>
      </c>
      <c r="W62" s="26">
        <f t="shared" si="18"/>
        <v>18</v>
      </c>
      <c r="X62" s="36">
        <f t="shared" si="34"/>
        <v>3150</v>
      </c>
      <c r="Y62" s="301">
        <f t="shared" si="27"/>
        <v>4140</v>
      </c>
      <c r="Z62" s="38">
        <v>1</v>
      </c>
      <c r="AA62" s="38">
        <v>1</v>
      </c>
      <c r="AB62" s="38">
        <v>1</v>
      </c>
      <c r="AC62" s="38">
        <v>13122</v>
      </c>
      <c r="AD62" s="157">
        <f t="shared" si="19"/>
        <v>750</v>
      </c>
      <c r="AE62" s="29">
        <v>9</v>
      </c>
      <c r="AF62" s="29">
        <v>2.5</v>
      </c>
      <c r="AG62" s="40"/>
      <c r="AH62" s="44">
        <v>0.5</v>
      </c>
      <c r="AI62" s="13"/>
      <c r="AJ62" s="304"/>
      <c r="AK62" s="45"/>
      <c r="AL62" s="23"/>
      <c r="AM62" s="138"/>
      <c r="AN62" s="25">
        <f t="shared" ca="1" si="22"/>
        <v>12</v>
      </c>
      <c r="AO62" s="50"/>
      <c r="AP62" s="53">
        <f t="shared" si="6"/>
        <v>1330</v>
      </c>
      <c r="AQ62" s="322"/>
      <c r="AR62" s="119">
        <f>659.72-390</f>
        <v>269.72000000000003</v>
      </c>
      <c r="AS62" s="375">
        <f t="shared" si="7"/>
        <v>7009.72</v>
      </c>
      <c r="AT62" s="375">
        <v>6834.72</v>
      </c>
      <c r="AU62" s="344">
        <f t="shared" si="8"/>
        <v>7.418270629925304E-2</v>
      </c>
      <c r="AV62" s="18">
        <f>IF(F62="","",(SUM($AS$6:AS62)))</f>
        <v>321941.01999999984</v>
      </c>
      <c r="AW62" s="18">
        <f>IF(AS62&lt;&gt;"", SUMIFS($AS$10:AS62, $BG$10:BG62, BG62), "")</f>
        <v>129835.50000000001</v>
      </c>
      <c r="AX62" s="123">
        <f t="shared" ca="1" si="31"/>
        <v>389.42888888888888</v>
      </c>
      <c r="AY62" s="124" t="str">
        <f t="shared" ca="1" si="10"/>
        <v>LINK</v>
      </c>
      <c r="BA62" s="125" t="s">
        <v>332</v>
      </c>
      <c r="BB62" t="str">
        <f t="shared" si="11"/>
        <v>25</v>
      </c>
      <c r="BC62" t="str">
        <f t="shared" si="12"/>
        <v>07</v>
      </c>
      <c r="BD62">
        <f t="shared" si="13"/>
        <v>11</v>
      </c>
      <c r="BE62" t="str">
        <f t="shared" si="14"/>
        <v>D</v>
      </c>
      <c r="BF62" t="str">
        <f t="shared" si="20"/>
        <v>https://www.coreplan.io/app/ddh1-drilling/speewah-mining-speewah-fluorite-project-wa/plods/1665-250711D</v>
      </c>
      <c r="BG62" t="str">
        <f t="shared" si="15"/>
        <v>2025-07</v>
      </c>
    </row>
    <row r="63" spans="1:59">
      <c r="A63" s="510" t="str">
        <f>VLOOKUP(F63,'Tenement Lookup'!A:BH,60,FALSE)</f>
        <v>M 80/269</v>
      </c>
      <c r="B63" t="str">
        <f>VLOOKUP(F63,Purpose!$A$2:$B$334,2,FALSE)</f>
        <v>Met</v>
      </c>
      <c r="C63" s="152" t="s">
        <v>11</v>
      </c>
      <c r="D63" s="1">
        <f t="shared" si="32"/>
        <v>45849.71</v>
      </c>
      <c r="E63" t="s">
        <v>172</v>
      </c>
      <c r="F63" s="501" t="s">
        <v>396</v>
      </c>
      <c r="H63" s="4" t="s">
        <v>394</v>
      </c>
      <c r="I63" s="4">
        <v>3</v>
      </c>
      <c r="J63" s="122">
        <f t="shared" si="33"/>
        <v>390</v>
      </c>
      <c r="K63" s="21">
        <f t="shared" si="35"/>
        <v>45.5</v>
      </c>
      <c r="L63" s="28">
        <v>55.7</v>
      </c>
      <c r="M63" s="22">
        <f t="shared" si="17"/>
        <v>10.200000000000003</v>
      </c>
      <c r="N63" s="30"/>
      <c r="O63" s="26"/>
      <c r="P63" s="31">
        <f t="shared" si="23"/>
        <v>0</v>
      </c>
      <c r="Q63" s="21"/>
      <c r="R63" s="28"/>
      <c r="S63" s="22">
        <f t="shared" si="25"/>
        <v>0</v>
      </c>
      <c r="T63" s="30"/>
      <c r="U63" s="26"/>
      <c r="V63" s="31">
        <f t="shared" si="24"/>
        <v>0</v>
      </c>
      <c r="W63" s="26">
        <f t="shared" si="18"/>
        <v>10.200000000000003</v>
      </c>
      <c r="X63" s="36">
        <f t="shared" si="34"/>
        <v>1785.0000000000005</v>
      </c>
      <c r="Y63" s="301">
        <f t="shared" si="27"/>
        <v>4370</v>
      </c>
      <c r="Z63" s="38"/>
      <c r="AA63" s="38"/>
      <c r="AB63" s="38"/>
      <c r="AC63" s="38"/>
      <c r="AD63" s="157">
        <f t="shared" si="19"/>
        <v>0</v>
      </c>
      <c r="AE63" s="29">
        <v>9.5</v>
      </c>
      <c r="AF63" s="29">
        <v>2</v>
      </c>
      <c r="AG63" s="40"/>
      <c r="AH63" s="44">
        <v>0.5</v>
      </c>
      <c r="AI63" s="13"/>
      <c r="AJ63" s="304"/>
      <c r="AK63" s="45"/>
      <c r="AL63" s="23"/>
      <c r="AM63" s="138"/>
      <c r="AN63" s="25">
        <f t="shared" ca="1" si="22"/>
        <v>12</v>
      </c>
      <c r="AO63" s="50"/>
      <c r="AP63" s="53">
        <f t="shared" si="6"/>
        <v>1100</v>
      </c>
      <c r="AQ63" s="322"/>
      <c r="AR63" s="119">
        <v>117.93</v>
      </c>
      <c r="AS63" s="375">
        <f t="shared" si="7"/>
        <v>5977.93</v>
      </c>
      <c r="AT63" s="375">
        <v>5977.93</v>
      </c>
      <c r="AU63" s="344">
        <f t="shared" si="8"/>
        <v>6.5239974372399812E-2</v>
      </c>
      <c r="AV63" s="18">
        <f>IF(F63="","",(SUM($AS$6:AS63)))</f>
        <v>327918.94999999984</v>
      </c>
      <c r="AW63" s="18">
        <f>IF(AS63&lt;&gt;"", SUMIFS($AS$10:AS63, $BG$10:BG63, BG63), "")</f>
        <v>135813.43000000002</v>
      </c>
      <c r="AX63" s="123">
        <f t="shared" ca="1" si="31"/>
        <v>586.0715686274508</v>
      </c>
      <c r="AY63" s="124" t="str">
        <f t="shared" ca="1" si="10"/>
        <v>LINK</v>
      </c>
      <c r="BA63" s="125" t="s">
        <v>332</v>
      </c>
      <c r="BB63" t="str">
        <f t="shared" si="11"/>
        <v>25</v>
      </c>
      <c r="BC63" t="str">
        <f t="shared" si="12"/>
        <v>07</v>
      </c>
      <c r="BD63">
        <f t="shared" si="13"/>
        <v>11</v>
      </c>
      <c r="BE63" t="str">
        <f t="shared" si="14"/>
        <v>N</v>
      </c>
      <c r="BF63" t="str">
        <f t="shared" si="20"/>
        <v>https://www.coreplan.io/app/ddh1-drilling/speewah-mining-speewah-fluorite-project-wa/plods/1665-250711N</v>
      </c>
      <c r="BG63" t="str">
        <f t="shared" si="15"/>
        <v>2025-07</v>
      </c>
    </row>
    <row r="64" spans="1:59">
      <c r="A64" s="510" t="str">
        <f>VLOOKUP(F64,'Tenement Lookup'!A:BH,60,FALSE)</f>
        <v>M 80/269</v>
      </c>
      <c r="B64" t="str">
        <f>VLOOKUP(F64,Purpose!$A$2:$B$334,2,FALSE)</f>
        <v>Met</v>
      </c>
      <c r="C64" s="152" t="s">
        <v>11</v>
      </c>
      <c r="D64" s="1">
        <f t="shared" si="32"/>
        <v>45850.21</v>
      </c>
      <c r="E64" t="s">
        <v>171</v>
      </c>
      <c r="F64" s="501" t="s">
        <v>396</v>
      </c>
      <c r="H64" s="4" t="s">
        <v>392</v>
      </c>
      <c r="I64" s="4">
        <v>4</v>
      </c>
      <c r="J64" s="122">
        <f t="shared" si="33"/>
        <v>520</v>
      </c>
      <c r="K64" s="21">
        <v>55.7</v>
      </c>
      <c r="L64" s="28">
        <v>66.5</v>
      </c>
      <c r="M64" s="22">
        <f t="shared" si="17"/>
        <v>10.799999999999997</v>
      </c>
      <c r="N64" s="30"/>
      <c r="O64" s="26"/>
      <c r="P64" s="31">
        <f t="shared" si="23"/>
        <v>0</v>
      </c>
      <c r="Q64" s="21"/>
      <c r="R64" s="28"/>
      <c r="S64" s="22">
        <f t="shared" si="25"/>
        <v>0</v>
      </c>
      <c r="T64" s="30"/>
      <c r="U64" s="26"/>
      <c r="V64" s="31">
        <f t="shared" si="24"/>
        <v>0</v>
      </c>
      <c r="W64" s="26">
        <f t="shared" si="18"/>
        <v>10.799999999999997</v>
      </c>
      <c r="X64" s="36">
        <f t="shared" si="34"/>
        <v>1889.9999999999995</v>
      </c>
      <c r="Y64" s="301">
        <f t="shared" si="27"/>
        <v>4485</v>
      </c>
      <c r="Z64" s="38">
        <v>1</v>
      </c>
      <c r="AA64" s="38">
        <v>1</v>
      </c>
      <c r="AB64" s="38">
        <v>1</v>
      </c>
      <c r="AC64" s="38">
        <v>13122</v>
      </c>
      <c r="AD64" s="157">
        <f t="shared" si="19"/>
        <v>750</v>
      </c>
      <c r="AE64" s="29">
        <v>9.75</v>
      </c>
      <c r="AF64" s="29">
        <v>1.5</v>
      </c>
      <c r="AG64" s="40"/>
      <c r="AH64" s="44">
        <v>0.5</v>
      </c>
      <c r="AI64" s="13"/>
      <c r="AJ64" s="304"/>
      <c r="AK64" s="45">
        <v>0.25</v>
      </c>
      <c r="AL64" s="23"/>
      <c r="AM64" s="138"/>
      <c r="AN64" s="25">
        <f t="shared" ca="1" si="22"/>
        <v>12</v>
      </c>
      <c r="AO64" s="50"/>
      <c r="AP64" s="53">
        <f t="shared" si="6"/>
        <v>870</v>
      </c>
      <c r="AQ64" s="322"/>
      <c r="AR64" s="119">
        <f>659.72-390</f>
        <v>269.72000000000003</v>
      </c>
      <c r="AS64" s="375">
        <f t="shared" si="7"/>
        <v>6894.72</v>
      </c>
      <c r="AT64" s="375">
        <v>6719.72</v>
      </c>
      <c r="AU64" s="344">
        <f t="shared" si="8"/>
        <v>7.5420031560382433E-2</v>
      </c>
      <c r="AV64" s="18">
        <f>IF(F64="","",(SUM($AS$6:AS64)))</f>
        <v>334813.66999999981</v>
      </c>
      <c r="AW64" s="18">
        <f>IF(AS64&lt;&gt;"", SUMIFS($AS$10:AS64, $BG$10:BG64, BG64), "")</f>
        <v>142708.15000000002</v>
      </c>
      <c r="AX64" s="123">
        <f t="shared" ca="1" si="31"/>
        <v>638.4000000000002</v>
      </c>
      <c r="AY64" s="124" t="str">
        <f t="shared" ca="1" si="10"/>
        <v>LINK</v>
      </c>
      <c r="BA64" s="125" t="s">
        <v>332</v>
      </c>
      <c r="BB64" t="str">
        <f t="shared" si="11"/>
        <v>25</v>
      </c>
      <c r="BC64" t="str">
        <f t="shared" si="12"/>
        <v>07</v>
      </c>
      <c r="BD64">
        <f t="shared" si="13"/>
        <v>12</v>
      </c>
      <c r="BE64" t="str">
        <f t="shared" si="14"/>
        <v>D</v>
      </c>
      <c r="BF64" t="str">
        <f t="shared" si="20"/>
        <v>https://www.coreplan.io/app/ddh1-drilling/speewah-mining-speewah-fluorite-project-wa/plods/1665-250712D</v>
      </c>
      <c r="BG64" t="str">
        <f t="shared" si="15"/>
        <v>2025-07</v>
      </c>
    </row>
    <row r="65" spans="1:59">
      <c r="A65" s="510" t="str">
        <f>VLOOKUP(F65,'Tenement Lookup'!A:BH,60,FALSE)</f>
        <v>M 80/269</v>
      </c>
      <c r="B65" t="str">
        <f>VLOOKUP(F65,Purpose!$A$2:$B$334,2,FALSE)</f>
        <v>Met</v>
      </c>
      <c r="C65" s="152" t="s">
        <v>11</v>
      </c>
      <c r="D65" s="1">
        <f t="shared" si="32"/>
        <v>45850.71</v>
      </c>
      <c r="E65" t="s">
        <v>172</v>
      </c>
      <c r="F65" s="501" t="s">
        <v>396</v>
      </c>
      <c r="H65" s="4" t="s">
        <v>394</v>
      </c>
      <c r="I65" s="4">
        <v>3</v>
      </c>
      <c r="J65" s="122">
        <f t="shared" si="33"/>
        <v>390</v>
      </c>
      <c r="K65" s="21">
        <v>66.5</v>
      </c>
      <c r="L65" s="28">
        <v>87.5</v>
      </c>
      <c r="M65" s="22">
        <f t="shared" si="17"/>
        <v>21</v>
      </c>
      <c r="N65" s="30"/>
      <c r="O65" s="26"/>
      <c r="P65" s="31">
        <f t="shared" si="23"/>
        <v>0</v>
      </c>
      <c r="Q65" s="21"/>
      <c r="R65" s="28"/>
      <c r="S65" s="22">
        <f t="shared" si="25"/>
        <v>0</v>
      </c>
      <c r="T65" s="30"/>
      <c r="U65" s="26"/>
      <c r="V65" s="31">
        <f t="shared" si="24"/>
        <v>0</v>
      </c>
      <c r="W65" s="26">
        <f t="shared" si="18"/>
        <v>21</v>
      </c>
      <c r="X65" s="36">
        <f t="shared" si="34"/>
        <v>3675</v>
      </c>
      <c r="Y65" s="301">
        <f t="shared" si="27"/>
        <v>4945</v>
      </c>
      <c r="Z65" s="38"/>
      <c r="AA65" s="38"/>
      <c r="AB65" s="38"/>
      <c r="AC65" s="38"/>
      <c r="AD65" s="157">
        <f t="shared" si="19"/>
        <v>0</v>
      </c>
      <c r="AE65" s="29">
        <v>10.75</v>
      </c>
      <c r="AF65" s="29">
        <v>0.25</v>
      </c>
      <c r="AG65" s="40"/>
      <c r="AH65" s="44">
        <v>0.5</v>
      </c>
      <c r="AI65" s="13"/>
      <c r="AJ65" s="304"/>
      <c r="AK65" s="45">
        <v>0.5</v>
      </c>
      <c r="AL65" s="23"/>
      <c r="AM65" s="138"/>
      <c r="AN65" s="25">
        <f t="shared" ca="1" si="22"/>
        <v>12</v>
      </c>
      <c r="AO65" s="50"/>
      <c r="AP65" s="53">
        <f t="shared" si="6"/>
        <v>295</v>
      </c>
      <c r="AQ65" s="322"/>
      <c r="AR65" s="119">
        <v>117.93</v>
      </c>
      <c r="AS65" s="375">
        <f t="shared" si="7"/>
        <v>5747.93</v>
      </c>
      <c r="AT65" s="375">
        <v>5747.93</v>
      </c>
      <c r="AU65" s="344">
        <f t="shared" si="8"/>
        <v>6.785051314125258E-2</v>
      </c>
      <c r="AV65" s="18">
        <f>IF(F65="","",(SUM($AS$6:AS65)))</f>
        <v>340561.5999999998</v>
      </c>
      <c r="AW65" s="18">
        <f>IF(AS65&lt;&gt;"", SUMIFS($AS$10:AS65, $BG$10:BG65, BG65), "")</f>
        <v>148456.08000000002</v>
      </c>
      <c r="AX65" s="123">
        <f t="shared" ca="1" si="31"/>
        <v>273.71095238095239</v>
      </c>
      <c r="AY65" s="124" t="str">
        <f t="shared" ca="1" si="10"/>
        <v>LINK</v>
      </c>
      <c r="BA65" s="125" t="s">
        <v>332</v>
      </c>
      <c r="BB65" t="str">
        <f t="shared" si="11"/>
        <v>25</v>
      </c>
      <c r="BC65" t="str">
        <f t="shared" si="12"/>
        <v>07</v>
      </c>
      <c r="BD65">
        <f t="shared" si="13"/>
        <v>12</v>
      </c>
      <c r="BE65" t="str">
        <f t="shared" si="14"/>
        <v>N</v>
      </c>
      <c r="BF65" t="str">
        <f t="shared" si="20"/>
        <v>https://www.coreplan.io/app/ddh1-drilling/speewah-mining-speewah-fluorite-project-wa/plods/1665-250712N</v>
      </c>
      <c r="BG65" t="str">
        <f t="shared" si="15"/>
        <v>2025-07</v>
      </c>
    </row>
    <row r="66" spans="1:59">
      <c r="A66" s="510" t="str">
        <f>VLOOKUP(F66,'Tenement Lookup'!A:BH,60,FALSE)</f>
        <v>M 80/269</v>
      </c>
      <c r="B66" t="str">
        <f>VLOOKUP(F66,Purpose!$A$2:$B$334,2,FALSE)</f>
        <v>Met</v>
      </c>
      <c r="C66" s="152" t="s">
        <v>11</v>
      </c>
      <c r="D66" s="1">
        <f t="shared" si="32"/>
        <v>45851.21</v>
      </c>
      <c r="E66" t="s">
        <v>171</v>
      </c>
      <c r="F66" s="501" t="s">
        <v>396</v>
      </c>
      <c r="H66" s="4" t="s">
        <v>392</v>
      </c>
      <c r="I66" s="4">
        <v>4</v>
      </c>
      <c r="J66" s="122">
        <f t="shared" si="33"/>
        <v>520</v>
      </c>
      <c r="K66" s="21">
        <v>87.5</v>
      </c>
      <c r="L66" s="28">
        <v>90.5</v>
      </c>
      <c r="M66" s="22">
        <f t="shared" si="17"/>
        <v>3</v>
      </c>
      <c r="N66" s="30"/>
      <c r="O66" s="26"/>
      <c r="P66" s="31">
        <f t="shared" si="23"/>
        <v>0</v>
      </c>
      <c r="Q66" s="21"/>
      <c r="R66" s="28"/>
      <c r="S66" s="22">
        <f t="shared" si="25"/>
        <v>0</v>
      </c>
      <c r="T66" s="30"/>
      <c r="U66" s="26"/>
      <c r="V66" s="31">
        <f t="shared" si="24"/>
        <v>0</v>
      </c>
      <c r="W66" s="26">
        <f t="shared" si="18"/>
        <v>3</v>
      </c>
      <c r="X66" s="36">
        <f t="shared" si="34"/>
        <v>525</v>
      </c>
      <c r="Y66" s="301">
        <f t="shared" si="27"/>
        <v>525</v>
      </c>
      <c r="Z66" s="38">
        <v>1</v>
      </c>
      <c r="AA66" s="38">
        <v>1</v>
      </c>
      <c r="AB66" s="38">
        <v>1</v>
      </c>
      <c r="AC66" s="38">
        <v>13122</v>
      </c>
      <c r="AD66" s="157">
        <f t="shared" si="19"/>
        <v>750</v>
      </c>
      <c r="AE66" s="29">
        <v>1</v>
      </c>
      <c r="AF66" s="29">
        <v>10.5</v>
      </c>
      <c r="AG66" s="40" t="s">
        <v>400</v>
      </c>
      <c r="AH66" s="44">
        <v>0.5</v>
      </c>
      <c r="AI66" s="13"/>
      <c r="AJ66" s="304"/>
      <c r="AK66" s="45"/>
      <c r="AL66" s="23"/>
      <c r="AM66" s="138"/>
      <c r="AN66" s="25">
        <f t="shared" ca="1" si="22"/>
        <v>12</v>
      </c>
      <c r="AO66" s="50"/>
      <c r="AP66" s="53">
        <f t="shared" si="6"/>
        <v>5010</v>
      </c>
      <c r="AQ66" s="322"/>
      <c r="AR66" s="119">
        <v>0</v>
      </c>
      <c r="AS66" s="375">
        <f t="shared" si="7"/>
        <v>6805</v>
      </c>
      <c r="AT66" s="375">
        <v>6630</v>
      </c>
      <c r="AU66" s="344">
        <f t="shared" si="8"/>
        <v>7.6414401175606175E-2</v>
      </c>
      <c r="AV66" s="18">
        <f>IF(F66="","",(SUM($AS$6:AS66)))</f>
        <v>347366.5999999998</v>
      </c>
      <c r="AW66" s="18">
        <f>IF(AS66&lt;&gt;"", SUMIFS($AS$10:AS66, $BG$10:BG66, BG66), "")</f>
        <v>155261.08000000002</v>
      </c>
      <c r="AX66" s="123">
        <f t="shared" ca="1" si="31"/>
        <v>2268.3333333333335</v>
      </c>
      <c r="AY66" s="124" t="str">
        <f t="shared" ca="1" si="10"/>
        <v>LINK</v>
      </c>
      <c r="BA66" s="125" t="s">
        <v>332</v>
      </c>
      <c r="BB66" t="str">
        <f t="shared" si="11"/>
        <v>25</v>
      </c>
      <c r="BC66" t="str">
        <f t="shared" si="12"/>
        <v>07</v>
      </c>
      <c r="BD66">
        <f t="shared" si="13"/>
        <v>13</v>
      </c>
      <c r="BE66" t="str">
        <f t="shared" si="14"/>
        <v>D</v>
      </c>
      <c r="BF66" t="str">
        <f t="shared" si="20"/>
        <v>https://www.coreplan.io/app/ddh1-drilling/speewah-mining-speewah-fluorite-project-wa/plods/1665-250713D</v>
      </c>
      <c r="BG66" t="str">
        <f t="shared" si="15"/>
        <v>2025-07</v>
      </c>
    </row>
    <row r="67" spans="1:59">
      <c r="A67" s="510" t="str">
        <f>VLOOKUP(F67,'Tenement Lookup'!A:BH,60,FALSE)</f>
        <v>M 80/268</v>
      </c>
      <c r="B67" t="str">
        <f>VLOOKUP(F67,Purpose!$A$2:$B$334,2,FALSE)</f>
        <v>Met</v>
      </c>
      <c r="C67" s="152" t="s">
        <v>11</v>
      </c>
      <c r="D67" s="1">
        <f t="shared" si="32"/>
        <v>45851.71</v>
      </c>
      <c r="E67" t="s">
        <v>172</v>
      </c>
      <c r="F67" s="501" t="s">
        <v>371</v>
      </c>
      <c r="H67" s="4" t="s">
        <v>394</v>
      </c>
      <c r="I67" s="4">
        <v>3</v>
      </c>
      <c r="J67" s="122">
        <f t="shared" si="33"/>
        <v>390</v>
      </c>
      <c r="K67" s="21">
        <v>66.400000000000006</v>
      </c>
      <c r="L67" s="28">
        <v>80.900000000000006</v>
      </c>
      <c r="M67" s="22">
        <f t="shared" si="17"/>
        <v>14.5</v>
      </c>
      <c r="N67" s="30"/>
      <c r="O67" s="26"/>
      <c r="P67" s="31">
        <f t="shared" si="23"/>
        <v>0</v>
      </c>
      <c r="Q67" s="21"/>
      <c r="R67" s="28"/>
      <c r="S67" s="22">
        <f t="shared" si="25"/>
        <v>0</v>
      </c>
      <c r="T67" s="30"/>
      <c r="U67" s="26"/>
      <c r="V67" s="31">
        <f t="shared" si="24"/>
        <v>0</v>
      </c>
      <c r="W67" s="26">
        <f t="shared" si="18"/>
        <v>14.5</v>
      </c>
      <c r="X67" s="36">
        <f t="shared" si="34"/>
        <v>2537.5</v>
      </c>
      <c r="Y67" s="301">
        <f t="shared" si="27"/>
        <v>3450</v>
      </c>
      <c r="Z67" s="38"/>
      <c r="AA67" s="38"/>
      <c r="AB67" s="38"/>
      <c r="AC67" s="38"/>
      <c r="AD67" s="157">
        <f t="shared" si="19"/>
        <v>0</v>
      </c>
      <c r="AE67" s="29">
        <v>7.5</v>
      </c>
      <c r="AF67" s="29">
        <v>3.75</v>
      </c>
      <c r="AG67" s="40"/>
      <c r="AH67" s="44">
        <v>0.75</v>
      </c>
      <c r="AI67" s="13"/>
      <c r="AJ67" s="304"/>
      <c r="AK67" s="45"/>
      <c r="AL67" s="23"/>
      <c r="AM67" s="138"/>
      <c r="AN67" s="25">
        <f t="shared" ca="1" si="22"/>
        <v>12</v>
      </c>
      <c r="AO67" s="50"/>
      <c r="AP67" s="53">
        <f t="shared" si="6"/>
        <v>1995</v>
      </c>
      <c r="AQ67" s="322"/>
      <c r="AR67" s="119">
        <v>117.93</v>
      </c>
      <c r="AS67" s="375">
        <f t="shared" si="7"/>
        <v>5952.93</v>
      </c>
      <c r="AT67" s="375">
        <v>5952.93</v>
      </c>
      <c r="AU67" s="344">
        <f t="shared" si="8"/>
        <v>6.5513956992606995E-2</v>
      </c>
      <c r="AV67" s="18">
        <f>IF(F67="","",(SUM($AS$6:AS67)))</f>
        <v>353319.5299999998</v>
      </c>
      <c r="AW67" s="18">
        <f>IF(AS67&lt;&gt;"", SUMIFS($AS$10:AS67, $BG$10:BG67, BG67), "")</f>
        <v>161214.01</v>
      </c>
      <c r="AX67" s="123">
        <f t="shared" ca="1" si="31"/>
        <v>410.54689655172416</v>
      </c>
      <c r="AY67" s="124" t="str">
        <f t="shared" ca="1" si="10"/>
        <v>LINK</v>
      </c>
      <c r="AZ67" t="s">
        <v>401</v>
      </c>
      <c r="BA67" s="125" t="s">
        <v>332</v>
      </c>
      <c r="BB67" t="str">
        <f t="shared" si="11"/>
        <v>25</v>
      </c>
      <c r="BC67" t="str">
        <f t="shared" si="12"/>
        <v>07</v>
      </c>
      <c r="BD67">
        <f t="shared" si="13"/>
        <v>13</v>
      </c>
      <c r="BE67" t="str">
        <f t="shared" si="14"/>
        <v>N</v>
      </c>
      <c r="BF67" t="str">
        <f t="shared" si="20"/>
        <v>https://www.coreplan.io/app/ddh1-drilling/speewah-mining-speewah-fluorite-project-wa/plods/1665-250713N</v>
      </c>
      <c r="BG67" t="str">
        <f t="shared" si="15"/>
        <v>2025-07</v>
      </c>
    </row>
    <row r="68" spans="1:59">
      <c r="A68" s="510" t="str">
        <f>VLOOKUP(F68,'Tenement Lookup'!A:BH,60,FALSE)</f>
        <v>M 80/268</v>
      </c>
      <c r="B68" t="str">
        <f>VLOOKUP(F68,Purpose!$A$2:$B$334,2,FALSE)</f>
        <v>Met</v>
      </c>
      <c r="C68" s="152" t="s">
        <v>11</v>
      </c>
      <c r="D68" s="1">
        <f t="shared" si="32"/>
        <v>45852.21</v>
      </c>
      <c r="E68" t="s">
        <v>171</v>
      </c>
      <c r="F68" s="501" t="s">
        <v>371</v>
      </c>
      <c r="H68" s="4" t="s">
        <v>392</v>
      </c>
      <c r="I68" s="4">
        <v>3</v>
      </c>
      <c r="J68" s="122">
        <f t="shared" si="33"/>
        <v>390</v>
      </c>
      <c r="K68" s="21">
        <v>80.900000000000006</v>
      </c>
      <c r="L68" s="28">
        <v>93.6</v>
      </c>
      <c r="M68" s="22">
        <f t="shared" si="17"/>
        <v>12.699999999999989</v>
      </c>
      <c r="N68" s="30"/>
      <c r="O68" s="26"/>
      <c r="P68" s="31">
        <f t="shared" si="23"/>
        <v>0</v>
      </c>
      <c r="Q68" s="21"/>
      <c r="R68" s="28"/>
      <c r="S68" s="22">
        <f t="shared" si="25"/>
        <v>0</v>
      </c>
      <c r="T68" s="30"/>
      <c r="U68" s="26"/>
      <c r="V68" s="31">
        <f t="shared" si="24"/>
        <v>0</v>
      </c>
      <c r="W68" s="26">
        <f t="shared" si="18"/>
        <v>12.699999999999989</v>
      </c>
      <c r="X68" s="36">
        <f t="shared" si="34"/>
        <v>2222.4999999999982</v>
      </c>
      <c r="Y68" s="301">
        <f t="shared" si="27"/>
        <v>4140</v>
      </c>
      <c r="Z68" s="38">
        <v>1</v>
      </c>
      <c r="AA68" s="38">
        <v>1</v>
      </c>
      <c r="AB68" s="38">
        <v>1</v>
      </c>
      <c r="AC68" s="38">
        <v>13122</v>
      </c>
      <c r="AD68" s="157">
        <f t="shared" si="19"/>
        <v>750</v>
      </c>
      <c r="AE68" s="29">
        <v>9</v>
      </c>
      <c r="AF68" s="29">
        <v>2.5</v>
      </c>
      <c r="AG68" s="40"/>
      <c r="AH68" s="44">
        <v>0.5</v>
      </c>
      <c r="AI68" s="13"/>
      <c r="AJ68" s="304"/>
      <c r="AK68" s="45"/>
      <c r="AL68" s="23"/>
      <c r="AM68" s="138"/>
      <c r="AN68" s="25">
        <f t="shared" ca="1" si="22"/>
        <v>12</v>
      </c>
      <c r="AO68" s="50"/>
      <c r="AP68" s="53">
        <f t="shared" si="6"/>
        <v>1330</v>
      </c>
      <c r="AQ68" s="322"/>
      <c r="AR68" s="119">
        <v>220</v>
      </c>
      <c r="AS68" s="375">
        <f t="shared" si="7"/>
        <v>6830</v>
      </c>
      <c r="AT68" s="375">
        <v>6655</v>
      </c>
      <c r="AU68" s="344">
        <f t="shared" si="8"/>
        <v>5.7101024890190338E-2</v>
      </c>
      <c r="AV68" s="18">
        <f>IF(F68="","",(SUM($AS$6:AS68)))</f>
        <v>360149.5299999998</v>
      </c>
      <c r="AW68" s="18">
        <f>IF(AS68&lt;&gt;"", SUMIFS($AS$10:AS68, $BG$10:BG68, BG68), "")</f>
        <v>168044.01</v>
      </c>
      <c r="AX68" s="123">
        <f t="shared" ca="1" si="31"/>
        <v>537.79527559055168</v>
      </c>
      <c r="AY68" s="124" t="str">
        <f t="shared" ca="1" si="10"/>
        <v>LINK</v>
      </c>
      <c r="AZ68" t="s">
        <v>402</v>
      </c>
      <c r="BA68" s="125" t="s">
        <v>332</v>
      </c>
      <c r="BB68" t="str">
        <f t="shared" si="11"/>
        <v>25</v>
      </c>
      <c r="BC68" t="str">
        <f t="shared" si="12"/>
        <v>07</v>
      </c>
      <c r="BD68">
        <f t="shared" si="13"/>
        <v>14</v>
      </c>
      <c r="BE68" t="str">
        <f t="shared" si="14"/>
        <v>D</v>
      </c>
      <c r="BF68" t="str">
        <f t="shared" si="20"/>
        <v>https://www.coreplan.io/app/ddh1-drilling/speewah-mining-speewah-fluorite-project-wa/plods/1665-250714D</v>
      </c>
      <c r="BG68" t="str">
        <f t="shared" si="15"/>
        <v>2025-07</v>
      </c>
    </row>
    <row r="69" spans="1:59">
      <c r="A69" s="510" t="str">
        <f>VLOOKUP(F69,'Tenement Lookup'!A:BH,60,FALSE)</f>
        <v>M 80/268</v>
      </c>
      <c r="B69" t="str">
        <f>VLOOKUP(F69,Purpose!$A$2:$B$334,2,FALSE)</f>
        <v>Met</v>
      </c>
      <c r="C69" s="152" t="s">
        <v>11</v>
      </c>
      <c r="D69" s="1">
        <f t="shared" si="32"/>
        <v>45852.71</v>
      </c>
      <c r="E69" t="s">
        <v>172</v>
      </c>
      <c r="F69" s="501" t="s">
        <v>371</v>
      </c>
      <c r="H69" s="4" t="s">
        <v>394</v>
      </c>
      <c r="I69" s="4">
        <v>3</v>
      </c>
      <c r="J69" s="122">
        <f t="shared" si="33"/>
        <v>390</v>
      </c>
      <c r="K69" s="21">
        <v>93.6</v>
      </c>
      <c r="L69" s="28">
        <v>117.6</v>
      </c>
      <c r="M69" s="22">
        <f t="shared" si="17"/>
        <v>24</v>
      </c>
      <c r="N69" s="30"/>
      <c r="O69" s="26"/>
      <c r="P69" s="31">
        <f t="shared" si="23"/>
        <v>0</v>
      </c>
      <c r="Q69" s="21"/>
      <c r="R69" s="28"/>
      <c r="S69" s="22">
        <f t="shared" si="25"/>
        <v>0</v>
      </c>
      <c r="T69" s="30"/>
      <c r="U69" s="26"/>
      <c r="V69" s="31">
        <f t="shared" si="24"/>
        <v>0</v>
      </c>
      <c r="W69" s="26">
        <f t="shared" si="18"/>
        <v>24</v>
      </c>
      <c r="X69" s="36">
        <f t="shared" si="34"/>
        <v>4200</v>
      </c>
      <c r="Y69" s="301">
        <f t="shared" si="27"/>
        <v>4945</v>
      </c>
      <c r="Z69" s="38"/>
      <c r="AA69" s="38"/>
      <c r="AB69" s="38"/>
      <c r="AC69" s="38"/>
      <c r="AD69" s="157">
        <f t="shared" si="19"/>
        <v>0</v>
      </c>
      <c r="AE69" s="29">
        <v>10.75</v>
      </c>
      <c r="AF69" s="29">
        <v>0.5</v>
      </c>
      <c r="AG69" s="40"/>
      <c r="AH69" s="44">
        <v>0.75</v>
      </c>
      <c r="AI69" s="13"/>
      <c r="AJ69" s="304"/>
      <c r="AK69" s="45"/>
      <c r="AL69" s="23"/>
      <c r="AM69" s="138"/>
      <c r="AN69" s="25">
        <f t="shared" ca="1" si="22"/>
        <v>12</v>
      </c>
      <c r="AO69" s="50"/>
      <c r="AP69" s="53">
        <f t="shared" si="6"/>
        <v>500</v>
      </c>
      <c r="AQ69" s="322"/>
      <c r="AR69" s="119">
        <v>236.49</v>
      </c>
      <c r="AS69" s="375">
        <f t="shared" si="7"/>
        <v>6071.49</v>
      </c>
      <c r="AT69" s="375">
        <v>6071.49</v>
      </c>
      <c r="AU69" s="344">
        <f t="shared" si="8"/>
        <v>6.4234644214187953E-2</v>
      </c>
      <c r="AV69" s="18">
        <f>IF(F69="","",(SUM($AS$6:AS69)))</f>
        <v>366221.01999999979</v>
      </c>
      <c r="AW69" s="18">
        <f>IF(AS69&lt;&gt;"", SUMIFS($AS$10:AS69, $BG$10:BG69, BG69), "")</f>
        <v>174115.5</v>
      </c>
      <c r="AX69" s="123">
        <f t="shared" ca="1" si="31"/>
        <v>252.97874999999999</v>
      </c>
      <c r="AY69" s="124" t="str">
        <f t="shared" ca="1" si="10"/>
        <v>LINK</v>
      </c>
      <c r="BA69" s="125" t="s">
        <v>332</v>
      </c>
      <c r="BB69" t="str">
        <f t="shared" si="11"/>
        <v>25</v>
      </c>
      <c r="BC69" t="str">
        <f t="shared" si="12"/>
        <v>07</v>
      </c>
      <c r="BD69">
        <f t="shared" si="13"/>
        <v>14</v>
      </c>
      <c r="BE69" t="str">
        <f t="shared" si="14"/>
        <v>N</v>
      </c>
      <c r="BF69" t="str">
        <f t="shared" si="20"/>
        <v>https://www.coreplan.io/app/ddh1-drilling/speewah-mining-speewah-fluorite-project-wa/plods/1665-250714N</v>
      </c>
      <c r="BG69" t="str">
        <f t="shared" si="15"/>
        <v>2025-07</v>
      </c>
    </row>
    <row r="70" spans="1:59">
      <c r="A70" s="510" t="str">
        <f>VLOOKUP(F70,'Tenement Lookup'!A:BH,60,FALSE)</f>
        <v>M 80/268</v>
      </c>
      <c r="B70" t="str">
        <f>VLOOKUP(F70,Purpose!$A$2:$B$334,2,FALSE)</f>
        <v>Met</v>
      </c>
      <c r="C70" s="152" t="s">
        <v>11</v>
      </c>
      <c r="D70" s="1">
        <f t="shared" si="32"/>
        <v>45853.21</v>
      </c>
      <c r="E70" t="s">
        <v>171</v>
      </c>
      <c r="F70" s="501" t="s">
        <v>371</v>
      </c>
      <c r="G70" s="8" t="s">
        <v>403</v>
      </c>
      <c r="H70" s="4" t="s">
        <v>392</v>
      </c>
      <c r="I70" s="4">
        <v>3</v>
      </c>
      <c r="J70" s="122">
        <f t="shared" si="33"/>
        <v>390</v>
      </c>
      <c r="K70" s="21">
        <v>117.6</v>
      </c>
      <c r="L70" s="28">
        <v>120.2</v>
      </c>
      <c r="M70" s="22">
        <f t="shared" si="17"/>
        <v>2.6000000000000085</v>
      </c>
      <c r="N70" s="30"/>
      <c r="O70" s="26"/>
      <c r="P70" s="31">
        <f t="shared" si="23"/>
        <v>0</v>
      </c>
      <c r="Q70" s="21">
        <v>0</v>
      </c>
      <c r="R70" s="28">
        <v>7.7</v>
      </c>
      <c r="S70" s="22">
        <f t="shared" si="25"/>
        <v>7.7</v>
      </c>
      <c r="T70" s="30"/>
      <c r="U70" s="26"/>
      <c r="V70" s="31">
        <f t="shared" si="24"/>
        <v>0</v>
      </c>
      <c r="W70" s="26">
        <f t="shared" si="18"/>
        <v>10.300000000000008</v>
      </c>
      <c r="X70" s="36">
        <f t="shared" si="34"/>
        <v>1802.5000000000014</v>
      </c>
      <c r="Y70" s="301">
        <f t="shared" ref="Y70:Y101" si="36">IF(F70&lt;&gt;"",IF(X70&lt;(AE70*$AE$2),(AE70*$AE$2),X70),"")</f>
        <v>1840</v>
      </c>
      <c r="Z70" s="38">
        <v>1</v>
      </c>
      <c r="AA70" s="38">
        <v>1</v>
      </c>
      <c r="AB70" s="38">
        <v>1</v>
      </c>
      <c r="AC70" s="38">
        <v>13122</v>
      </c>
      <c r="AD70" s="157">
        <f t="shared" si="19"/>
        <v>750</v>
      </c>
      <c r="AE70" s="29">
        <v>4</v>
      </c>
      <c r="AF70" s="29">
        <v>7.5</v>
      </c>
      <c r="AG70" s="40"/>
      <c r="AH70" s="44">
        <v>0.5</v>
      </c>
      <c r="AI70" s="13"/>
      <c r="AJ70" s="304"/>
      <c r="AK70" s="45"/>
      <c r="AL70" s="23"/>
      <c r="AM70" s="138"/>
      <c r="AN70" s="25">
        <f t="shared" ca="1" si="22"/>
        <v>12</v>
      </c>
      <c r="AO70" s="50"/>
      <c r="AP70" s="53">
        <f t="shared" ref="AP70:AP133" si="37">(AF70*$AF$2)+(AH70*$AH$2)+(AI70*$AI$2)</f>
        <v>3630</v>
      </c>
      <c r="AQ70" s="322"/>
      <c r="AR70" s="119">
        <v>277.39999999999998</v>
      </c>
      <c r="AS70" s="375">
        <f t="shared" ref="AS70:AS133" si="38">SUM(Y70,AP70,AR70,AD70,J70)</f>
        <v>6887.4</v>
      </c>
      <c r="AT70" s="375">
        <v>6712.4</v>
      </c>
      <c r="AU70" s="344">
        <f t="shared" ref="AU70:AU133" si="39">IFERROR(J70/AS70,"")</f>
        <v>5.6625141562853913E-2</v>
      </c>
      <c r="AV70" s="18">
        <f>IF(F70="","",(SUM($AS$6:AS70)))</f>
        <v>373108.41999999981</v>
      </c>
      <c r="AW70" s="18">
        <f>IF(AS70&lt;&gt;"", SUMIFS($AS$10:AS70, $BG$10:BG70, BG70), "")</f>
        <v>181002.9</v>
      </c>
      <c r="AX70" s="123">
        <f t="shared" ca="1" si="31"/>
        <v>668.67961165048484</v>
      </c>
      <c r="AY70" s="124" t="str">
        <f t="shared" ref="AY70:AY133" ca="1" si="40">IF(D70&lt;TODAY(),HYPERLINK(BF70,"LINK"),"")</f>
        <v>LINK</v>
      </c>
      <c r="AZ70" t="s">
        <v>404</v>
      </c>
      <c r="BA70" s="125" t="s">
        <v>332</v>
      </c>
      <c r="BB70" t="str">
        <f t="shared" ref="BB70:BB133" si="41">RIGHT(YEAR(D70),2)</f>
        <v>25</v>
      </c>
      <c r="BC70" t="str">
        <f t="shared" ref="BC70:BC133" si="42">IF(LEN(MONTH(D70))=1,_xlfn.TEXTJOIN(,,"0",MONTH(D70)),MONTH(D70))</f>
        <v>07</v>
      </c>
      <c r="BD70">
        <f t="shared" ref="BD70:BD133" si="43">IF(LEN(DAY(D70))=1,_xlfn.TEXTJOIN(,,"0",DAY(D70)),DAY(D70))</f>
        <v>15</v>
      </c>
      <c r="BE70" t="str">
        <f t="shared" ref="BE70:BE133" si="44">LEFT(E70,1)</f>
        <v>D</v>
      </c>
      <c r="BF70" t="str">
        <f t="shared" si="20"/>
        <v>https://www.coreplan.io/app/ddh1-drilling/speewah-mining-speewah-fluorite-project-wa/plods/1665-250715D</v>
      </c>
      <c r="BG70" t="str">
        <f t="shared" ref="BG70:BG133" si="45">TEXT(D70, "yyyy-mm")</f>
        <v>2025-07</v>
      </c>
    </row>
    <row r="71" spans="1:59">
      <c r="A71" s="510" t="str">
        <f>VLOOKUP(F71,'Tenement Lookup'!A:BH,60,FALSE)</f>
        <v>M 80/268</v>
      </c>
      <c r="B71" t="str">
        <f>VLOOKUP(F71,Purpose!$A$2:$B$334,2,FALSE)</f>
        <v>Met</v>
      </c>
      <c r="C71" s="152" t="s">
        <v>11</v>
      </c>
      <c r="D71" s="1">
        <f t="shared" si="32"/>
        <v>45853.71</v>
      </c>
      <c r="E71" t="s">
        <v>172</v>
      </c>
      <c r="F71" s="501" t="s">
        <v>403</v>
      </c>
      <c r="H71" s="4" t="s">
        <v>394</v>
      </c>
      <c r="I71" s="4">
        <v>3</v>
      </c>
      <c r="J71" s="122">
        <f t="shared" si="33"/>
        <v>390</v>
      </c>
      <c r="K71" s="21">
        <v>7.7</v>
      </c>
      <c r="L71" s="28">
        <v>21.5</v>
      </c>
      <c r="M71" s="22">
        <f t="shared" ref="M71:M112" si="46">IF(ISBLANK(K71),"",L71-K71)</f>
        <v>13.8</v>
      </c>
      <c r="N71" s="30"/>
      <c r="O71" s="26"/>
      <c r="P71" s="31">
        <f t="shared" si="23"/>
        <v>0</v>
      </c>
      <c r="Q71" s="21"/>
      <c r="R71" s="28"/>
      <c r="S71" s="22">
        <f t="shared" si="25"/>
        <v>0</v>
      </c>
      <c r="T71" s="30"/>
      <c r="U71" s="26"/>
      <c r="V71" s="31">
        <f t="shared" si="24"/>
        <v>0</v>
      </c>
      <c r="W71" s="26">
        <f t="shared" ref="W71:W134" si="47">IFERROR(M71+P71+S71+V71,"")</f>
        <v>13.8</v>
      </c>
      <c r="X71" s="36">
        <f t="shared" si="34"/>
        <v>2415</v>
      </c>
      <c r="Y71" s="301">
        <f t="shared" si="36"/>
        <v>2415</v>
      </c>
      <c r="Z71" s="38"/>
      <c r="AA71" s="38"/>
      <c r="AB71" s="38"/>
      <c r="AC71" s="38"/>
      <c r="AD71" s="157">
        <f t="shared" ref="AD71:AD134" si="48">SUMPRODUCT(Z71:AB71,$Z$2:$AB$2)</f>
        <v>0</v>
      </c>
      <c r="AE71" s="29">
        <v>5.25</v>
      </c>
      <c r="AF71" s="29">
        <v>1</v>
      </c>
      <c r="AG71" s="40" t="s">
        <v>242</v>
      </c>
      <c r="AH71" s="44">
        <v>2.75</v>
      </c>
      <c r="AI71" s="13"/>
      <c r="AJ71" s="304" t="s">
        <v>405</v>
      </c>
      <c r="AK71" s="45">
        <v>3</v>
      </c>
      <c r="AL71" s="23"/>
      <c r="AM71" s="138"/>
      <c r="AN71" s="25">
        <f t="shared" ca="1" si="22"/>
        <v>12</v>
      </c>
      <c r="AO71" s="50"/>
      <c r="AP71" s="53">
        <f t="shared" si="37"/>
        <v>1450</v>
      </c>
      <c r="AQ71" s="322"/>
      <c r="AR71" s="119">
        <v>3105.93</v>
      </c>
      <c r="AS71" s="375">
        <f t="shared" si="38"/>
        <v>7360.93</v>
      </c>
      <c r="AT71" s="375">
        <v>7360.93</v>
      </c>
      <c r="AU71" s="344">
        <f t="shared" si="39"/>
        <v>5.2982435643322244E-2</v>
      </c>
      <c r="AV71" s="18">
        <f>IF(F71="","",(SUM($AS$6:AS71)))</f>
        <v>380469.3499999998</v>
      </c>
      <c r="AW71" s="18">
        <f>IF(AS71&lt;&gt;"", SUMIFS($AS$10:AS71, $BG$10:BG71, BG71), "")</f>
        <v>188363.83</v>
      </c>
      <c r="AX71" s="123">
        <f t="shared" ca="1" si="31"/>
        <v>533.40072463768115</v>
      </c>
      <c r="AY71" s="124" t="str">
        <f t="shared" ca="1" si="40"/>
        <v>LINK</v>
      </c>
      <c r="AZ71" t="s">
        <v>406</v>
      </c>
      <c r="BA71" s="125" t="s">
        <v>332</v>
      </c>
      <c r="BB71" t="str">
        <f t="shared" si="41"/>
        <v>25</v>
      </c>
      <c r="BC71" t="str">
        <f t="shared" si="42"/>
        <v>07</v>
      </c>
      <c r="BD71">
        <f t="shared" si="43"/>
        <v>15</v>
      </c>
      <c r="BE71" t="str">
        <f t="shared" si="44"/>
        <v>N</v>
      </c>
      <c r="BF71" t="str">
        <f t="shared" ref="BF71:BF134" si="49">CONCATENATE(BA71,BB71,BC71,BD71,BE71)</f>
        <v>https://www.coreplan.io/app/ddh1-drilling/speewah-mining-speewah-fluorite-project-wa/plods/1665-250715N</v>
      </c>
      <c r="BG71" t="str">
        <f t="shared" si="45"/>
        <v>2025-07</v>
      </c>
    </row>
    <row r="72" spans="1:59">
      <c r="A72" s="510" t="str">
        <f>VLOOKUP(F72,'Tenement Lookup'!A:BH,60,FALSE)</f>
        <v>M 80/268</v>
      </c>
      <c r="B72" t="str">
        <f>VLOOKUP(F72,Purpose!$A$2:$B$334,2,FALSE)</f>
        <v>Met</v>
      </c>
      <c r="C72" s="152" t="s">
        <v>11</v>
      </c>
      <c r="D72" s="1">
        <f t="shared" si="32"/>
        <v>45854.21</v>
      </c>
      <c r="E72" t="s">
        <v>171</v>
      </c>
      <c r="F72" s="501" t="s">
        <v>403</v>
      </c>
      <c r="H72" s="4" t="s">
        <v>407</v>
      </c>
      <c r="I72" s="4">
        <v>3</v>
      </c>
      <c r="J72" s="122">
        <f t="shared" si="33"/>
        <v>390</v>
      </c>
      <c r="K72" s="21">
        <v>21.5</v>
      </c>
      <c r="L72" s="28">
        <v>21.5</v>
      </c>
      <c r="M72" s="22">
        <f t="shared" si="46"/>
        <v>0</v>
      </c>
      <c r="N72" s="30"/>
      <c r="O72" s="26"/>
      <c r="P72" s="31">
        <f t="shared" si="23"/>
        <v>0</v>
      </c>
      <c r="Q72" s="21"/>
      <c r="R72" s="28"/>
      <c r="S72" s="22">
        <f t="shared" si="25"/>
        <v>0</v>
      </c>
      <c r="T72" s="30"/>
      <c r="U72" s="26"/>
      <c r="V72" s="31">
        <f t="shared" si="24"/>
        <v>0</v>
      </c>
      <c r="W72" s="26">
        <f t="shared" si="47"/>
        <v>0</v>
      </c>
      <c r="X72" s="36">
        <f t="shared" si="34"/>
        <v>0</v>
      </c>
      <c r="Y72" s="301">
        <f t="shared" si="36"/>
        <v>0</v>
      </c>
      <c r="Z72" s="38"/>
      <c r="AA72" s="38">
        <v>1</v>
      </c>
      <c r="AB72" s="38">
        <v>1</v>
      </c>
      <c r="AC72" s="38">
        <v>13122</v>
      </c>
      <c r="AD72" s="157">
        <f t="shared" si="48"/>
        <v>575</v>
      </c>
      <c r="AE72" s="29">
        <v>0</v>
      </c>
      <c r="AF72" s="29">
        <v>0.5</v>
      </c>
      <c r="AG72" s="40" t="s">
        <v>242</v>
      </c>
      <c r="AH72" s="44">
        <v>0.75</v>
      </c>
      <c r="AI72" s="13"/>
      <c r="AJ72" s="304"/>
      <c r="AK72" s="45">
        <v>9</v>
      </c>
      <c r="AL72" s="23">
        <v>1.75</v>
      </c>
      <c r="AM72" s="138"/>
      <c r="AN72" s="25">
        <f t="shared" ca="1" si="22"/>
        <v>12</v>
      </c>
      <c r="AO72" s="50"/>
      <c r="AP72" s="53">
        <f t="shared" si="37"/>
        <v>500</v>
      </c>
      <c r="AQ72" s="322"/>
      <c r="AR72" s="119"/>
      <c r="AS72" s="375">
        <f t="shared" si="38"/>
        <v>1465</v>
      </c>
      <c r="AT72" s="375">
        <v>1465</v>
      </c>
      <c r="AU72" s="344">
        <f t="shared" si="39"/>
        <v>0.26621160409556316</v>
      </c>
      <c r="AV72" s="18">
        <f>IF(F72="","",(SUM($AS$6:AS72)))</f>
        <v>381934.3499999998</v>
      </c>
      <c r="AW72" s="18">
        <f>IF(AS72&lt;&gt;"", SUMIFS($AS$10:AS72, $BG$10:BG72, BG72), "")</f>
        <v>189828.83</v>
      </c>
      <c r="AX72" s="123" t="str">
        <f t="shared" ca="1" si="31"/>
        <v/>
      </c>
      <c r="AY72" s="124" t="str">
        <f t="shared" ca="1" si="40"/>
        <v>LINK</v>
      </c>
      <c r="AZ72" t="s">
        <v>408</v>
      </c>
      <c r="BA72" s="125" t="s">
        <v>332</v>
      </c>
      <c r="BB72" t="str">
        <f t="shared" si="41"/>
        <v>25</v>
      </c>
      <c r="BC72" t="str">
        <f t="shared" si="42"/>
        <v>07</v>
      </c>
      <c r="BD72">
        <f t="shared" si="43"/>
        <v>16</v>
      </c>
      <c r="BE72" t="str">
        <f t="shared" si="44"/>
        <v>D</v>
      </c>
      <c r="BF72" t="str">
        <f t="shared" si="49"/>
        <v>https://www.coreplan.io/app/ddh1-drilling/speewah-mining-speewah-fluorite-project-wa/plods/1665-250716D</v>
      </c>
      <c r="BG72" t="str">
        <f t="shared" si="45"/>
        <v>2025-07</v>
      </c>
    </row>
    <row r="73" spans="1:59">
      <c r="A73" s="510" t="str">
        <f>VLOOKUP(F73,'Tenement Lookup'!A:BH,60,FALSE)</f>
        <v>M 80/268</v>
      </c>
      <c r="B73" t="str">
        <f>VLOOKUP(F73,Purpose!$A$2:$B$334,2,FALSE)</f>
        <v>Met</v>
      </c>
      <c r="C73" s="152" t="s">
        <v>11</v>
      </c>
      <c r="D73" s="1">
        <f t="shared" si="32"/>
        <v>45854.71</v>
      </c>
      <c r="E73" t="s">
        <v>172</v>
      </c>
      <c r="F73" s="501" t="s">
        <v>403</v>
      </c>
      <c r="H73" s="4" t="s">
        <v>392</v>
      </c>
      <c r="I73" s="4">
        <v>3</v>
      </c>
      <c r="J73" s="122">
        <f t="shared" si="33"/>
        <v>390</v>
      </c>
      <c r="K73" s="21">
        <v>21.5</v>
      </c>
      <c r="L73" s="28">
        <v>54.5</v>
      </c>
      <c r="M73" s="22">
        <f t="shared" si="46"/>
        <v>33</v>
      </c>
      <c r="N73" s="30"/>
      <c r="O73" s="26"/>
      <c r="P73" s="31">
        <f t="shared" si="23"/>
        <v>0</v>
      </c>
      <c r="Q73" s="21"/>
      <c r="R73" s="28"/>
      <c r="S73" s="22">
        <f t="shared" si="25"/>
        <v>0</v>
      </c>
      <c r="T73" s="30"/>
      <c r="U73" s="26"/>
      <c r="V73" s="31">
        <f t="shared" si="24"/>
        <v>0</v>
      </c>
      <c r="W73" s="26">
        <f t="shared" si="47"/>
        <v>33</v>
      </c>
      <c r="X73" s="36">
        <f t="shared" si="34"/>
        <v>5775</v>
      </c>
      <c r="Y73" s="301">
        <f t="shared" si="36"/>
        <v>5775</v>
      </c>
      <c r="Z73" s="38"/>
      <c r="AA73" s="38"/>
      <c r="AB73" s="38"/>
      <c r="AC73" s="38"/>
      <c r="AD73" s="157">
        <f t="shared" si="48"/>
        <v>0</v>
      </c>
      <c r="AE73" s="29">
        <v>9.75</v>
      </c>
      <c r="AF73" s="29">
        <v>1.75</v>
      </c>
      <c r="AG73" s="40"/>
      <c r="AH73" s="44">
        <v>0.5</v>
      </c>
      <c r="AI73" s="13"/>
      <c r="AJ73" s="304"/>
      <c r="AK73" s="45"/>
      <c r="AL73" s="23"/>
      <c r="AM73" s="138"/>
      <c r="AN73" s="25">
        <f t="shared" ca="1" si="22"/>
        <v>12</v>
      </c>
      <c r="AO73" s="50"/>
      <c r="AP73" s="53">
        <f t="shared" si="37"/>
        <v>985</v>
      </c>
      <c r="AQ73" s="322"/>
      <c r="AR73" s="119">
        <v>117.93</v>
      </c>
      <c r="AS73" s="375">
        <f t="shared" si="38"/>
        <v>7267.93</v>
      </c>
      <c r="AT73" s="375">
        <v>7267.93</v>
      </c>
      <c r="AU73" s="344">
        <f t="shared" si="39"/>
        <v>5.3660395738539035E-2</v>
      </c>
      <c r="AV73" s="18">
        <f>IF(F73="","",(SUM($AS$6:AS73)))</f>
        <v>389202.2799999998</v>
      </c>
      <c r="AW73" s="18">
        <f>IF(AS73&lt;&gt;"", SUMIFS($AS$10:AS73, $BG$10:BG73, BG73), "")</f>
        <v>197096.75999999998</v>
      </c>
      <c r="AX73" s="123">
        <f t="shared" ca="1" si="31"/>
        <v>220.24030303030304</v>
      </c>
      <c r="AY73" s="124" t="str">
        <f t="shared" ca="1" si="40"/>
        <v>LINK</v>
      </c>
      <c r="AZ73" t="s">
        <v>409</v>
      </c>
      <c r="BA73" s="125" t="s">
        <v>332</v>
      </c>
      <c r="BB73" t="str">
        <f t="shared" si="41"/>
        <v>25</v>
      </c>
      <c r="BC73" t="str">
        <f t="shared" si="42"/>
        <v>07</v>
      </c>
      <c r="BD73">
        <f t="shared" si="43"/>
        <v>16</v>
      </c>
      <c r="BE73" t="str">
        <f t="shared" si="44"/>
        <v>N</v>
      </c>
      <c r="BF73" t="str">
        <f t="shared" si="49"/>
        <v>https://www.coreplan.io/app/ddh1-drilling/speewah-mining-speewah-fluorite-project-wa/plods/1665-250716N</v>
      </c>
      <c r="BG73" t="str">
        <f t="shared" si="45"/>
        <v>2025-07</v>
      </c>
    </row>
    <row r="74" spans="1:59">
      <c r="A74" s="510" t="str">
        <f>VLOOKUP(F74,'Tenement Lookup'!A:BH,60,FALSE)</f>
        <v>M 80/268</v>
      </c>
      <c r="B74" t="str">
        <f>VLOOKUP(F74,Purpose!$A$2:$B$334,2,FALSE)</f>
        <v>Met</v>
      </c>
      <c r="C74" s="152" t="s">
        <v>11</v>
      </c>
      <c r="D74" s="1">
        <f t="shared" si="32"/>
        <v>45855.21</v>
      </c>
      <c r="E74" t="s">
        <v>171</v>
      </c>
      <c r="F74" s="501" t="s">
        <v>403</v>
      </c>
      <c r="H74" s="4" t="s">
        <v>407</v>
      </c>
      <c r="I74" s="4">
        <v>3</v>
      </c>
      <c r="J74" s="122">
        <f t="shared" si="33"/>
        <v>390</v>
      </c>
      <c r="K74" s="21">
        <v>54.5</v>
      </c>
      <c r="L74" s="28">
        <v>75.2</v>
      </c>
      <c r="M74" s="22">
        <f t="shared" si="46"/>
        <v>20.700000000000003</v>
      </c>
      <c r="N74" s="30"/>
      <c r="O74" s="26"/>
      <c r="P74" s="31">
        <f t="shared" si="23"/>
        <v>0</v>
      </c>
      <c r="Q74" s="21"/>
      <c r="R74" s="28"/>
      <c r="S74" s="22">
        <f t="shared" si="25"/>
        <v>0</v>
      </c>
      <c r="T74" s="30"/>
      <c r="U74" s="26"/>
      <c r="V74" s="31">
        <f t="shared" si="24"/>
        <v>0</v>
      </c>
      <c r="W74" s="26">
        <f t="shared" si="47"/>
        <v>20.700000000000003</v>
      </c>
      <c r="X74" s="36">
        <f t="shared" si="34"/>
        <v>3622.5000000000005</v>
      </c>
      <c r="Y74" s="301">
        <f t="shared" si="36"/>
        <v>4600</v>
      </c>
      <c r="Z74" s="38"/>
      <c r="AA74" s="38">
        <v>1</v>
      </c>
      <c r="AB74" s="38">
        <v>1</v>
      </c>
      <c r="AC74" s="38">
        <v>13122</v>
      </c>
      <c r="AD74" s="157">
        <f t="shared" si="48"/>
        <v>575</v>
      </c>
      <c r="AE74" s="29">
        <v>10</v>
      </c>
      <c r="AF74" s="29">
        <v>1.25</v>
      </c>
      <c r="AG74" s="40"/>
      <c r="AH74" s="44">
        <v>0.75</v>
      </c>
      <c r="AI74" s="13"/>
      <c r="AJ74" s="304"/>
      <c r="AK74" s="45"/>
      <c r="AL74" s="23"/>
      <c r="AM74" s="138"/>
      <c r="AN74" s="25">
        <f t="shared" ca="1" si="22"/>
        <v>12</v>
      </c>
      <c r="AO74" s="50"/>
      <c r="AP74" s="53">
        <f t="shared" si="37"/>
        <v>845</v>
      </c>
      <c r="AQ74" s="322"/>
      <c r="AR74" s="119"/>
      <c r="AS74" s="375">
        <f t="shared" si="38"/>
        <v>6410</v>
      </c>
      <c r="AT74" s="375">
        <v>6410</v>
      </c>
      <c r="AU74" s="344">
        <f t="shared" si="39"/>
        <v>6.0842433697347896E-2</v>
      </c>
      <c r="AV74" s="18">
        <f>IF(F74="","",(SUM($AS$6:AS74)))</f>
        <v>395612.2799999998</v>
      </c>
      <c r="AW74" s="18">
        <f>IF(AS74&lt;&gt;"", SUMIFS($AS$10:AS74, $BG$10:BG74, BG74), "")</f>
        <v>203506.75999999998</v>
      </c>
      <c r="AX74" s="123">
        <f t="shared" ca="1" si="31"/>
        <v>309.66183574879221</v>
      </c>
      <c r="AY74" s="124" t="str">
        <f t="shared" ca="1" si="40"/>
        <v>LINK</v>
      </c>
      <c r="AZ74" t="s">
        <v>410</v>
      </c>
      <c r="BA74" s="125" t="s">
        <v>332</v>
      </c>
      <c r="BB74" t="str">
        <f t="shared" si="41"/>
        <v>25</v>
      </c>
      <c r="BC74" t="str">
        <f t="shared" si="42"/>
        <v>07</v>
      </c>
      <c r="BD74">
        <f t="shared" si="43"/>
        <v>17</v>
      </c>
      <c r="BE74" t="str">
        <f t="shared" si="44"/>
        <v>D</v>
      </c>
      <c r="BF74" t="str">
        <f t="shared" si="49"/>
        <v>https://www.coreplan.io/app/ddh1-drilling/speewah-mining-speewah-fluorite-project-wa/plods/1665-250717D</v>
      </c>
      <c r="BG74" t="str">
        <f t="shared" si="45"/>
        <v>2025-07</v>
      </c>
    </row>
    <row r="75" spans="1:59">
      <c r="A75" s="510" t="str">
        <f>VLOOKUP(F75,'Tenement Lookup'!A:BH,60,FALSE)</f>
        <v>M 80/268</v>
      </c>
      <c r="B75" t="str">
        <f>VLOOKUP(F75,Purpose!$A$2:$B$334,2,FALSE)</f>
        <v>Met</v>
      </c>
      <c r="C75" s="152" t="s">
        <v>11</v>
      </c>
      <c r="D75" s="1">
        <f t="shared" si="32"/>
        <v>45855.71</v>
      </c>
      <c r="E75" t="s">
        <v>172</v>
      </c>
      <c r="F75" s="501" t="s">
        <v>403</v>
      </c>
      <c r="H75" s="4" t="s">
        <v>392</v>
      </c>
      <c r="I75" s="4">
        <v>3</v>
      </c>
      <c r="J75" s="122">
        <f t="shared" si="33"/>
        <v>390</v>
      </c>
      <c r="K75" s="21">
        <v>75.2</v>
      </c>
      <c r="L75" s="28">
        <v>86.7</v>
      </c>
      <c r="M75" s="22">
        <f t="shared" si="46"/>
        <v>11.5</v>
      </c>
      <c r="N75" s="30"/>
      <c r="O75" s="26"/>
      <c r="P75" s="31">
        <f t="shared" si="23"/>
        <v>0</v>
      </c>
      <c r="Q75" s="21"/>
      <c r="R75" s="28"/>
      <c r="S75" s="22">
        <f t="shared" si="25"/>
        <v>0</v>
      </c>
      <c r="T75" s="30"/>
      <c r="U75" s="26"/>
      <c r="V75" s="31">
        <f t="shared" si="24"/>
        <v>0</v>
      </c>
      <c r="W75" s="26">
        <f t="shared" si="47"/>
        <v>11.5</v>
      </c>
      <c r="X75" s="36">
        <f t="shared" si="34"/>
        <v>2012.5</v>
      </c>
      <c r="Y75" s="301">
        <f t="shared" si="36"/>
        <v>4140</v>
      </c>
      <c r="Z75" s="38"/>
      <c r="AA75" s="38"/>
      <c r="AB75" s="38"/>
      <c r="AC75" s="38"/>
      <c r="AD75" s="157">
        <f t="shared" si="48"/>
        <v>0</v>
      </c>
      <c r="AE75" s="29">
        <v>9</v>
      </c>
      <c r="AF75" s="29">
        <v>2.5</v>
      </c>
      <c r="AG75" s="40"/>
      <c r="AH75" s="44">
        <v>0.5</v>
      </c>
      <c r="AI75" s="13"/>
      <c r="AJ75" s="304"/>
      <c r="AK75" s="45"/>
      <c r="AL75" s="23"/>
      <c r="AM75" s="138"/>
      <c r="AN75" s="25">
        <f t="shared" ref="AN75:AN138" ca="1" si="50">IF(D75&gt;TODAY(),"",SUM(AE75:AF75,AH75:AL75))</f>
        <v>12</v>
      </c>
      <c r="AO75" s="50"/>
      <c r="AP75" s="53">
        <f t="shared" si="37"/>
        <v>1330</v>
      </c>
      <c r="AQ75" s="322"/>
      <c r="AR75" s="119">
        <v>337.93</v>
      </c>
      <c r="AS75" s="375">
        <f t="shared" si="38"/>
        <v>6197.93</v>
      </c>
      <c r="AT75" s="375">
        <v>6197.93</v>
      </c>
      <c r="AU75" s="344">
        <f t="shared" si="39"/>
        <v>6.2924234381478969E-2</v>
      </c>
      <c r="AV75" s="18">
        <f>IF(F75="","",(SUM($AS$6:AS75)))</f>
        <v>401810.20999999979</v>
      </c>
      <c r="AW75" s="18">
        <f>IF(AS75&lt;&gt;"", SUMIFS($AS$10:AS75, $BG$10:BG75, BG75), "")</f>
        <v>209704.68999999997</v>
      </c>
      <c r="AX75" s="123">
        <f t="shared" ref="AX75:AX106" ca="1" si="51">IFERROR(IF(AND(D75&gt;TODAY(),ISBLANK(H75)),"",IF(ISBLANK(AE75),"no drilling completed",AS75/(W75))),"")</f>
        <v>538.95043478260868</v>
      </c>
      <c r="AY75" s="124" t="str">
        <f t="shared" ca="1" si="40"/>
        <v>LINK</v>
      </c>
      <c r="AZ75" t="s">
        <v>411</v>
      </c>
      <c r="BA75" s="125" t="s">
        <v>332</v>
      </c>
      <c r="BB75" t="str">
        <f t="shared" si="41"/>
        <v>25</v>
      </c>
      <c r="BC75" t="str">
        <f t="shared" si="42"/>
        <v>07</v>
      </c>
      <c r="BD75">
        <f t="shared" si="43"/>
        <v>17</v>
      </c>
      <c r="BE75" t="str">
        <f t="shared" si="44"/>
        <v>N</v>
      </c>
      <c r="BF75" t="str">
        <f t="shared" si="49"/>
        <v>https://www.coreplan.io/app/ddh1-drilling/speewah-mining-speewah-fluorite-project-wa/plods/1665-250717N</v>
      </c>
      <c r="BG75" t="str">
        <f t="shared" si="45"/>
        <v>2025-07</v>
      </c>
    </row>
    <row r="76" spans="1:59">
      <c r="A76" s="510" t="str">
        <f>VLOOKUP(F76,'Tenement Lookup'!A:BH,60,FALSE)</f>
        <v>M 80/268</v>
      </c>
      <c r="B76" t="str">
        <f>VLOOKUP(F76,Purpose!$A$2:$B$334,2,FALSE)</f>
        <v>Met</v>
      </c>
      <c r="C76" s="152" t="s">
        <v>11</v>
      </c>
      <c r="D76" s="1">
        <f t="shared" si="32"/>
        <v>45856.21</v>
      </c>
      <c r="E76" t="s">
        <v>171</v>
      </c>
      <c r="F76" s="501" t="s">
        <v>403</v>
      </c>
      <c r="H76" s="4" t="s">
        <v>407</v>
      </c>
      <c r="I76" s="4">
        <v>3</v>
      </c>
      <c r="J76" s="122">
        <f t="shared" si="33"/>
        <v>390</v>
      </c>
      <c r="K76" s="21">
        <v>86.7</v>
      </c>
      <c r="L76" s="28">
        <v>108.5</v>
      </c>
      <c r="M76" s="22">
        <f t="shared" si="46"/>
        <v>21.799999999999997</v>
      </c>
      <c r="N76" s="30"/>
      <c r="O76" s="26"/>
      <c r="P76" s="31">
        <f t="shared" si="23"/>
        <v>0</v>
      </c>
      <c r="Q76" s="21"/>
      <c r="R76" s="28"/>
      <c r="S76" s="22">
        <f t="shared" si="25"/>
        <v>0</v>
      </c>
      <c r="T76" s="30"/>
      <c r="U76" s="26"/>
      <c r="V76" s="31">
        <f t="shared" si="24"/>
        <v>0</v>
      </c>
      <c r="W76" s="26">
        <f t="shared" si="47"/>
        <v>21.799999999999997</v>
      </c>
      <c r="X76" s="36">
        <f t="shared" si="34"/>
        <v>3814.9999999999995</v>
      </c>
      <c r="Y76" s="301">
        <f t="shared" si="36"/>
        <v>4600</v>
      </c>
      <c r="Z76" s="38"/>
      <c r="AA76" s="38">
        <v>1</v>
      </c>
      <c r="AB76" s="38">
        <v>1</v>
      </c>
      <c r="AC76" s="38">
        <v>13122</v>
      </c>
      <c r="AD76" s="157">
        <f t="shared" si="48"/>
        <v>575</v>
      </c>
      <c r="AE76" s="29">
        <v>10</v>
      </c>
      <c r="AF76" s="29">
        <v>1.25</v>
      </c>
      <c r="AG76" s="40"/>
      <c r="AH76" s="44">
        <v>0.75</v>
      </c>
      <c r="AI76" s="13"/>
      <c r="AJ76" s="304"/>
      <c r="AK76" s="45"/>
      <c r="AL76" s="23"/>
      <c r="AM76" s="138"/>
      <c r="AN76" s="25">
        <f t="shared" ca="1" si="50"/>
        <v>12</v>
      </c>
      <c r="AO76" s="50"/>
      <c r="AP76" s="53">
        <f t="shared" si="37"/>
        <v>845</v>
      </c>
      <c r="AQ76" s="322"/>
      <c r="AR76" s="119">
        <v>117.93</v>
      </c>
      <c r="AS76" s="375">
        <f t="shared" si="38"/>
        <v>6527.93</v>
      </c>
      <c r="AT76" s="375">
        <v>6527.93</v>
      </c>
      <c r="AU76" s="344">
        <f t="shared" si="39"/>
        <v>5.9743287688440283E-2</v>
      </c>
      <c r="AV76" s="18">
        <f>IF(F76="","",(SUM($AS$6:AS76)))</f>
        <v>408338.13999999978</v>
      </c>
      <c r="AW76" s="18">
        <f>IF(AS76&lt;&gt;"", SUMIFS($AS$10:AS76, $BG$10:BG76, BG76), "")</f>
        <v>216232.61999999997</v>
      </c>
      <c r="AX76" s="123">
        <f t="shared" ca="1" si="51"/>
        <v>299.4463302752294</v>
      </c>
      <c r="AY76" s="124" t="str">
        <f t="shared" ca="1" si="40"/>
        <v>LINK</v>
      </c>
      <c r="AZ76" t="s">
        <v>412</v>
      </c>
      <c r="BA76" s="125" t="s">
        <v>332</v>
      </c>
      <c r="BB76" t="str">
        <f t="shared" si="41"/>
        <v>25</v>
      </c>
      <c r="BC76" t="str">
        <f t="shared" si="42"/>
        <v>07</v>
      </c>
      <c r="BD76">
        <f t="shared" si="43"/>
        <v>18</v>
      </c>
      <c r="BE76" t="str">
        <f t="shared" si="44"/>
        <v>D</v>
      </c>
      <c r="BF76" t="str">
        <f t="shared" si="49"/>
        <v>https://www.coreplan.io/app/ddh1-drilling/speewah-mining-speewah-fluorite-project-wa/plods/1665-250718D</v>
      </c>
      <c r="BG76" t="str">
        <f t="shared" si="45"/>
        <v>2025-07</v>
      </c>
    </row>
    <row r="77" spans="1:59">
      <c r="A77" s="510" t="str">
        <f>VLOOKUP(F77,'Tenement Lookup'!A:BH,60,FALSE)</f>
        <v>M 80/268</v>
      </c>
      <c r="B77" t="str">
        <f>VLOOKUP(F77,Purpose!$A$2:$B$334,2,FALSE)</f>
        <v>Met</v>
      </c>
      <c r="C77" s="152" t="s">
        <v>11</v>
      </c>
      <c r="D77" s="1">
        <f t="shared" si="32"/>
        <v>45856.71</v>
      </c>
      <c r="E77" t="s">
        <v>172</v>
      </c>
      <c r="F77" s="501" t="s">
        <v>403</v>
      </c>
      <c r="H77" s="4" t="s">
        <v>392</v>
      </c>
      <c r="I77" s="4">
        <v>3</v>
      </c>
      <c r="J77" s="122">
        <f t="shared" si="33"/>
        <v>390</v>
      </c>
      <c r="K77" s="21">
        <v>108.5</v>
      </c>
      <c r="L77" s="28">
        <v>120.5</v>
      </c>
      <c r="M77" s="22">
        <f t="shared" si="46"/>
        <v>12</v>
      </c>
      <c r="N77" s="30"/>
      <c r="O77" s="26"/>
      <c r="P77" s="31">
        <f t="shared" si="23"/>
        <v>0</v>
      </c>
      <c r="Q77" s="21"/>
      <c r="R77" s="28"/>
      <c r="S77" s="22">
        <f t="shared" si="25"/>
        <v>0</v>
      </c>
      <c r="T77" s="30"/>
      <c r="U77" s="26"/>
      <c r="V77" s="31">
        <f t="shared" si="24"/>
        <v>0</v>
      </c>
      <c r="W77" s="26">
        <f t="shared" si="47"/>
        <v>12</v>
      </c>
      <c r="X77" s="36">
        <f>IFERROR((M77*$M$2)+(P77*$P$2)+(S77*$S$2)+(V77*$V$2),"")</f>
        <v>2100</v>
      </c>
      <c r="Y77" s="301">
        <f t="shared" si="36"/>
        <v>2100</v>
      </c>
      <c r="Z77" s="38"/>
      <c r="AA77" s="38"/>
      <c r="AB77" s="38"/>
      <c r="AC77" s="38"/>
      <c r="AD77" s="157">
        <f t="shared" si="48"/>
        <v>0</v>
      </c>
      <c r="AE77" s="29">
        <v>3.5</v>
      </c>
      <c r="AF77" s="29">
        <v>8</v>
      </c>
      <c r="AG77" s="40"/>
      <c r="AH77" s="44">
        <v>0.5</v>
      </c>
      <c r="AI77" s="13"/>
      <c r="AJ77" s="304"/>
      <c r="AK77" s="45"/>
      <c r="AL77" s="23"/>
      <c r="AM77" s="138"/>
      <c r="AN77" s="25">
        <f t="shared" ca="1" si="50"/>
        <v>12</v>
      </c>
      <c r="AO77" s="50"/>
      <c r="AP77" s="53">
        <f t="shared" si="37"/>
        <v>3860</v>
      </c>
      <c r="AQ77" s="322"/>
      <c r="AR77" s="119">
        <v>117.93</v>
      </c>
      <c r="AS77" s="375">
        <f t="shared" si="38"/>
        <v>6467.93</v>
      </c>
      <c r="AT77" s="375">
        <v>6467.93</v>
      </c>
      <c r="AU77" s="344">
        <f t="shared" si="39"/>
        <v>6.0297498581462688E-2</v>
      </c>
      <c r="AV77" s="18">
        <f>IF(F77="","",(SUM($AS$6:AS77)))</f>
        <v>414806.06999999977</v>
      </c>
      <c r="AW77" s="18">
        <f>IF(AS77&lt;&gt;"", SUMIFS($AS$10:AS77, $BG$10:BG77, BG77), "")</f>
        <v>222700.54999999996</v>
      </c>
      <c r="AX77" s="123">
        <f t="shared" ca="1" si="51"/>
        <v>538.99416666666673</v>
      </c>
      <c r="AY77" s="124" t="str">
        <f t="shared" ca="1" si="40"/>
        <v>LINK</v>
      </c>
      <c r="AZ77" t="s">
        <v>413</v>
      </c>
      <c r="BA77" s="125" t="s">
        <v>332</v>
      </c>
      <c r="BB77" t="str">
        <f t="shared" si="41"/>
        <v>25</v>
      </c>
      <c r="BC77" t="str">
        <f t="shared" si="42"/>
        <v>07</v>
      </c>
      <c r="BD77">
        <f t="shared" si="43"/>
        <v>18</v>
      </c>
      <c r="BE77" t="str">
        <f t="shared" si="44"/>
        <v>N</v>
      </c>
      <c r="BF77" t="str">
        <f t="shared" si="49"/>
        <v>https://www.coreplan.io/app/ddh1-drilling/speewah-mining-speewah-fluorite-project-wa/plods/1665-250718N</v>
      </c>
      <c r="BG77" t="str">
        <f t="shared" si="45"/>
        <v>2025-07</v>
      </c>
    </row>
    <row r="78" spans="1:59">
      <c r="A78" s="510" t="str">
        <f>VLOOKUP(F78,'Tenement Lookup'!A:BH,60,FALSE)</f>
        <v>M 80/268</v>
      </c>
      <c r="B78" t="str">
        <f>VLOOKUP(F78,Purpose!$A$2:$B$334,2,FALSE)</f>
        <v>Geotech</v>
      </c>
      <c r="C78" s="151" t="s">
        <v>9</v>
      </c>
      <c r="D78" s="1">
        <f t="shared" si="32"/>
        <v>45857.21</v>
      </c>
      <c r="E78" t="s">
        <v>171</v>
      </c>
      <c r="F78" s="501" t="s">
        <v>414</v>
      </c>
      <c r="H78" s="4" t="s">
        <v>407</v>
      </c>
      <c r="I78" s="4">
        <v>3</v>
      </c>
      <c r="J78" s="122">
        <f t="shared" si="33"/>
        <v>390</v>
      </c>
      <c r="K78" s="21"/>
      <c r="L78" s="28"/>
      <c r="M78" s="22">
        <v>0</v>
      </c>
      <c r="N78" s="30">
        <v>0</v>
      </c>
      <c r="O78" s="26">
        <v>30.6</v>
      </c>
      <c r="P78" s="31">
        <f t="shared" si="23"/>
        <v>30.6</v>
      </c>
      <c r="Q78" s="21"/>
      <c r="R78" s="28"/>
      <c r="S78" s="22">
        <f t="shared" si="25"/>
        <v>0</v>
      </c>
      <c r="T78" s="30"/>
      <c r="U78" s="26"/>
      <c r="V78" s="31">
        <f t="shared" si="24"/>
        <v>0</v>
      </c>
      <c r="W78" s="26">
        <v>30.6</v>
      </c>
      <c r="X78" s="36">
        <f>IFERROR((M78*$M$2)+(P78*$P$2)+(S78*$S$2)+(V78*$V$2),"")</f>
        <v>4131</v>
      </c>
      <c r="Y78" s="301">
        <f t="shared" si="36"/>
        <v>4370</v>
      </c>
      <c r="Z78" s="38"/>
      <c r="AA78" s="38">
        <v>1</v>
      </c>
      <c r="AB78" s="38">
        <v>1</v>
      </c>
      <c r="AC78" s="38">
        <v>13122</v>
      </c>
      <c r="AD78" s="157">
        <f t="shared" si="48"/>
        <v>575</v>
      </c>
      <c r="AE78" s="29">
        <v>9.5</v>
      </c>
      <c r="AF78" s="29">
        <v>1.25</v>
      </c>
      <c r="AG78" s="40"/>
      <c r="AH78" s="44">
        <v>1.25</v>
      </c>
      <c r="AI78" s="13"/>
      <c r="AJ78" s="304"/>
      <c r="AK78" s="45"/>
      <c r="AL78" s="23"/>
      <c r="AM78" s="138"/>
      <c r="AN78" s="25">
        <f t="shared" ca="1" si="50"/>
        <v>12</v>
      </c>
      <c r="AO78" s="50"/>
      <c r="AP78" s="53">
        <f t="shared" si="37"/>
        <v>1025</v>
      </c>
      <c r="AQ78" s="322"/>
      <c r="AR78" s="119"/>
      <c r="AS78" s="375">
        <f t="shared" si="38"/>
        <v>6360</v>
      </c>
      <c r="AT78" s="375">
        <v>6360</v>
      </c>
      <c r="AU78" s="344">
        <f t="shared" si="39"/>
        <v>6.1320754716981132E-2</v>
      </c>
      <c r="AV78" s="18">
        <f>IF(F78="","",(SUM($AS$6:AS78)))</f>
        <v>421166.06999999977</v>
      </c>
      <c r="AW78" s="18">
        <f>IF(AS78&lt;&gt;"", SUMIFS($AS$10:AS78, $BG$10:BG78, BG78), "")</f>
        <v>229060.54999999996</v>
      </c>
      <c r="AX78" s="123">
        <f t="shared" ca="1" si="51"/>
        <v>207.84313725490196</v>
      </c>
      <c r="AY78" s="124" t="str">
        <f t="shared" ca="1" si="40"/>
        <v>LINK</v>
      </c>
      <c r="AZ78" t="s">
        <v>415</v>
      </c>
      <c r="BA78" s="125" t="s">
        <v>332</v>
      </c>
      <c r="BB78" t="str">
        <f t="shared" si="41"/>
        <v>25</v>
      </c>
      <c r="BC78" t="str">
        <f t="shared" si="42"/>
        <v>07</v>
      </c>
      <c r="BD78">
        <f t="shared" si="43"/>
        <v>19</v>
      </c>
      <c r="BE78" t="str">
        <f t="shared" si="44"/>
        <v>D</v>
      </c>
      <c r="BF78" t="str">
        <f t="shared" si="49"/>
        <v>https://www.coreplan.io/app/ddh1-drilling/speewah-mining-speewah-fluorite-project-wa/plods/1665-250719D</v>
      </c>
      <c r="BG78" t="str">
        <f t="shared" si="45"/>
        <v>2025-07</v>
      </c>
    </row>
    <row r="79" spans="1:59">
      <c r="A79" s="510" t="str">
        <f>VLOOKUP(F79,'Tenement Lookup'!A:BH,60,FALSE)</f>
        <v>M 80/268</v>
      </c>
      <c r="B79" t="str">
        <f>VLOOKUP(F79,Purpose!$A$2:$B$334,2,FALSE)</f>
        <v>Geotech</v>
      </c>
      <c r="C79" s="151" t="s">
        <v>9</v>
      </c>
      <c r="D79" s="1">
        <f t="shared" si="32"/>
        <v>45857.71</v>
      </c>
      <c r="E79" t="s">
        <v>172</v>
      </c>
      <c r="F79" s="501" t="s">
        <v>414</v>
      </c>
      <c r="H79" s="4" t="s">
        <v>392</v>
      </c>
      <c r="I79" s="4">
        <v>3</v>
      </c>
      <c r="J79" s="122">
        <f t="shared" si="33"/>
        <v>390</v>
      </c>
      <c r="K79" s="21"/>
      <c r="L79" s="28"/>
      <c r="M79" s="22">
        <v>0</v>
      </c>
      <c r="N79" s="30">
        <v>30.6</v>
      </c>
      <c r="O79" s="26">
        <v>60.6</v>
      </c>
      <c r="P79" s="31">
        <f t="shared" si="23"/>
        <v>30</v>
      </c>
      <c r="Q79" s="21"/>
      <c r="R79" s="28"/>
      <c r="S79" s="22">
        <f t="shared" si="25"/>
        <v>0</v>
      </c>
      <c r="T79" s="30"/>
      <c r="U79" s="26"/>
      <c r="V79" s="31">
        <f t="shared" si="24"/>
        <v>0</v>
      </c>
      <c r="W79" s="26">
        <f t="shared" si="47"/>
        <v>30</v>
      </c>
      <c r="X79" s="36">
        <f t="shared" si="34"/>
        <v>4050</v>
      </c>
      <c r="Y79" s="301">
        <f t="shared" si="36"/>
        <v>4140</v>
      </c>
      <c r="Z79" s="38"/>
      <c r="AA79" s="38"/>
      <c r="AB79" s="38"/>
      <c r="AC79" s="38"/>
      <c r="AD79" s="157">
        <f t="shared" si="48"/>
        <v>0</v>
      </c>
      <c r="AE79" s="29">
        <v>9</v>
      </c>
      <c r="AF79" s="29">
        <v>2.5</v>
      </c>
      <c r="AG79" s="40"/>
      <c r="AH79" s="44">
        <v>0.5</v>
      </c>
      <c r="AI79" s="13"/>
      <c r="AJ79" s="304"/>
      <c r="AK79" s="45"/>
      <c r="AL79" s="23"/>
      <c r="AM79" s="138"/>
      <c r="AN79" s="25">
        <f t="shared" ca="1" si="50"/>
        <v>12</v>
      </c>
      <c r="AO79" s="50"/>
      <c r="AP79" s="53">
        <f t="shared" si="37"/>
        <v>1330</v>
      </c>
      <c r="AQ79" s="322"/>
      <c r="AR79" s="119">
        <v>117.93</v>
      </c>
      <c r="AS79" s="375">
        <f t="shared" si="38"/>
        <v>5977.93</v>
      </c>
      <c r="AT79" s="375">
        <v>5977.93</v>
      </c>
      <c r="AU79" s="344">
        <f t="shared" si="39"/>
        <v>6.5239974372399812E-2</v>
      </c>
      <c r="AV79" s="18">
        <f>IF(F79="","",(SUM($AS$6:AS79)))</f>
        <v>427143.99999999977</v>
      </c>
      <c r="AW79" s="18">
        <f>IF(AS79&lt;&gt;"", SUMIFS($AS$10:AS79, $BG$10:BG79, BG79), "")</f>
        <v>235038.47999999995</v>
      </c>
      <c r="AX79" s="123">
        <f t="shared" ca="1" si="51"/>
        <v>199.26433333333335</v>
      </c>
      <c r="AY79" s="124" t="str">
        <f t="shared" ca="1" si="40"/>
        <v>LINK</v>
      </c>
      <c r="AZ79" t="s">
        <v>416</v>
      </c>
      <c r="BA79" s="125" t="s">
        <v>332</v>
      </c>
      <c r="BB79" t="str">
        <f t="shared" si="41"/>
        <v>25</v>
      </c>
      <c r="BC79" t="str">
        <f t="shared" si="42"/>
        <v>07</v>
      </c>
      <c r="BD79">
        <f t="shared" si="43"/>
        <v>19</v>
      </c>
      <c r="BE79" t="str">
        <f t="shared" si="44"/>
        <v>N</v>
      </c>
      <c r="BF79" t="str">
        <f t="shared" si="49"/>
        <v>https://www.coreplan.io/app/ddh1-drilling/speewah-mining-speewah-fluorite-project-wa/plods/1665-250719N</v>
      </c>
      <c r="BG79" t="str">
        <f t="shared" si="45"/>
        <v>2025-07</v>
      </c>
    </row>
    <row r="80" spans="1:59">
      <c r="A80" s="510" t="str">
        <f>VLOOKUP(F80,'Tenement Lookup'!A:BH,60,FALSE)</f>
        <v>M 80/268</v>
      </c>
      <c r="B80" t="str">
        <f>VLOOKUP(F80,Purpose!$A$2:$B$334,2,FALSE)</f>
        <v>Geotech</v>
      </c>
      <c r="C80" s="151" t="s">
        <v>9</v>
      </c>
      <c r="D80" s="1">
        <f t="shared" si="32"/>
        <v>45858.21</v>
      </c>
      <c r="E80" t="s">
        <v>171</v>
      </c>
      <c r="F80" s="501" t="s">
        <v>414</v>
      </c>
      <c r="H80" s="4" t="s">
        <v>407</v>
      </c>
      <c r="I80" s="4">
        <v>3</v>
      </c>
      <c r="J80" s="122">
        <f t="shared" si="33"/>
        <v>390</v>
      </c>
      <c r="K80" s="21"/>
      <c r="L80" s="28"/>
      <c r="M80" s="22">
        <v>0</v>
      </c>
      <c r="N80" s="30">
        <v>60.6</v>
      </c>
      <c r="O80" s="26">
        <v>90.6</v>
      </c>
      <c r="P80" s="31">
        <f t="shared" ref="P80:P143" si="52">IF(ISBLANK(N80),,O80-N80)</f>
        <v>29.999999999999993</v>
      </c>
      <c r="Q80" s="21"/>
      <c r="R80" s="28"/>
      <c r="S80" s="22">
        <f t="shared" si="25"/>
        <v>0</v>
      </c>
      <c r="T80" s="30"/>
      <c r="U80" s="26"/>
      <c r="V80" s="31">
        <f t="shared" si="24"/>
        <v>0</v>
      </c>
      <c r="W80" s="26">
        <f t="shared" si="47"/>
        <v>29.999999999999993</v>
      </c>
      <c r="X80" s="36">
        <f t="shared" si="34"/>
        <v>4049.9999999999991</v>
      </c>
      <c r="Y80" s="301">
        <f t="shared" si="36"/>
        <v>4830</v>
      </c>
      <c r="Z80" s="38"/>
      <c r="AA80" s="38">
        <v>1</v>
      </c>
      <c r="AB80" s="38">
        <v>1</v>
      </c>
      <c r="AC80" s="38">
        <v>13122</v>
      </c>
      <c r="AD80" s="157">
        <f t="shared" si="48"/>
        <v>575</v>
      </c>
      <c r="AE80" s="29">
        <v>10.5</v>
      </c>
      <c r="AF80" s="29">
        <v>0.25</v>
      </c>
      <c r="AG80" s="40"/>
      <c r="AH80" s="44">
        <v>0.75</v>
      </c>
      <c r="AI80" s="13"/>
      <c r="AJ80" s="304"/>
      <c r="AK80" s="45">
        <v>0.5</v>
      </c>
      <c r="AL80" s="23"/>
      <c r="AM80" s="138"/>
      <c r="AN80" s="25">
        <f t="shared" ca="1" si="50"/>
        <v>12</v>
      </c>
      <c r="AO80" s="50"/>
      <c r="AP80" s="53">
        <f t="shared" si="37"/>
        <v>385</v>
      </c>
      <c r="AQ80" s="322"/>
      <c r="AR80" s="119"/>
      <c r="AS80" s="375">
        <f t="shared" si="38"/>
        <v>6180</v>
      </c>
      <c r="AT80" s="375">
        <v>6180</v>
      </c>
      <c r="AU80" s="344">
        <f t="shared" si="39"/>
        <v>6.3106796116504854E-2</v>
      </c>
      <c r="AV80" s="18">
        <f>IF(F80="","",(SUM($AS$6:AS80)))</f>
        <v>433323.99999999977</v>
      </c>
      <c r="AW80" s="18">
        <f>IF(AS80&lt;&gt;"", SUMIFS($AS$10:AS80, $BG$10:BG80, BG80), "")</f>
        <v>241218.47999999995</v>
      </c>
      <c r="AX80" s="123">
        <f t="shared" ca="1" si="51"/>
        <v>206.00000000000006</v>
      </c>
      <c r="AY80" s="124" t="str">
        <f t="shared" ca="1" si="40"/>
        <v>LINK</v>
      </c>
      <c r="AZ80" t="s">
        <v>417</v>
      </c>
      <c r="BA80" s="125" t="s">
        <v>332</v>
      </c>
      <c r="BB80" t="str">
        <f t="shared" si="41"/>
        <v>25</v>
      </c>
      <c r="BC80" t="str">
        <f t="shared" si="42"/>
        <v>07</v>
      </c>
      <c r="BD80">
        <f t="shared" si="43"/>
        <v>20</v>
      </c>
      <c r="BE80" t="str">
        <f t="shared" si="44"/>
        <v>D</v>
      </c>
      <c r="BF80" t="str">
        <f t="shared" si="49"/>
        <v>https://www.coreplan.io/app/ddh1-drilling/speewah-mining-speewah-fluorite-project-wa/plods/1665-250720D</v>
      </c>
      <c r="BG80" t="str">
        <f t="shared" si="45"/>
        <v>2025-07</v>
      </c>
    </row>
    <row r="81" spans="1:59">
      <c r="A81" s="510" t="str">
        <f>VLOOKUP(F81,'Tenement Lookup'!A:BH,60,FALSE)</f>
        <v>M 80/268</v>
      </c>
      <c r="B81" t="str">
        <f>VLOOKUP(F81,Purpose!$A$2:$B$334,2,FALSE)</f>
        <v>Geotech</v>
      </c>
      <c r="C81" s="151" t="s">
        <v>9</v>
      </c>
      <c r="D81" s="1">
        <f t="shared" si="32"/>
        <v>45858.71</v>
      </c>
      <c r="E81" t="s">
        <v>172</v>
      </c>
      <c r="F81" s="501" t="s">
        <v>414</v>
      </c>
      <c r="H81" s="4" t="s">
        <v>392</v>
      </c>
      <c r="I81" s="4">
        <v>3</v>
      </c>
      <c r="J81" s="122">
        <f t="shared" si="33"/>
        <v>390</v>
      </c>
      <c r="K81" s="21"/>
      <c r="L81" s="28"/>
      <c r="M81" s="22">
        <v>0</v>
      </c>
      <c r="N81" s="30">
        <v>90.6</v>
      </c>
      <c r="O81" s="26">
        <v>110</v>
      </c>
      <c r="P81" s="31">
        <f t="shared" si="52"/>
        <v>19.400000000000006</v>
      </c>
      <c r="Q81" s="21"/>
      <c r="R81" s="28"/>
      <c r="S81" s="22">
        <f t="shared" si="25"/>
        <v>0</v>
      </c>
      <c r="T81" s="30"/>
      <c r="U81" s="26"/>
      <c r="V81" s="31">
        <f t="shared" si="24"/>
        <v>0</v>
      </c>
      <c r="W81" s="26">
        <f t="shared" si="47"/>
        <v>19.400000000000006</v>
      </c>
      <c r="X81" s="36">
        <f t="shared" si="34"/>
        <v>2619.0000000000009</v>
      </c>
      <c r="Y81" s="301">
        <f t="shared" si="36"/>
        <v>2645</v>
      </c>
      <c r="Z81" s="38"/>
      <c r="AA81" s="38"/>
      <c r="AB81" s="38"/>
      <c r="AC81" s="38"/>
      <c r="AD81" s="157">
        <f t="shared" si="48"/>
        <v>0</v>
      </c>
      <c r="AE81" s="29">
        <v>5.75</v>
      </c>
      <c r="AF81" s="29">
        <v>5.25</v>
      </c>
      <c r="AG81" s="40"/>
      <c r="AH81" s="44">
        <v>0.5</v>
      </c>
      <c r="AI81" s="13"/>
      <c r="AJ81" s="304"/>
      <c r="AK81" s="45">
        <v>0.5</v>
      </c>
      <c r="AL81" s="23"/>
      <c r="AM81" s="138"/>
      <c r="AN81" s="25">
        <f t="shared" ca="1" si="50"/>
        <v>12</v>
      </c>
      <c r="AO81" s="50"/>
      <c r="AP81" s="53">
        <f t="shared" si="37"/>
        <v>2595</v>
      </c>
      <c r="AQ81" s="322"/>
      <c r="AR81" s="119">
        <v>117.93</v>
      </c>
      <c r="AS81" s="375">
        <f t="shared" si="38"/>
        <v>5747.93</v>
      </c>
      <c r="AT81" s="375">
        <v>5747.93</v>
      </c>
      <c r="AU81" s="344">
        <f t="shared" si="39"/>
        <v>6.785051314125258E-2</v>
      </c>
      <c r="AV81" s="18">
        <f>IF(F81="","",(SUM($AS$6:AS81)))</f>
        <v>439071.92999999976</v>
      </c>
      <c r="AW81" s="18">
        <f>IF(AS81&lt;&gt;"", SUMIFS($AS$10:AS81, $BG$10:BG81, BG81), "")</f>
        <v>246966.40999999995</v>
      </c>
      <c r="AX81" s="123">
        <f t="shared" ca="1" si="51"/>
        <v>296.28505154639168</v>
      </c>
      <c r="AY81" s="124" t="str">
        <f t="shared" ca="1" si="40"/>
        <v>LINK</v>
      </c>
      <c r="AZ81" t="s">
        <v>418</v>
      </c>
      <c r="BA81" s="125" t="s">
        <v>332</v>
      </c>
      <c r="BB81" t="str">
        <f t="shared" si="41"/>
        <v>25</v>
      </c>
      <c r="BC81" t="str">
        <f t="shared" si="42"/>
        <v>07</v>
      </c>
      <c r="BD81">
        <f t="shared" si="43"/>
        <v>20</v>
      </c>
      <c r="BE81" t="str">
        <f t="shared" si="44"/>
        <v>N</v>
      </c>
      <c r="BF81" t="str">
        <f t="shared" si="49"/>
        <v>https://www.coreplan.io/app/ddh1-drilling/speewah-mining-speewah-fluorite-project-wa/plods/1665-250720N</v>
      </c>
      <c r="BG81" t="str">
        <f t="shared" si="45"/>
        <v>2025-07</v>
      </c>
    </row>
    <row r="82" spans="1:59">
      <c r="A82" s="510" t="str">
        <f>VLOOKUP(F82,'Tenement Lookup'!A:BH,60,FALSE)</f>
        <v>M 80/268</v>
      </c>
      <c r="B82" t="str">
        <f>VLOOKUP(F82,Purpose!$A$2:$B$334,2,FALSE)</f>
        <v>Geotech</v>
      </c>
      <c r="C82" s="151" t="s">
        <v>9</v>
      </c>
      <c r="D82" s="1">
        <f t="shared" si="32"/>
        <v>45859.21</v>
      </c>
      <c r="E82" t="s">
        <v>171</v>
      </c>
      <c r="F82" s="501" t="s">
        <v>419</v>
      </c>
      <c r="H82" s="4" t="s">
        <v>407</v>
      </c>
      <c r="I82" s="4">
        <v>3</v>
      </c>
      <c r="J82" s="122">
        <f t="shared" si="33"/>
        <v>390</v>
      </c>
      <c r="K82" s="21"/>
      <c r="L82" s="28"/>
      <c r="M82" s="22">
        <v>0</v>
      </c>
      <c r="N82" s="30">
        <v>0</v>
      </c>
      <c r="O82" s="26">
        <v>30.6</v>
      </c>
      <c r="P82" s="31">
        <f t="shared" si="52"/>
        <v>30.6</v>
      </c>
      <c r="Q82" s="21"/>
      <c r="R82" s="28"/>
      <c r="S82" s="22">
        <f t="shared" si="25"/>
        <v>0</v>
      </c>
      <c r="T82" s="30"/>
      <c r="U82" s="26"/>
      <c r="V82" s="31">
        <f t="shared" si="24"/>
        <v>0</v>
      </c>
      <c r="W82" s="26">
        <f t="shared" si="47"/>
        <v>30.6</v>
      </c>
      <c r="X82" s="36">
        <f t="shared" si="34"/>
        <v>4131</v>
      </c>
      <c r="Y82" s="301">
        <f t="shared" si="36"/>
        <v>4830</v>
      </c>
      <c r="Z82" s="38"/>
      <c r="AA82" s="38">
        <v>1</v>
      </c>
      <c r="AB82" s="38">
        <v>1</v>
      </c>
      <c r="AC82" s="38">
        <v>13122</v>
      </c>
      <c r="AD82" s="157">
        <f t="shared" si="48"/>
        <v>575</v>
      </c>
      <c r="AE82" s="29">
        <v>10.5</v>
      </c>
      <c r="AF82" s="29">
        <v>0.75</v>
      </c>
      <c r="AG82" s="40"/>
      <c r="AH82" s="44">
        <v>0.75</v>
      </c>
      <c r="AI82" s="13"/>
      <c r="AJ82" s="304"/>
      <c r="AK82" s="45"/>
      <c r="AL82" s="23"/>
      <c r="AM82" s="138"/>
      <c r="AN82" s="25">
        <f t="shared" ca="1" si="50"/>
        <v>12</v>
      </c>
      <c r="AO82" s="50"/>
      <c r="AP82" s="53">
        <f t="shared" si="37"/>
        <v>615</v>
      </c>
      <c r="AQ82" s="322"/>
      <c r="AR82" s="119"/>
      <c r="AS82" s="375">
        <f t="shared" si="38"/>
        <v>6410</v>
      </c>
      <c r="AT82" s="375">
        <v>6410</v>
      </c>
      <c r="AU82" s="344">
        <f t="shared" si="39"/>
        <v>6.0842433697347896E-2</v>
      </c>
      <c r="AV82" s="18">
        <f>IF(F82="","",(SUM($AS$6:AS82)))</f>
        <v>445481.92999999976</v>
      </c>
      <c r="AW82" s="18">
        <f>IF(AS82&lt;&gt;"", SUMIFS($AS$10:AS82, $BG$10:BG82, BG82), "")</f>
        <v>253376.40999999995</v>
      </c>
      <c r="AX82" s="123">
        <f t="shared" ca="1" si="51"/>
        <v>209.47712418300654</v>
      </c>
      <c r="AY82" s="124" t="str">
        <f t="shared" ca="1" si="40"/>
        <v>LINK</v>
      </c>
      <c r="AZ82" t="s">
        <v>420</v>
      </c>
      <c r="BA82" s="125" t="s">
        <v>332</v>
      </c>
      <c r="BB82" t="str">
        <f t="shared" si="41"/>
        <v>25</v>
      </c>
      <c r="BC82" t="str">
        <f t="shared" si="42"/>
        <v>07</v>
      </c>
      <c r="BD82">
        <f t="shared" si="43"/>
        <v>21</v>
      </c>
      <c r="BE82" t="str">
        <f t="shared" si="44"/>
        <v>D</v>
      </c>
      <c r="BF82" t="str">
        <f t="shared" si="49"/>
        <v>https://www.coreplan.io/app/ddh1-drilling/speewah-mining-speewah-fluorite-project-wa/plods/1665-250721D</v>
      </c>
      <c r="BG82" t="str">
        <f t="shared" si="45"/>
        <v>2025-07</v>
      </c>
    </row>
    <row r="83" spans="1:59">
      <c r="A83" s="510" t="str">
        <f>VLOOKUP(F83,'Tenement Lookup'!A:BH,60,FALSE)</f>
        <v>M 80/268</v>
      </c>
      <c r="B83" t="str">
        <f>VLOOKUP(F83,Purpose!$A$2:$B$334,2,FALSE)</f>
        <v>Geotech</v>
      </c>
      <c r="C83" s="151" t="s">
        <v>9</v>
      </c>
      <c r="D83" s="1">
        <f t="shared" si="32"/>
        <v>45859.71</v>
      </c>
      <c r="E83" t="s">
        <v>172</v>
      </c>
      <c r="F83" s="501" t="s">
        <v>419</v>
      </c>
      <c r="H83" s="4" t="s">
        <v>392</v>
      </c>
      <c r="I83" s="4">
        <v>3</v>
      </c>
      <c r="J83" s="122">
        <f t="shared" si="33"/>
        <v>390</v>
      </c>
      <c r="K83" s="21"/>
      <c r="L83" s="28"/>
      <c r="M83" s="22">
        <v>0</v>
      </c>
      <c r="N83" s="30">
        <v>30.6</v>
      </c>
      <c r="O83" s="26">
        <v>60.6</v>
      </c>
      <c r="P83" s="31">
        <f t="shared" si="52"/>
        <v>30</v>
      </c>
      <c r="Q83" s="21"/>
      <c r="R83" s="28"/>
      <c r="S83" s="22">
        <f t="shared" si="25"/>
        <v>0</v>
      </c>
      <c r="T83" s="30"/>
      <c r="U83" s="26"/>
      <c r="V83" s="31">
        <f t="shared" si="24"/>
        <v>0</v>
      </c>
      <c r="W83" s="26">
        <f t="shared" si="47"/>
        <v>30</v>
      </c>
      <c r="X83" s="36">
        <f t="shared" si="34"/>
        <v>4050</v>
      </c>
      <c r="Y83" s="301">
        <f t="shared" si="36"/>
        <v>4600</v>
      </c>
      <c r="Z83" s="38"/>
      <c r="AA83" s="38"/>
      <c r="AB83" s="38"/>
      <c r="AC83" s="38"/>
      <c r="AD83" s="157">
        <f t="shared" si="48"/>
        <v>0</v>
      </c>
      <c r="AE83" s="29">
        <v>10</v>
      </c>
      <c r="AF83" s="29">
        <v>1.5</v>
      </c>
      <c r="AG83" s="40"/>
      <c r="AH83" s="44">
        <v>0.5</v>
      </c>
      <c r="AI83" s="13"/>
      <c r="AJ83" s="304"/>
      <c r="AK83" s="45"/>
      <c r="AL83" s="23"/>
      <c r="AM83" s="138"/>
      <c r="AN83" s="25">
        <f t="shared" ca="1" si="50"/>
        <v>12</v>
      </c>
      <c r="AO83" s="50"/>
      <c r="AP83" s="53">
        <f t="shared" si="37"/>
        <v>870</v>
      </c>
      <c r="AQ83" s="322"/>
      <c r="AR83" s="119">
        <v>117.93</v>
      </c>
      <c r="AS83" s="375">
        <f t="shared" si="38"/>
        <v>5977.93</v>
      </c>
      <c r="AT83" s="375">
        <v>5977.93</v>
      </c>
      <c r="AU83" s="344">
        <f t="shared" si="39"/>
        <v>6.5239974372399812E-2</v>
      </c>
      <c r="AV83" s="18">
        <f>IF(F83="","",(SUM($AS$6:AS83)))</f>
        <v>451459.85999999975</v>
      </c>
      <c r="AW83" s="18">
        <f>IF(AS83&lt;&gt;"", SUMIFS($AS$10:AS83, $BG$10:BG83, BG83), "")</f>
        <v>259354.33999999994</v>
      </c>
      <c r="AX83" s="123">
        <f t="shared" ca="1" si="51"/>
        <v>199.26433333333335</v>
      </c>
      <c r="AY83" s="124" t="str">
        <f t="shared" ca="1" si="40"/>
        <v>LINK</v>
      </c>
      <c r="AZ83" t="s">
        <v>421</v>
      </c>
      <c r="BA83" s="125" t="s">
        <v>332</v>
      </c>
      <c r="BB83" t="str">
        <f t="shared" si="41"/>
        <v>25</v>
      </c>
      <c r="BC83" t="str">
        <f t="shared" si="42"/>
        <v>07</v>
      </c>
      <c r="BD83">
        <f t="shared" si="43"/>
        <v>21</v>
      </c>
      <c r="BE83" t="str">
        <f t="shared" si="44"/>
        <v>N</v>
      </c>
      <c r="BF83" t="str">
        <f t="shared" si="49"/>
        <v>https://www.coreplan.io/app/ddh1-drilling/speewah-mining-speewah-fluorite-project-wa/plods/1665-250721N</v>
      </c>
      <c r="BG83" t="str">
        <f t="shared" si="45"/>
        <v>2025-07</v>
      </c>
    </row>
    <row r="84" spans="1:59">
      <c r="A84" s="510" t="str">
        <f>VLOOKUP(F84,'Tenement Lookup'!A:BH,60,FALSE)</f>
        <v>M 80/268</v>
      </c>
      <c r="B84" t="str">
        <f>VLOOKUP(F84,Purpose!$A$2:$B$334,2,FALSE)</f>
        <v>Geotech</v>
      </c>
      <c r="C84" s="151" t="s">
        <v>9</v>
      </c>
      <c r="D84" s="1">
        <f t="shared" si="32"/>
        <v>45860.21</v>
      </c>
      <c r="E84" t="s">
        <v>171</v>
      </c>
      <c r="F84" s="501" t="s">
        <v>419</v>
      </c>
      <c r="H84" s="4" t="s">
        <v>407</v>
      </c>
      <c r="I84" s="4">
        <v>3</v>
      </c>
      <c r="J84" s="122">
        <f t="shared" si="33"/>
        <v>390</v>
      </c>
      <c r="K84" s="21"/>
      <c r="L84" s="28"/>
      <c r="M84" s="22">
        <v>0</v>
      </c>
      <c r="N84" s="30">
        <v>60.6</v>
      </c>
      <c r="O84" s="26">
        <v>90.6</v>
      </c>
      <c r="P84" s="31">
        <f t="shared" si="52"/>
        <v>29.999999999999993</v>
      </c>
      <c r="Q84" s="21"/>
      <c r="R84" s="28"/>
      <c r="S84" s="22">
        <f t="shared" si="25"/>
        <v>0</v>
      </c>
      <c r="T84" s="30"/>
      <c r="U84" s="26"/>
      <c r="V84" s="31">
        <f t="shared" si="24"/>
        <v>0</v>
      </c>
      <c r="W84" s="26">
        <f t="shared" si="47"/>
        <v>29.999999999999993</v>
      </c>
      <c r="X84" s="36">
        <f t="shared" si="34"/>
        <v>4049.9999999999991</v>
      </c>
      <c r="Y84" s="301">
        <f t="shared" si="36"/>
        <v>5060</v>
      </c>
      <c r="Z84" s="38"/>
      <c r="AA84" s="38">
        <v>1</v>
      </c>
      <c r="AB84" s="38">
        <v>1</v>
      </c>
      <c r="AC84" s="38">
        <v>13122</v>
      </c>
      <c r="AD84" s="157">
        <f t="shared" si="48"/>
        <v>575</v>
      </c>
      <c r="AE84" s="29">
        <v>11</v>
      </c>
      <c r="AF84" s="29">
        <v>0.25</v>
      </c>
      <c r="AG84" s="40"/>
      <c r="AH84" s="44">
        <v>0.75</v>
      </c>
      <c r="AI84" s="13"/>
      <c r="AJ84" s="304"/>
      <c r="AK84" s="45"/>
      <c r="AL84" s="23"/>
      <c r="AM84" s="138"/>
      <c r="AN84" s="25">
        <f t="shared" ca="1" si="50"/>
        <v>12</v>
      </c>
      <c r="AO84" s="50"/>
      <c r="AP84" s="53">
        <f t="shared" si="37"/>
        <v>385</v>
      </c>
      <c r="AQ84" s="322"/>
      <c r="AR84" s="119"/>
      <c r="AS84" s="375">
        <f t="shared" si="38"/>
        <v>6410</v>
      </c>
      <c r="AT84" s="375">
        <v>6410</v>
      </c>
      <c r="AU84" s="344">
        <f t="shared" si="39"/>
        <v>6.0842433697347896E-2</v>
      </c>
      <c r="AV84" s="18">
        <f>IF(F84="","",(SUM($AS$6:AS84)))</f>
        <v>457869.85999999975</v>
      </c>
      <c r="AW84" s="18">
        <f>IF(AS84&lt;&gt;"", SUMIFS($AS$10:AS84, $BG$10:BG84, BG84), "")</f>
        <v>265764.33999999997</v>
      </c>
      <c r="AX84" s="123">
        <f t="shared" ca="1" si="51"/>
        <v>213.66666666666671</v>
      </c>
      <c r="AY84" s="124" t="str">
        <f t="shared" ca="1" si="40"/>
        <v>LINK</v>
      </c>
      <c r="AZ84" t="s">
        <v>422</v>
      </c>
      <c r="BA84" s="125" t="s">
        <v>332</v>
      </c>
      <c r="BB84" t="str">
        <f t="shared" si="41"/>
        <v>25</v>
      </c>
      <c r="BC84" t="str">
        <f t="shared" si="42"/>
        <v>07</v>
      </c>
      <c r="BD84">
        <f t="shared" si="43"/>
        <v>22</v>
      </c>
      <c r="BE84" t="str">
        <f t="shared" si="44"/>
        <v>D</v>
      </c>
      <c r="BF84" t="str">
        <f t="shared" si="49"/>
        <v>https://www.coreplan.io/app/ddh1-drilling/speewah-mining-speewah-fluorite-project-wa/plods/1665-250722D</v>
      </c>
      <c r="BG84" t="str">
        <f t="shared" si="45"/>
        <v>2025-07</v>
      </c>
    </row>
    <row r="85" spans="1:59">
      <c r="A85" s="510" t="str">
        <f>VLOOKUP(F85,'Tenement Lookup'!A:BH,60,FALSE)</f>
        <v>M 80/268</v>
      </c>
      <c r="B85" t="str">
        <f>VLOOKUP(F85,Purpose!$A$2:$B$334,2,FALSE)</f>
        <v>Geotech</v>
      </c>
      <c r="C85" s="151" t="s">
        <v>9</v>
      </c>
      <c r="D85" s="1">
        <f t="shared" si="32"/>
        <v>45860.71</v>
      </c>
      <c r="E85" t="s">
        <v>172</v>
      </c>
      <c r="F85" s="501" t="s">
        <v>419</v>
      </c>
      <c r="H85" s="4" t="s">
        <v>392</v>
      </c>
      <c r="I85" s="4">
        <v>3</v>
      </c>
      <c r="J85" s="122">
        <f t="shared" si="33"/>
        <v>390</v>
      </c>
      <c r="K85" s="21"/>
      <c r="L85" s="28"/>
      <c r="M85" s="22">
        <v>0</v>
      </c>
      <c r="N85" s="30">
        <v>90.6</v>
      </c>
      <c r="O85" s="26">
        <v>110</v>
      </c>
      <c r="P85" s="31">
        <f t="shared" si="52"/>
        <v>19.400000000000006</v>
      </c>
      <c r="Q85" s="21"/>
      <c r="R85" s="28"/>
      <c r="S85" s="22">
        <f t="shared" si="25"/>
        <v>0</v>
      </c>
      <c r="T85" s="30"/>
      <c r="U85" s="26"/>
      <c r="V85" s="31">
        <f t="shared" si="24"/>
        <v>0</v>
      </c>
      <c r="W85" s="26">
        <f t="shared" si="47"/>
        <v>19.400000000000006</v>
      </c>
      <c r="X85" s="36">
        <f t="shared" si="34"/>
        <v>2619.0000000000009</v>
      </c>
      <c r="Y85" s="301">
        <f t="shared" si="36"/>
        <v>3220</v>
      </c>
      <c r="Z85" s="38"/>
      <c r="AA85" s="38"/>
      <c r="AB85" s="38"/>
      <c r="AC85" s="38"/>
      <c r="AD85" s="157">
        <f t="shared" si="48"/>
        <v>0</v>
      </c>
      <c r="AE85" s="29">
        <v>7</v>
      </c>
      <c r="AF85" s="29">
        <v>4.5</v>
      </c>
      <c r="AG85" s="40"/>
      <c r="AH85" s="44">
        <v>0.5</v>
      </c>
      <c r="AI85" s="13"/>
      <c r="AJ85" s="304"/>
      <c r="AK85" s="45"/>
      <c r="AL85" s="23"/>
      <c r="AM85" s="138"/>
      <c r="AN85" s="25">
        <f t="shared" ca="1" si="50"/>
        <v>12</v>
      </c>
      <c r="AO85" s="50"/>
      <c r="AP85" s="53">
        <f t="shared" si="37"/>
        <v>2250</v>
      </c>
      <c r="AQ85" s="322"/>
      <c r="AR85" s="119">
        <v>117.93</v>
      </c>
      <c r="AS85" s="375">
        <f t="shared" si="38"/>
        <v>5977.93</v>
      </c>
      <c r="AT85" s="375">
        <v>5977.93</v>
      </c>
      <c r="AU85" s="344">
        <f t="shared" si="39"/>
        <v>6.5239974372399812E-2</v>
      </c>
      <c r="AV85" s="18">
        <f>IF(F85="","",(SUM($AS$6:AS85)))</f>
        <v>463847.78999999975</v>
      </c>
      <c r="AW85" s="18">
        <f>IF(AS85&lt;&gt;"", SUMIFS($AS$10:AS85, $BG$10:BG85, BG85), "")</f>
        <v>271742.26999999996</v>
      </c>
      <c r="AX85" s="123">
        <f t="shared" ca="1" si="51"/>
        <v>308.14072164948448</v>
      </c>
      <c r="AY85" s="124" t="str">
        <f t="shared" ca="1" si="40"/>
        <v>LINK</v>
      </c>
      <c r="AZ85" t="s">
        <v>423</v>
      </c>
      <c r="BA85" s="125" t="s">
        <v>332</v>
      </c>
      <c r="BB85" t="str">
        <f t="shared" si="41"/>
        <v>25</v>
      </c>
      <c r="BC85" t="str">
        <f t="shared" si="42"/>
        <v>07</v>
      </c>
      <c r="BD85">
        <f t="shared" si="43"/>
        <v>22</v>
      </c>
      <c r="BE85" t="str">
        <f t="shared" si="44"/>
        <v>N</v>
      </c>
      <c r="BF85" t="str">
        <f t="shared" si="49"/>
        <v>https://www.coreplan.io/app/ddh1-drilling/speewah-mining-speewah-fluorite-project-wa/plods/1665-250722N</v>
      </c>
      <c r="BG85" t="str">
        <f t="shared" si="45"/>
        <v>2025-07</v>
      </c>
    </row>
    <row r="86" spans="1:59">
      <c r="A86" s="510" t="str">
        <f>VLOOKUP(F86,'Tenement Lookup'!A:BH,60,FALSE)</f>
        <v>M 80/268</v>
      </c>
      <c r="B86" t="str">
        <f>VLOOKUP(F86,Purpose!$A$2:$B$334,2,FALSE)</f>
        <v>Geotech</v>
      </c>
      <c r="C86" s="151" t="s">
        <v>9</v>
      </c>
      <c r="D86" s="1">
        <f t="shared" si="32"/>
        <v>45861.21</v>
      </c>
      <c r="E86" t="s">
        <v>171</v>
      </c>
      <c r="F86" s="501" t="s">
        <v>424</v>
      </c>
      <c r="H86" s="4" t="s">
        <v>407</v>
      </c>
      <c r="I86" s="4">
        <v>3</v>
      </c>
      <c r="J86" s="122">
        <f t="shared" si="33"/>
        <v>390</v>
      </c>
      <c r="K86" s="21"/>
      <c r="L86" s="28"/>
      <c r="M86" s="22">
        <v>0</v>
      </c>
      <c r="N86" s="30">
        <v>0</v>
      </c>
      <c r="O86" s="26">
        <v>11.9</v>
      </c>
      <c r="P86" s="31">
        <f t="shared" si="52"/>
        <v>11.9</v>
      </c>
      <c r="Q86" s="21"/>
      <c r="R86" s="28"/>
      <c r="S86" s="22">
        <f t="shared" si="25"/>
        <v>0</v>
      </c>
      <c r="T86" s="30"/>
      <c r="U86" s="26"/>
      <c r="V86" s="31">
        <f t="shared" ref="V86:V149" si="53">IF(ISBLANK(T86),,U86-T86)</f>
        <v>0</v>
      </c>
      <c r="W86" s="26">
        <f t="shared" si="47"/>
        <v>11.9</v>
      </c>
      <c r="X86" s="36">
        <f t="shared" si="34"/>
        <v>1606.5</v>
      </c>
      <c r="Y86" s="301">
        <f t="shared" si="36"/>
        <v>2990</v>
      </c>
      <c r="Z86" s="38"/>
      <c r="AA86" s="38">
        <v>1</v>
      </c>
      <c r="AB86" s="38">
        <v>1</v>
      </c>
      <c r="AC86" s="38">
        <v>13122</v>
      </c>
      <c r="AD86" s="157">
        <f t="shared" si="48"/>
        <v>575</v>
      </c>
      <c r="AE86" s="29">
        <v>6.5</v>
      </c>
      <c r="AF86" s="29">
        <v>4.75</v>
      </c>
      <c r="AG86" s="40"/>
      <c r="AH86" s="44">
        <v>0.75</v>
      </c>
      <c r="AI86" s="13"/>
      <c r="AJ86" s="304"/>
      <c r="AK86" s="45"/>
      <c r="AL86" s="23"/>
      <c r="AM86" s="138"/>
      <c r="AN86" s="25">
        <f t="shared" ca="1" si="50"/>
        <v>12</v>
      </c>
      <c r="AO86" s="50"/>
      <c r="AP86" s="53">
        <f t="shared" si="37"/>
        <v>2455</v>
      </c>
      <c r="AQ86" s="322"/>
      <c r="AR86" s="119"/>
      <c r="AS86" s="375">
        <f t="shared" si="38"/>
        <v>6410</v>
      </c>
      <c r="AT86" s="375">
        <v>6410</v>
      </c>
      <c r="AU86" s="344">
        <f t="shared" si="39"/>
        <v>6.0842433697347896E-2</v>
      </c>
      <c r="AV86" s="18">
        <f>IF(F86="","",(SUM($AS$6:AS86)))</f>
        <v>470257.78999999975</v>
      </c>
      <c r="AW86" s="18">
        <f>IF(AS86&lt;&gt;"", SUMIFS($AS$10:AS86, $BG$10:BG86, BG86), "")</f>
        <v>278152.26999999996</v>
      </c>
      <c r="AX86" s="123">
        <f t="shared" ca="1" si="51"/>
        <v>538.65546218487395</v>
      </c>
      <c r="AY86" s="124" t="str">
        <f t="shared" ca="1" si="40"/>
        <v>LINK</v>
      </c>
      <c r="AZ86" t="s">
        <v>425</v>
      </c>
      <c r="BA86" s="125" t="s">
        <v>332</v>
      </c>
      <c r="BB86" t="str">
        <f t="shared" si="41"/>
        <v>25</v>
      </c>
      <c r="BC86" t="str">
        <f t="shared" si="42"/>
        <v>07</v>
      </c>
      <c r="BD86">
        <f t="shared" si="43"/>
        <v>23</v>
      </c>
      <c r="BE86" t="str">
        <f t="shared" si="44"/>
        <v>D</v>
      </c>
      <c r="BF86" t="str">
        <f t="shared" si="49"/>
        <v>https://www.coreplan.io/app/ddh1-drilling/speewah-mining-speewah-fluorite-project-wa/plods/1665-250723D</v>
      </c>
      <c r="BG86" t="str">
        <f t="shared" si="45"/>
        <v>2025-07</v>
      </c>
    </row>
    <row r="87" spans="1:59">
      <c r="A87" s="510" t="str">
        <f>VLOOKUP(F87,'Tenement Lookup'!A:BH,60,FALSE)</f>
        <v>M 80/268</v>
      </c>
      <c r="B87" t="str">
        <f>VLOOKUP(F87,Purpose!$A$2:$B$334,2,FALSE)</f>
        <v>Geotech</v>
      </c>
      <c r="C87" s="151" t="s">
        <v>9</v>
      </c>
      <c r="D87" s="1">
        <f t="shared" si="32"/>
        <v>45861.71</v>
      </c>
      <c r="E87" t="s">
        <v>172</v>
      </c>
      <c r="F87" s="501" t="s">
        <v>424</v>
      </c>
      <c r="H87" s="4" t="s">
        <v>392</v>
      </c>
      <c r="I87" s="4">
        <v>3</v>
      </c>
      <c r="J87" s="122">
        <f t="shared" si="33"/>
        <v>390</v>
      </c>
      <c r="K87" s="21"/>
      <c r="L87" s="28"/>
      <c r="M87" s="22">
        <v>0</v>
      </c>
      <c r="N87" s="30">
        <v>11.9</v>
      </c>
      <c r="O87" s="26">
        <v>42.4</v>
      </c>
      <c r="P87" s="31">
        <f t="shared" si="52"/>
        <v>30.5</v>
      </c>
      <c r="Q87" s="21"/>
      <c r="R87" s="28"/>
      <c r="S87" s="22">
        <f t="shared" si="25"/>
        <v>0</v>
      </c>
      <c r="T87" s="30"/>
      <c r="U87" s="26"/>
      <c r="V87" s="31">
        <f t="shared" si="53"/>
        <v>0</v>
      </c>
      <c r="W87" s="26">
        <f t="shared" si="47"/>
        <v>30.5</v>
      </c>
      <c r="X87" s="36">
        <f t="shared" si="34"/>
        <v>4117.5</v>
      </c>
      <c r="Y87" s="301">
        <f t="shared" si="36"/>
        <v>4370</v>
      </c>
      <c r="Z87" s="38"/>
      <c r="AA87" s="38"/>
      <c r="AB87" s="38"/>
      <c r="AC87" s="38"/>
      <c r="AD87" s="157">
        <f t="shared" si="48"/>
        <v>0</v>
      </c>
      <c r="AE87" s="29">
        <v>9.5</v>
      </c>
      <c r="AF87" s="29">
        <v>2</v>
      </c>
      <c r="AG87" s="40"/>
      <c r="AH87" s="44">
        <v>0.5</v>
      </c>
      <c r="AI87" s="13"/>
      <c r="AJ87" s="304"/>
      <c r="AK87" s="45"/>
      <c r="AL87" s="23"/>
      <c r="AM87" s="138"/>
      <c r="AN87" s="25">
        <f t="shared" ca="1" si="50"/>
        <v>12</v>
      </c>
      <c r="AO87" s="50"/>
      <c r="AP87" s="53">
        <f t="shared" si="37"/>
        <v>1100</v>
      </c>
      <c r="AQ87" s="322"/>
      <c r="AR87" s="119">
        <v>138.69999999999999</v>
      </c>
      <c r="AS87" s="375">
        <f t="shared" si="38"/>
        <v>5998.7</v>
      </c>
      <c r="AT87" s="375">
        <v>5998.7</v>
      </c>
      <c r="AU87" s="344">
        <f t="shared" si="39"/>
        <v>6.5014086385383502E-2</v>
      </c>
      <c r="AV87" s="18">
        <f>IF(F87="","",(SUM($AS$6:AS87)))</f>
        <v>476256.48999999976</v>
      </c>
      <c r="AW87" s="18">
        <f>IF(AS87&lt;&gt;"", SUMIFS($AS$10:AS87, $BG$10:BG87, BG87), "")</f>
        <v>284150.96999999997</v>
      </c>
      <c r="AX87" s="123">
        <f t="shared" ca="1" si="51"/>
        <v>196.67868852459017</v>
      </c>
      <c r="AY87" s="124" t="str">
        <f t="shared" ca="1" si="40"/>
        <v>LINK</v>
      </c>
      <c r="AZ87" t="s">
        <v>426</v>
      </c>
      <c r="BA87" s="125" t="s">
        <v>332</v>
      </c>
      <c r="BB87" t="str">
        <f t="shared" si="41"/>
        <v>25</v>
      </c>
      <c r="BC87" t="str">
        <f t="shared" si="42"/>
        <v>07</v>
      </c>
      <c r="BD87">
        <f t="shared" si="43"/>
        <v>23</v>
      </c>
      <c r="BE87" t="str">
        <f t="shared" si="44"/>
        <v>N</v>
      </c>
      <c r="BF87" t="str">
        <f t="shared" si="49"/>
        <v>https://www.coreplan.io/app/ddh1-drilling/speewah-mining-speewah-fluorite-project-wa/plods/1665-250723N</v>
      </c>
      <c r="BG87" t="str">
        <f t="shared" si="45"/>
        <v>2025-07</v>
      </c>
    </row>
    <row r="88" spans="1:59">
      <c r="A88" s="510" t="str">
        <f>VLOOKUP(F88,'Tenement Lookup'!A:BH,60,FALSE)</f>
        <v>M 80/268</v>
      </c>
      <c r="B88" t="str">
        <f>VLOOKUP(F88,Purpose!$A$2:$B$334,2,FALSE)</f>
        <v>Geotech</v>
      </c>
      <c r="C88" s="151" t="s">
        <v>9</v>
      </c>
      <c r="D88" s="1">
        <f t="shared" si="32"/>
        <v>45862.21</v>
      </c>
      <c r="E88" t="s">
        <v>171</v>
      </c>
      <c r="F88" s="501" t="s">
        <v>424</v>
      </c>
      <c r="H88" s="4" t="s">
        <v>407</v>
      </c>
      <c r="I88" s="4">
        <v>3</v>
      </c>
      <c r="J88" s="122">
        <f t="shared" si="33"/>
        <v>390</v>
      </c>
      <c r="K88" s="21"/>
      <c r="L88" s="28"/>
      <c r="M88" s="22">
        <v>0</v>
      </c>
      <c r="N88" s="30">
        <v>42.4</v>
      </c>
      <c r="O88" s="26">
        <v>72.400000000000006</v>
      </c>
      <c r="P88" s="31">
        <f t="shared" si="52"/>
        <v>30.000000000000007</v>
      </c>
      <c r="Q88" s="21"/>
      <c r="R88" s="28"/>
      <c r="S88" s="22">
        <f t="shared" si="25"/>
        <v>0</v>
      </c>
      <c r="T88" s="30"/>
      <c r="U88" s="26"/>
      <c r="V88" s="31">
        <f t="shared" si="53"/>
        <v>0</v>
      </c>
      <c r="W88" s="26">
        <v>30</v>
      </c>
      <c r="X88" s="36">
        <f t="shared" ref="X88" si="54">IFERROR((M88*$M$2)+(P88*$P$2)+(S88*$S$2)+(V88*$V$2),"")</f>
        <v>4050.0000000000009</v>
      </c>
      <c r="Y88" s="301">
        <f t="shared" si="36"/>
        <v>5060</v>
      </c>
      <c r="Z88" s="38"/>
      <c r="AA88" s="38">
        <v>1</v>
      </c>
      <c r="AB88" s="38">
        <v>1</v>
      </c>
      <c r="AC88" s="38">
        <v>13122</v>
      </c>
      <c r="AD88" s="157">
        <f t="shared" si="48"/>
        <v>575</v>
      </c>
      <c r="AE88" s="29">
        <v>11</v>
      </c>
      <c r="AF88" s="29">
        <v>0.25</v>
      </c>
      <c r="AG88" s="40"/>
      <c r="AH88" s="44">
        <v>0.75</v>
      </c>
      <c r="AI88" s="13"/>
      <c r="AJ88" s="304"/>
      <c r="AK88" s="45"/>
      <c r="AL88" s="23"/>
      <c r="AM88" s="138"/>
      <c r="AN88" s="25">
        <f t="shared" ca="1" si="50"/>
        <v>12</v>
      </c>
      <c r="AO88" s="50"/>
      <c r="AP88" s="53">
        <f t="shared" si="37"/>
        <v>385</v>
      </c>
      <c r="AQ88" s="322"/>
      <c r="AR88" s="119"/>
      <c r="AS88" s="375">
        <f t="shared" si="38"/>
        <v>6410</v>
      </c>
      <c r="AT88" s="375">
        <v>6410</v>
      </c>
      <c r="AU88" s="344">
        <f t="shared" si="39"/>
        <v>6.0842433697347896E-2</v>
      </c>
      <c r="AV88" s="18">
        <f>IF(F88="","",(SUM($AS$6:AS88)))</f>
        <v>482666.48999999976</v>
      </c>
      <c r="AW88" s="18">
        <f>IF(AS88&lt;&gt;"", SUMIFS($AS$10:AS88, $BG$10:BG88, BG88), "")</f>
        <v>290560.96999999997</v>
      </c>
      <c r="AX88" s="123">
        <f t="shared" ca="1" si="51"/>
        <v>213.66666666666666</v>
      </c>
      <c r="AY88" s="124" t="str">
        <f t="shared" ca="1" si="40"/>
        <v>LINK</v>
      </c>
      <c r="AZ88" t="s">
        <v>427</v>
      </c>
      <c r="BA88" s="125" t="s">
        <v>332</v>
      </c>
      <c r="BB88" t="str">
        <f t="shared" si="41"/>
        <v>25</v>
      </c>
      <c r="BC88" t="str">
        <f t="shared" si="42"/>
        <v>07</v>
      </c>
      <c r="BD88">
        <f t="shared" si="43"/>
        <v>24</v>
      </c>
      <c r="BE88" t="str">
        <f t="shared" si="44"/>
        <v>D</v>
      </c>
      <c r="BF88" t="str">
        <f t="shared" si="49"/>
        <v>https://www.coreplan.io/app/ddh1-drilling/speewah-mining-speewah-fluorite-project-wa/plods/1665-250724D</v>
      </c>
      <c r="BG88" t="str">
        <f t="shared" si="45"/>
        <v>2025-07</v>
      </c>
    </row>
    <row r="89" spans="1:59">
      <c r="A89" s="510" t="str">
        <f>VLOOKUP(F89,'Tenement Lookup'!A:BH,60,FALSE)</f>
        <v>M 80/268</v>
      </c>
      <c r="B89" t="str">
        <f>VLOOKUP(F89,Purpose!$A$2:$B$334,2,FALSE)</f>
        <v>Geotech</v>
      </c>
      <c r="C89" s="151" t="s">
        <v>9</v>
      </c>
      <c r="D89" s="1">
        <f t="shared" si="32"/>
        <v>45862.71</v>
      </c>
      <c r="E89" t="s">
        <v>172</v>
      </c>
      <c r="F89" s="501" t="s">
        <v>424</v>
      </c>
      <c r="H89" s="4" t="s">
        <v>392</v>
      </c>
      <c r="I89" s="4">
        <v>3</v>
      </c>
      <c r="J89" s="122">
        <f t="shared" si="33"/>
        <v>390</v>
      </c>
      <c r="K89" s="21"/>
      <c r="L89" s="28"/>
      <c r="M89" s="22">
        <v>0</v>
      </c>
      <c r="N89" s="30">
        <v>72.400000000000006</v>
      </c>
      <c r="O89" s="26">
        <v>102.4</v>
      </c>
      <c r="P89" s="31">
        <f t="shared" si="52"/>
        <v>30</v>
      </c>
      <c r="Q89" s="21"/>
      <c r="R89" s="28"/>
      <c r="S89" s="22">
        <f t="shared" si="25"/>
        <v>0</v>
      </c>
      <c r="T89" s="30"/>
      <c r="U89" s="26"/>
      <c r="V89" s="31">
        <f t="shared" si="53"/>
        <v>0</v>
      </c>
      <c r="W89" s="26">
        <f t="shared" si="47"/>
        <v>30</v>
      </c>
      <c r="X89" s="36">
        <f t="shared" si="34"/>
        <v>4050</v>
      </c>
      <c r="Y89" s="301">
        <f t="shared" si="36"/>
        <v>4600</v>
      </c>
      <c r="Z89" s="38"/>
      <c r="AA89" s="38"/>
      <c r="AB89" s="38"/>
      <c r="AC89" s="38"/>
      <c r="AD89" s="157">
        <f t="shared" si="48"/>
        <v>0</v>
      </c>
      <c r="AE89" s="29">
        <v>10</v>
      </c>
      <c r="AF89" s="29">
        <v>1.5</v>
      </c>
      <c r="AG89" s="40"/>
      <c r="AH89" s="44">
        <v>0.5</v>
      </c>
      <c r="AI89" s="13"/>
      <c r="AJ89" s="304"/>
      <c r="AK89" s="45"/>
      <c r="AL89" s="23"/>
      <c r="AM89" s="138"/>
      <c r="AN89" s="25">
        <f t="shared" ca="1" si="50"/>
        <v>12</v>
      </c>
      <c r="AO89" s="50"/>
      <c r="AP89" s="53">
        <f t="shared" si="37"/>
        <v>870</v>
      </c>
      <c r="AQ89" s="322"/>
      <c r="AR89" s="119">
        <v>138.69999999999999</v>
      </c>
      <c r="AS89" s="375">
        <f t="shared" si="38"/>
        <v>5998.7</v>
      </c>
      <c r="AT89" s="375">
        <v>5998.7</v>
      </c>
      <c r="AU89" s="344">
        <f t="shared" si="39"/>
        <v>6.5014086385383502E-2</v>
      </c>
      <c r="AV89" s="18">
        <f>IF(F89="","",(SUM($AS$6:AS89)))</f>
        <v>488665.18999999977</v>
      </c>
      <c r="AW89" s="18">
        <f>IF(AS89&lt;&gt;"", SUMIFS($AS$10:AS89, $BG$10:BG89, BG89), "")</f>
        <v>296559.67</v>
      </c>
      <c r="AX89" s="123">
        <f t="shared" ca="1" si="51"/>
        <v>199.95666666666665</v>
      </c>
      <c r="AY89" s="124" t="str">
        <f t="shared" ca="1" si="40"/>
        <v>LINK</v>
      </c>
      <c r="AZ89" t="s">
        <v>428</v>
      </c>
      <c r="BA89" s="125" t="s">
        <v>332</v>
      </c>
      <c r="BB89" t="str">
        <f t="shared" si="41"/>
        <v>25</v>
      </c>
      <c r="BC89" t="str">
        <f t="shared" si="42"/>
        <v>07</v>
      </c>
      <c r="BD89">
        <f t="shared" si="43"/>
        <v>24</v>
      </c>
      <c r="BE89" t="str">
        <f t="shared" si="44"/>
        <v>N</v>
      </c>
      <c r="BF89" t="str">
        <f t="shared" si="49"/>
        <v>https://www.coreplan.io/app/ddh1-drilling/speewah-mining-speewah-fluorite-project-wa/plods/1665-250724N</v>
      </c>
      <c r="BG89" t="str">
        <f t="shared" si="45"/>
        <v>2025-07</v>
      </c>
    </row>
    <row r="90" spans="1:59">
      <c r="A90" s="510" t="str">
        <f>VLOOKUP(F90,'Tenement Lookup'!A:BH,60,FALSE)</f>
        <v>M 80/268</v>
      </c>
      <c r="B90" t="str">
        <f>VLOOKUP(F90,Purpose!$A$2:$B$334,2,FALSE)</f>
        <v>Geotech</v>
      </c>
      <c r="C90" s="151" t="s">
        <v>9</v>
      </c>
      <c r="D90" s="1">
        <f t="shared" si="32"/>
        <v>45863.21</v>
      </c>
      <c r="E90" t="s">
        <v>171</v>
      </c>
      <c r="F90" s="501" t="s">
        <v>424</v>
      </c>
      <c r="H90" s="4" t="s">
        <v>407</v>
      </c>
      <c r="I90" s="4">
        <v>3</v>
      </c>
      <c r="J90" s="122">
        <f t="shared" si="33"/>
        <v>390</v>
      </c>
      <c r="K90" s="21"/>
      <c r="L90" s="28"/>
      <c r="M90" s="22">
        <v>0</v>
      </c>
      <c r="N90" s="30">
        <v>102.4</v>
      </c>
      <c r="O90" s="26">
        <v>120</v>
      </c>
      <c r="P90" s="31">
        <f t="shared" si="52"/>
        <v>17.599999999999994</v>
      </c>
      <c r="Q90" s="21"/>
      <c r="R90" s="28"/>
      <c r="S90" s="22">
        <f t="shared" si="25"/>
        <v>0</v>
      </c>
      <c r="T90" s="30"/>
      <c r="U90" s="26"/>
      <c r="V90" s="31">
        <f t="shared" si="53"/>
        <v>0</v>
      </c>
      <c r="W90" s="26">
        <f t="shared" si="47"/>
        <v>17.599999999999994</v>
      </c>
      <c r="X90" s="36">
        <f t="shared" si="34"/>
        <v>2375.9999999999991</v>
      </c>
      <c r="Y90" s="301">
        <f t="shared" si="36"/>
        <v>2375.9999999999991</v>
      </c>
      <c r="Z90" s="38"/>
      <c r="AA90" s="38">
        <v>1</v>
      </c>
      <c r="AB90" s="38">
        <v>1</v>
      </c>
      <c r="AC90" s="38">
        <v>13122</v>
      </c>
      <c r="AD90" s="157">
        <f t="shared" si="48"/>
        <v>575</v>
      </c>
      <c r="AE90" s="29">
        <v>4</v>
      </c>
      <c r="AF90" s="29">
        <v>7.25</v>
      </c>
      <c r="AG90" s="40"/>
      <c r="AH90" s="44">
        <v>0.75</v>
      </c>
      <c r="AI90" s="13"/>
      <c r="AJ90" s="304"/>
      <c r="AK90" s="45"/>
      <c r="AL90" s="23"/>
      <c r="AM90" s="138"/>
      <c r="AN90" s="25">
        <f t="shared" ca="1" si="50"/>
        <v>12</v>
      </c>
      <c r="AO90" s="50"/>
      <c r="AP90" s="53">
        <f t="shared" si="37"/>
        <v>3605</v>
      </c>
      <c r="AQ90" s="322"/>
      <c r="AR90" s="119"/>
      <c r="AS90" s="375">
        <f t="shared" si="38"/>
        <v>6945.9999999999991</v>
      </c>
      <c r="AT90" s="375">
        <v>6946</v>
      </c>
      <c r="AU90" s="344">
        <f t="shared" si="39"/>
        <v>5.61474229772531E-2</v>
      </c>
      <c r="AV90" s="18">
        <f>IF(F90="","",(SUM($AS$6:AS90)))</f>
        <v>495611.18999999977</v>
      </c>
      <c r="AW90" s="18">
        <f>IF(AS90&lt;&gt;"", SUMIFS($AS$10:AS90, $BG$10:BG90, BG90), "")</f>
        <v>303505.67</v>
      </c>
      <c r="AX90" s="123">
        <f t="shared" ca="1" si="51"/>
        <v>394.65909090909099</v>
      </c>
      <c r="AY90" s="124" t="str">
        <f t="shared" ca="1" si="40"/>
        <v>LINK</v>
      </c>
      <c r="AZ90" t="s">
        <v>429</v>
      </c>
      <c r="BA90" s="125" t="s">
        <v>332</v>
      </c>
      <c r="BB90" t="str">
        <f t="shared" si="41"/>
        <v>25</v>
      </c>
      <c r="BC90" t="str">
        <f t="shared" si="42"/>
        <v>07</v>
      </c>
      <c r="BD90">
        <f t="shared" si="43"/>
        <v>25</v>
      </c>
      <c r="BE90" t="str">
        <f t="shared" si="44"/>
        <v>D</v>
      </c>
      <c r="BF90" t="str">
        <f t="shared" si="49"/>
        <v>https://www.coreplan.io/app/ddh1-drilling/speewah-mining-speewah-fluorite-project-wa/plods/1665-250725D</v>
      </c>
      <c r="BG90" t="str">
        <f t="shared" si="45"/>
        <v>2025-07</v>
      </c>
    </row>
    <row r="91" spans="1:59">
      <c r="A91" s="510" t="str">
        <f>VLOOKUP(F91,'Tenement Lookup'!A:BH,60,FALSE)</f>
        <v>M 80/269</v>
      </c>
      <c r="B91" t="str">
        <f>VLOOKUP(F91,Purpose!$A$2:$B$334,2,FALSE)</f>
        <v>Geotech</v>
      </c>
      <c r="C91" s="151" t="s">
        <v>9</v>
      </c>
      <c r="D91" s="1">
        <f t="shared" si="32"/>
        <v>45863.71</v>
      </c>
      <c r="E91" t="s">
        <v>172</v>
      </c>
      <c r="F91" s="501" t="s">
        <v>430</v>
      </c>
      <c r="H91" s="4" t="s">
        <v>392</v>
      </c>
      <c r="I91" s="4">
        <v>3</v>
      </c>
      <c r="J91" s="122">
        <f t="shared" si="33"/>
        <v>390</v>
      </c>
      <c r="K91" s="21"/>
      <c r="L91" s="28"/>
      <c r="M91" s="22">
        <v>0</v>
      </c>
      <c r="N91" s="30">
        <v>0</v>
      </c>
      <c r="O91" s="26">
        <v>18.5</v>
      </c>
      <c r="P91" s="31">
        <f t="shared" si="52"/>
        <v>18.5</v>
      </c>
      <c r="Q91" s="21"/>
      <c r="R91" s="28"/>
      <c r="S91" s="22">
        <f t="shared" si="25"/>
        <v>0</v>
      </c>
      <c r="T91" s="30"/>
      <c r="U91" s="26"/>
      <c r="V91" s="31">
        <f t="shared" si="53"/>
        <v>0</v>
      </c>
      <c r="W91" s="26">
        <f t="shared" si="47"/>
        <v>18.5</v>
      </c>
      <c r="X91" s="36">
        <f t="shared" si="34"/>
        <v>2497.5</v>
      </c>
      <c r="Y91" s="301">
        <f t="shared" si="36"/>
        <v>4370</v>
      </c>
      <c r="Z91" s="38"/>
      <c r="AA91" s="38"/>
      <c r="AB91" s="38"/>
      <c r="AC91" s="38"/>
      <c r="AD91" s="157">
        <f t="shared" si="48"/>
        <v>0</v>
      </c>
      <c r="AE91" s="29">
        <v>9.5</v>
      </c>
      <c r="AF91" s="29">
        <v>2</v>
      </c>
      <c r="AG91" s="40"/>
      <c r="AH91" s="44">
        <v>0.5</v>
      </c>
      <c r="AI91" s="13"/>
      <c r="AJ91" s="304"/>
      <c r="AK91" s="45"/>
      <c r="AL91" s="23"/>
      <c r="AM91" s="138"/>
      <c r="AN91" s="25">
        <f t="shared" ca="1" si="50"/>
        <v>12</v>
      </c>
      <c r="AO91" s="50"/>
      <c r="AP91" s="53">
        <f t="shared" si="37"/>
        <v>1100</v>
      </c>
      <c r="AQ91" s="322"/>
      <c r="AR91" s="119">
        <v>138.69999999999999</v>
      </c>
      <c r="AS91" s="375">
        <f t="shared" si="38"/>
        <v>5998.7</v>
      </c>
      <c r="AT91" s="375">
        <v>5998.7</v>
      </c>
      <c r="AU91" s="344">
        <f t="shared" si="39"/>
        <v>6.5014086385383502E-2</v>
      </c>
      <c r="AV91" s="18">
        <f>IF(F91="","",(SUM($AS$6:AS91)))</f>
        <v>501609.88999999978</v>
      </c>
      <c r="AW91" s="18">
        <f>IF(AS91&lt;&gt;"", SUMIFS($AS$10:AS91, $BG$10:BG91, BG91), "")</f>
        <v>309504.37</v>
      </c>
      <c r="AX91" s="123">
        <f t="shared" ca="1" si="51"/>
        <v>324.25405405405405</v>
      </c>
      <c r="AY91" s="124" t="str">
        <f t="shared" ca="1" si="40"/>
        <v>LINK</v>
      </c>
      <c r="AZ91" t="s">
        <v>431</v>
      </c>
      <c r="BA91" s="125" t="s">
        <v>332</v>
      </c>
      <c r="BB91" t="str">
        <f t="shared" si="41"/>
        <v>25</v>
      </c>
      <c r="BC91" t="str">
        <f t="shared" si="42"/>
        <v>07</v>
      </c>
      <c r="BD91">
        <f t="shared" si="43"/>
        <v>25</v>
      </c>
      <c r="BE91" t="str">
        <f t="shared" si="44"/>
        <v>N</v>
      </c>
      <c r="BF91" t="str">
        <f t="shared" si="49"/>
        <v>https://www.coreplan.io/app/ddh1-drilling/speewah-mining-speewah-fluorite-project-wa/plods/1665-250725N</v>
      </c>
      <c r="BG91" t="str">
        <f t="shared" si="45"/>
        <v>2025-07</v>
      </c>
    </row>
    <row r="92" spans="1:59">
      <c r="A92" s="510" t="str">
        <f>VLOOKUP(F92,'Tenement Lookup'!A:BH,60,FALSE)</f>
        <v>M 80/269</v>
      </c>
      <c r="B92" t="str">
        <f>VLOOKUP(F92,Purpose!$A$2:$B$334,2,FALSE)</f>
        <v>Geotech</v>
      </c>
      <c r="C92" s="151" t="s">
        <v>9</v>
      </c>
      <c r="D92" s="1">
        <f t="shared" si="32"/>
        <v>45864.21</v>
      </c>
      <c r="E92" t="s">
        <v>171</v>
      </c>
      <c r="F92" s="501" t="s">
        <v>430</v>
      </c>
      <c r="H92" s="4" t="s">
        <v>407</v>
      </c>
      <c r="I92" s="4">
        <v>3</v>
      </c>
      <c r="J92" s="122">
        <f t="shared" si="33"/>
        <v>390</v>
      </c>
      <c r="K92" s="21"/>
      <c r="L92" s="28"/>
      <c r="M92" s="22">
        <v>0</v>
      </c>
      <c r="N92" s="30">
        <v>18.5</v>
      </c>
      <c r="O92" s="26">
        <v>48.5</v>
      </c>
      <c r="P92" s="31">
        <f t="shared" si="52"/>
        <v>30</v>
      </c>
      <c r="Q92" s="21"/>
      <c r="R92" s="28"/>
      <c r="S92" s="22">
        <f t="shared" ref="S92:S155" si="55">IF(ISBLANK(Q92),,R92-Q92)</f>
        <v>0</v>
      </c>
      <c r="T92" s="30"/>
      <c r="U92" s="26"/>
      <c r="V92" s="31">
        <f t="shared" si="53"/>
        <v>0</v>
      </c>
      <c r="W92" s="26">
        <f t="shared" si="47"/>
        <v>30</v>
      </c>
      <c r="X92" s="36">
        <f t="shared" si="34"/>
        <v>4050</v>
      </c>
      <c r="Y92" s="301">
        <f t="shared" si="36"/>
        <v>4945</v>
      </c>
      <c r="Z92" s="38"/>
      <c r="AA92" s="38">
        <v>1</v>
      </c>
      <c r="AB92" s="38">
        <v>1</v>
      </c>
      <c r="AC92" s="38">
        <v>13122</v>
      </c>
      <c r="AD92" s="157">
        <f t="shared" si="48"/>
        <v>575</v>
      </c>
      <c r="AE92" s="29">
        <v>10.75</v>
      </c>
      <c r="AF92" s="29">
        <v>0.5</v>
      </c>
      <c r="AG92" s="40"/>
      <c r="AH92" s="44">
        <v>0.75</v>
      </c>
      <c r="AI92" s="13"/>
      <c r="AJ92" s="304"/>
      <c r="AK92" s="45"/>
      <c r="AL92" s="23"/>
      <c r="AM92" s="138"/>
      <c r="AN92" s="25">
        <f t="shared" ca="1" si="50"/>
        <v>12</v>
      </c>
      <c r="AO92" s="50"/>
      <c r="AP92" s="53">
        <f t="shared" si="37"/>
        <v>500</v>
      </c>
      <c r="AQ92" s="322"/>
      <c r="AR92" s="119"/>
      <c r="AS92" s="375">
        <f t="shared" si="38"/>
        <v>6410</v>
      </c>
      <c r="AT92" s="375">
        <v>6410</v>
      </c>
      <c r="AU92" s="344">
        <f t="shared" si="39"/>
        <v>6.0842433697347896E-2</v>
      </c>
      <c r="AV92" s="18">
        <f>IF(F92="","",(SUM($AS$6:AS92)))</f>
        <v>508019.88999999978</v>
      </c>
      <c r="AW92" s="18">
        <f>IF(AS92&lt;&gt;"", SUMIFS($AS$10:AS92, $BG$10:BG92, BG92), "")</f>
        <v>315914.37</v>
      </c>
      <c r="AX92" s="123">
        <f t="shared" ca="1" si="51"/>
        <v>213.66666666666666</v>
      </c>
      <c r="AY92" s="124" t="str">
        <f t="shared" ca="1" si="40"/>
        <v>LINK</v>
      </c>
      <c r="AZ92" t="s">
        <v>432</v>
      </c>
      <c r="BA92" s="125" t="s">
        <v>332</v>
      </c>
      <c r="BB92" t="str">
        <f t="shared" si="41"/>
        <v>25</v>
      </c>
      <c r="BC92" t="str">
        <f t="shared" si="42"/>
        <v>07</v>
      </c>
      <c r="BD92">
        <f t="shared" si="43"/>
        <v>26</v>
      </c>
      <c r="BE92" t="str">
        <f t="shared" si="44"/>
        <v>D</v>
      </c>
      <c r="BF92" t="str">
        <f t="shared" si="49"/>
        <v>https://www.coreplan.io/app/ddh1-drilling/speewah-mining-speewah-fluorite-project-wa/plods/1665-250726D</v>
      </c>
      <c r="BG92" t="str">
        <f t="shared" si="45"/>
        <v>2025-07</v>
      </c>
    </row>
    <row r="93" spans="1:59">
      <c r="A93" s="510" t="str">
        <f>VLOOKUP(F93,'Tenement Lookup'!A:BH,60,FALSE)</f>
        <v>M 80/269</v>
      </c>
      <c r="B93" t="str">
        <f>VLOOKUP(F93,Purpose!$A$2:$B$334,2,FALSE)</f>
        <v>Geotech</v>
      </c>
      <c r="C93" s="151" t="s">
        <v>9</v>
      </c>
      <c r="D93" s="1">
        <f t="shared" si="32"/>
        <v>45864.71</v>
      </c>
      <c r="E93" t="s">
        <v>172</v>
      </c>
      <c r="F93" s="501" t="s">
        <v>430</v>
      </c>
      <c r="H93" s="4" t="s">
        <v>392</v>
      </c>
      <c r="I93" s="4">
        <v>3</v>
      </c>
      <c r="J93" s="122">
        <f t="shared" si="33"/>
        <v>390</v>
      </c>
      <c r="K93" s="21"/>
      <c r="L93" s="28"/>
      <c r="M93" s="22">
        <v>0</v>
      </c>
      <c r="N93" s="30">
        <v>48.5</v>
      </c>
      <c r="O93" s="26">
        <v>78.5</v>
      </c>
      <c r="P93" s="31">
        <f t="shared" si="52"/>
        <v>30</v>
      </c>
      <c r="Q93" s="21"/>
      <c r="R93" s="28"/>
      <c r="S93" s="22">
        <f t="shared" si="55"/>
        <v>0</v>
      </c>
      <c r="T93" s="30"/>
      <c r="U93" s="26"/>
      <c r="V93" s="31">
        <f t="shared" si="53"/>
        <v>0</v>
      </c>
      <c r="W93" s="26">
        <f t="shared" si="47"/>
        <v>30</v>
      </c>
      <c r="X93" s="36">
        <f t="shared" si="34"/>
        <v>4050</v>
      </c>
      <c r="Y93" s="301">
        <f t="shared" si="36"/>
        <v>4830</v>
      </c>
      <c r="Z93" s="38"/>
      <c r="AA93" s="38"/>
      <c r="AB93" s="38"/>
      <c r="AC93" s="38"/>
      <c r="AD93" s="157">
        <f t="shared" si="48"/>
        <v>0</v>
      </c>
      <c r="AE93" s="29">
        <v>10.5</v>
      </c>
      <c r="AF93" s="29">
        <v>1</v>
      </c>
      <c r="AG93" s="40"/>
      <c r="AH93" s="44">
        <v>0.5</v>
      </c>
      <c r="AI93" s="13"/>
      <c r="AJ93" s="304"/>
      <c r="AK93" s="45"/>
      <c r="AL93" s="23"/>
      <c r="AM93" s="138"/>
      <c r="AN93" s="25">
        <f t="shared" ca="1" si="50"/>
        <v>12</v>
      </c>
      <c r="AO93" s="50"/>
      <c r="AP93" s="53">
        <f t="shared" si="37"/>
        <v>640</v>
      </c>
      <c r="AQ93" s="322"/>
      <c r="AR93" s="119"/>
      <c r="AS93" s="375">
        <f t="shared" si="38"/>
        <v>5860</v>
      </c>
      <c r="AT93" s="375">
        <v>5860</v>
      </c>
      <c r="AU93" s="344">
        <f t="shared" si="39"/>
        <v>6.655290102389079E-2</v>
      </c>
      <c r="AV93" s="18">
        <f>IF(F93="","",(SUM($AS$6:AS93)))</f>
        <v>513879.88999999978</v>
      </c>
      <c r="AW93" s="18">
        <f>IF(AS93&lt;&gt;"", SUMIFS($AS$10:AS93, $BG$10:BG93, BG93), "")</f>
        <v>321774.37</v>
      </c>
      <c r="AX93" s="123">
        <f t="shared" ca="1" si="51"/>
        <v>195.33333333333334</v>
      </c>
      <c r="AY93" s="124" t="str">
        <f t="shared" ca="1" si="40"/>
        <v>LINK</v>
      </c>
      <c r="AZ93" t="s">
        <v>433</v>
      </c>
      <c r="BA93" s="125" t="s">
        <v>332</v>
      </c>
      <c r="BB93" t="str">
        <f t="shared" si="41"/>
        <v>25</v>
      </c>
      <c r="BC93" t="str">
        <f t="shared" si="42"/>
        <v>07</v>
      </c>
      <c r="BD93">
        <f t="shared" si="43"/>
        <v>26</v>
      </c>
      <c r="BE93" t="str">
        <f t="shared" si="44"/>
        <v>N</v>
      </c>
      <c r="BF93" t="str">
        <f t="shared" si="49"/>
        <v>https://www.coreplan.io/app/ddh1-drilling/speewah-mining-speewah-fluorite-project-wa/plods/1665-250726N</v>
      </c>
      <c r="BG93" t="str">
        <f t="shared" si="45"/>
        <v>2025-07</v>
      </c>
    </row>
    <row r="94" spans="1:59">
      <c r="A94" s="510" t="str">
        <f>VLOOKUP(F94,'Tenement Lookup'!A:BH,60,FALSE)</f>
        <v>M 80/269</v>
      </c>
      <c r="B94" t="str">
        <f>VLOOKUP(F94,Purpose!$A$2:$B$334,2,FALSE)</f>
        <v>Geotech</v>
      </c>
      <c r="C94" s="151" t="s">
        <v>9</v>
      </c>
      <c r="D94" s="1">
        <f t="shared" si="32"/>
        <v>45865.21</v>
      </c>
      <c r="E94" t="s">
        <v>171</v>
      </c>
      <c r="F94" s="501" t="s">
        <v>430</v>
      </c>
      <c r="H94" s="4" t="s">
        <v>407</v>
      </c>
      <c r="I94" s="4">
        <v>3</v>
      </c>
      <c r="J94" s="122">
        <f t="shared" si="33"/>
        <v>390</v>
      </c>
      <c r="K94" s="21"/>
      <c r="L94" s="28"/>
      <c r="M94" s="22">
        <v>0</v>
      </c>
      <c r="N94" s="30">
        <v>78.5</v>
      </c>
      <c r="O94" s="26">
        <v>108.5</v>
      </c>
      <c r="P94" s="31">
        <f t="shared" si="52"/>
        <v>30</v>
      </c>
      <c r="Q94" s="21"/>
      <c r="R94" s="28"/>
      <c r="S94" s="22">
        <f t="shared" si="55"/>
        <v>0</v>
      </c>
      <c r="T94" s="30"/>
      <c r="U94" s="26"/>
      <c r="V94" s="31">
        <f t="shared" si="53"/>
        <v>0</v>
      </c>
      <c r="W94" s="26">
        <f t="shared" si="47"/>
        <v>30</v>
      </c>
      <c r="X94" s="36">
        <f t="shared" si="34"/>
        <v>4050</v>
      </c>
      <c r="Y94" s="301">
        <f t="shared" si="36"/>
        <v>4830</v>
      </c>
      <c r="Z94" s="38"/>
      <c r="AA94" s="38">
        <v>1</v>
      </c>
      <c r="AB94" s="38">
        <v>1</v>
      </c>
      <c r="AC94" s="38">
        <v>13122</v>
      </c>
      <c r="AD94" s="157">
        <f t="shared" si="48"/>
        <v>575</v>
      </c>
      <c r="AE94" s="29">
        <v>10.5</v>
      </c>
      <c r="AF94" s="29">
        <v>0.25</v>
      </c>
      <c r="AG94" s="40"/>
      <c r="AH94" s="44">
        <v>0.75</v>
      </c>
      <c r="AI94" s="13"/>
      <c r="AJ94" s="304"/>
      <c r="AK94" s="45">
        <v>0.5</v>
      </c>
      <c r="AL94" s="23"/>
      <c r="AM94" s="138"/>
      <c r="AN94" s="25">
        <f t="shared" ca="1" si="50"/>
        <v>12</v>
      </c>
      <c r="AO94" s="50"/>
      <c r="AP94" s="53">
        <f t="shared" si="37"/>
        <v>385</v>
      </c>
      <c r="AQ94" s="322"/>
      <c r="AR94" s="119"/>
      <c r="AS94" s="375">
        <f t="shared" si="38"/>
        <v>6180</v>
      </c>
      <c r="AT94" s="375">
        <v>6180</v>
      </c>
      <c r="AU94" s="344">
        <f t="shared" si="39"/>
        <v>6.3106796116504854E-2</v>
      </c>
      <c r="AV94" s="18">
        <f>IF(F94="","",(SUM($AS$6:AS94)))</f>
        <v>520059.88999999978</v>
      </c>
      <c r="AW94" s="18">
        <f>IF(AS94&lt;&gt;"", SUMIFS($AS$10:AS94, $BG$10:BG94, BG94), "")</f>
        <v>327954.37</v>
      </c>
      <c r="AX94" s="123">
        <f t="shared" ca="1" si="51"/>
        <v>206</v>
      </c>
      <c r="AY94" s="124" t="str">
        <f t="shared" ca="1" si="40"/>
        <v>LINK</v>
      </c>
      <c r="AZ94" t="s">
        <v>434</v>
      </c>
      <c r="BA94" s="125" t="s">
        <v>332</v>
      </c>
      <c r="BB94" t="str">
        <f t="shared" si="41"/>
        <v>25</v>
      </c>
      <c r="BC94" t="str">
        <f t="shared" si="42"/>
        <v>07</v>
      </c>
      <c r="BD94">
        <f t="shared" si="43"/>
        <v>27</v>
      </c>
      <c r="BE94" t="str">
        <f t="shared" si="44"/>
        <v>D</v>
      </c>
      <c r="BF94" t="str">
        <f t="shared" si="49"/>
        <v>https://www.coreplan.io/app/ddh1-drilling/speewah-mining-speewah-fluorite-project-wa/plods/1665-250727D</v>
      </c>
      <c r="BG94" t="str">
        <f t="shared" si="45"/>
        <v>2025-07</v>
      </c>
    </row>
    <row r="95" spans="1:59">
      <c r="A95" s="510" t="str">
        <f>VLOOKUP(F95,'Tenement Lookup'!A:BH,60,FALSE)</f>
        <v>M 80/269</v>
      </c>
      <c r="B95" t="str">
        <f>VLOOKUP(F95,Purpose!$A$2:$B$334,2,FALSE)</f>
        <v>Geotech</v>
      </c>
      <c r="C95" s="151" t="s">
        <v>9</v>
      </c>
      <c r="D95" s="1">
        <f t="shared" si="32"/>
        <v>45865.71</v>
      </c>
      <c r="E95" t="s">
        <v>172</v>
      </c>
      <c r="F95" s="501" t="s">
        <v>430</v>
      </c>
      <c r="H95" s="4" t="s">
        <v>392</v>
      </c>
      <c r="I95" s="4">
        <v>3</v>
      </c>
      <c r="J95" s="122">
        <f t="shared" si="33"/>
        <v>390</v>
      </c>
      <c r="K95" s="21"/>
      <c r="L95" s="28"/>
      <c r="M95" s="22">
        <v>0</v>
      </c>
      <c r="N95" s="30">
        <v>108.5</v>
      </c>
      <c r="O95" s="26">
        <v>130</v>
      </c>
      <c r="P95" s="31">
        <f t="shared" si="52"/>
        <v>21.5</v>
      </c>
      <c r="Q95" s="21"/>
      <c r="R95" s="28"/>
      <c r="S95" s="22">
        <f t="shared" si="55"/>
        <v>0</v>
      </c>
      <c r="T95" s="30"/>
      <c r="U95" s="26"/>
      <c r="V95" s="31">
        <f t="shared" si="53"/>
        <v>0</v>
      </c>
      <c r="W95" s="26">
        <f t="shared" si="47"/>
        <v>21.5</v>
      </c>
      <c r="X95" s="36">
        <f t="shared" si="34"/>
        <v>2902.5</v>
      </c>
      <c r="Y95" s="301">
        <f t="shared" si="36"/>
        <v>2902.5</v>
      </c>
      <c r="Z95" s="38"/>
      <c r="AA95" s="38"/>
      <c r="AB95" s="38"/>
      <c r="AC95" s="38"/>
      <c r="AD95" s="157">
        <f t="shared" si="48"/>
        <v>0</v>
      </c>
      <c r="AE95" s="29">
        <v>6</v>
      </c>
      <c r="AF95" s="29">
        <v>5</v>
      </c>
      <c r="AG95" s="40"/>
      <c r="AH95" s="44">
        <v>0.5</v>
      </c>
      <c r="AI95" s="13"/>
      <c r="AJ95" s="304"/>
      <c r="AK95" s="45">
        <v>0.5</v>
      </c>
      <c r="AL95" s="23"/>
      <c r="AM95" s="138"/>
      <c r="AN95" s="25">
        <f t="shared" ca="1" si="50"/>
        <v>12</v>
      </c>
      <c r="AO95" s="50"/>
      <c r="AP95" s="53">
        <f t="shared" si="37"/>
        <v>2480</v>
      </c>
      <c r="AQ95" s="322"/>
      <c r="AR95" s="119"/>
      <c r="AS95" s="375">
        <f t="shared" si="38"/>
        <v>5772.5</v>
      </c>
      <c r="AT95" s="375">
        <v>5772.5</v>
      </c>
      <c r="AU95" s="344">
        <f t="shared" si="39"/>
        <v>6.7561715028150712E-2</v>
      </c>
      <c r="AV95" s="18">
        <f>IF(F95="","",(SUM($AS$6:AS95)))</f>
        <v>525832.38999999978</v>
      </c>
      <c r="AW95" s="18">
        <f>IF(AS95&lt;&gt;"", SUMIFS($AS$10:AS95, $BG$10:BG95, BG95), "")</f>
        <v>333726.87</v>
      </c>
      <c r="AX95" s="123">
        <f t="shared" ca="1" si="51"/>
        <v>268.48837209302326</v>
      </c>
      <c r="AY95" s="124" t="str">
        <f t="shared" ca="1" si="40"/>
        <v>LINK</v>
      </c>
      <c r="AZ95" t="s">
        <v>435</v>
      </c>
      <c r="BA95" s="125" t="s">
        <v>332</v>
      </c>
      <c r="BB95" t="str">
        <f t="shared" si="41"/>
        <v>25</v>
      </c>
      <c r="BC95" t="str">
        <f t="shared" si="42"/>
        <v>07</v>
      </c>
      <c r="BD95">
        <f t="shared" si="43"/>
        <v>27</v>
      </c>
      <c r="BE95" t="str">
        <f t="shared" si="44"/>
        <v>N</v>
      </c>
      <c r="BF95" t="str">
        <f t="shared" si="49"/>
        <v>https://www.coreplan.io/app/ddh1-drilling/speewah-mining-speewah-fluorite-project-wa/plods/1665-250727N</v>
      </c>
      <c r="BG95" t="str">
        <f t="shared" si="45"/>
        <v>2025-07</v>
      </c>
    </row>
    <row r="96" spans="1:59">
      <c r="A96" s="510" t="str">
        <f>VLOOKUP(F96,'Tenement Lookup'!A:BH,60,FALSE)</f>
        <v>M 80/269</v>
      </c>
      <c r="B96" t="str">
        <f>VLOOKUP(F96,Purpose!$A$2:$B$334,2,FALSE)</f>
        <v>Met</v>
      </c>
      <c r="C96" s="151" t="s">
        <v>11</v>
      </c>
      <c r="D96" s="1">
        <f t="shared" si="32"/>
        <v>45866.21</v>
      </c>
      <c r="E96" t="s">
        <v>171</v>
      </c>
      <c r="F96" s="501" t="s">
        <v>436</v>
      </c>
      <c r="H96" s="4" t="s">
        <v>407</v>
      </c>
      <c r="I96" s="4">
        <v>3</v>
      </c>
      <c r="J96" s="122">
        <f>IF(ISBLANK(I96),"",I96*$J$2)</f>
        <v>390</v>
      </c>
      <c r="K96" s="21">
        <v>0</v>
      </c>
      <c r="L96" s="28">
        <v>18.2</v>
      </c>
      <c r="M96" s="22">
        <f t="shared" si="46"/>
        <v>18.2</v>
      </c>
      <c r="N96" s="30"/>
      <c r="O96" s="26"/>
      <c r="P96" s="31">
        <f t="shared" si="52"/>
        <v>0</v>
      </c>
      <c r="Q96" s="21"/>
      <c r="R96" s="28"/>
      <c r="S96" s="22">
        <f t="shared" si="55"/>
        <v>0</v>
      </c>
      <c r="T96" s="30"/>
      <c r="U96" s="26"/>
      <c r="V96" s="31">
        <f t="shared" si="53"/>
        <v>0</v>
      </c>
      <c r="W96" s="26">
        <f t="shared" si="47"/>
        <v>18.2</v>
      </c>
      <c r="X96" s="36">
        <f t="shared" si="34"/>
        <v>3185</v>
      </c>
      <c r="Y96" s="301">
        <f t="shared" si="36"/>
        <v>3185</v>
      </c>
      <c r="Z96" s="38"/>
      <c r="AA96" s="38">
        <v>1</v>
      </c>
      <c r="AB96" s="38">
        <v>1</v>
      </c>
      <c r="AC96" s="38">
        <v>13122</v>
      </c>
      <c r="AD96" s="157">
        <f t="shared" si="48"/>
        <v>575</v>
      </c>
      <c r="AE96" s="29">
        <v>6.25</v>
      </c>
      <c r="AF96" s="29">
        <v>4.75</v>
      </c>
      <c r="AG96" s="40"/>
      <c r="AH96" s="44">
        <v>1</v>
      </c>
      <c r="AI96" s="13"/>
      <c r="AJ96" s="304"/>
      <c r="AK96" s="45"/>
      <c r="AL96" s="23"/>
      <c r="AM96" s="138"/>
      <c r="AN96" s="25">
        <f t="shared" ca="1" si="50"/>
        <v>12</v>
      </c>
      <c r="AO96" s="50"/>
      <c r="AP96" s="53">
        <f t="shared" si="37"/>
        <v>2545</v>
      </c>
      <c r="AQ96" s="322">
        <v>786.12</v>
      </c>
      <c r="AR96" s="119">
        <f>786.12-390</f>
        <v>396.12</v>
      </c>
      <c r="AS96" s="375">
        <f t="shared" si="38"/>
        <v>7091.12</v>
      </c>
      <c r="AT96" s="375">
        <v>7091.12</v>
      </c>
      <c r="AU96" s="344">
        <f t="shared" si="39"/>
        <v>5.4998364151220121E-2</v>
      </c>
      <c r="AV96" s="18">
        <f>IF(F96="","",(SUM($AS$6:AS96)))</f>
        <v>532923.50999999978</v>
      </c>
      <c r="AW96" s="18">
        <f>IF(AS96&lt;&gt;"", SUMIFS($AS$10:AS96, $BG$10:BG96, BG96), "")</f>
        <v>340817.99</v>
      </c>
      <c r="AX96" s="123">
        <f t="shared" ca="1" si="51"/>
        <v>389.62197802197801</v>
      </c>
      <c r="AY96" s="124" t="str">
        <f t="shared" ca="1" si="40"/>
        <v>LINK</v>
      </c>
      <c r="AZ96" s="141" t="s">
        <v>437</v>
      </c>
      <c r="BA96" s="125" t="s">
        <v>332</v>
      </c>
      <c r="BB96" t="str">
        <f t="shared" si="41"/>
        <v>25</v>
      </c>
      <c r="BC96" t="str">
        <f t="shared" si="42"/>
        <v>07</v>
      </c>
      <c r="BD96">
        <f t="shared" si="43"/>
        <v>28</v>
      </c>
      <c r="BE96" t="str">
        <f t="shared" si="44"/>
        <v>D</v>
      </c>
      <c r="BF96" t="str">
        <f t="shared" si="49"/>
        <v>https://www.coreplan.io/app/ddh1-drilling/speewah-mining-speewah-fluorite-project-wa/plods/1665-250728D</v>
      </c>
      <c r="BG96" t="str">
        <f t="shared" si="45"/>
        <v>2025-07</v>
      </c>
    </row>
    <row r="97" spans="1:59">
      <c r="A97" s="510" t="str">
        <f>VLOOKUP(F97,'Tenement Lookup'!A:BH,60,FALSE)</f>
        <v>M 80/269</v>
      </c>
      <c r="B97" t="str">
        <f>VLOOKUP(F97,Purpose!$A$2:$B$334,2,FALSE)</f>
        <v>Met</v>
      </c>
      <c r="C97" s="151" t="s">
        <v>11</v>
      </c>
      <c r="D97" s="1">
        <f t="shared" si="32"/>
        <v>45866.71</v>
      </c>
      <c r="E97" t="s">
        <v>172</v>
      </c>
      <c r="F97" s="501" t="s">
        <v>436</v>
      </c>
      <c r="H97" s="4" t="s">
        <v>392</v>
      </c>
      <c r="I97" s="4">
        <v>3</v>
      </c>
      <c r="J97" s="122">
        <f>IF(ISBLANK(I97),"",I97*$J$2)</f>
        <v>390</v>
      </c>
      <c r="K97" s="21">
        <v>18.2</v>
      </c>
      <c r="L97" s="28">
        <v>39.200000000000003</v>
      </c>
      <c r="M97" s="22">
        <f t="shared" si="46"/>
        <v>21.000000000000004</v>
      </c>
      <c r="N97" s="30"/>
      <c r="O97" s="26"/>
      <c r="P97" s="31">
        <f t="shared" si="52"/>
        <v>0</v>
      </c>
      <c r="Q97" s="21"/>
      <c r="R97" s="28"/>
      <c r="S97" s="22">
        <f t="shared" si="55"/>
        <v>0</v>
      </c>
      <c r="T97" s="30"/>
      <c r="U97" s="26"/>
      <c r="V97" s="31">
        <f t="shared" si="53"/>
        <v>0</v>
      </c>
      <c r="W97" s="26">
        <f t="shared" si="47"/>
        <v>21.000000000000004</v>
      </c>
      <c r="X97" s="36">
        <f t="shared" si="34"/>
        <v>3675.0000000000005</v>
      </c>
      <c r="Y97" s="301">
        <f t="shared" si="36"/>
        <v>4370</v>
      </c>
      <c r="Z97" s="38"/>
      <c r="AA97" s="38"/>
      <c r="AB97" s="38"/>
      <c r="AC97" s="38"/>
      <c r="AD97" s="157">
        <f t="shared" si="48"/>
        <v>0</v>
      </c>
      <c r="AE97" s="29">
        <v>9.5</v>
      </c>
      <c r="AF97" s="29">
        <v>2</v>
      </c>
      <c r="AG97" s="40"/>
      <c r="AH97" s="44">
        <v>0.5</v>
      </c>
      <c r="AI97" s="13"/>
      <c r="AJ97" s="304"/>
      <c r="AK97" s="45"/>
      <c r="AL97" s="23"/>
      <c r="AM97" s="138"/>
      <c r="AN97" s="25">
        <f t="shared" ca="1" si="50"/>
        <v>12</v>
      </c>
      <c r="AO97" s="50"/>
      <c r="AP97" s="53">
        <f t="shared" si="37"/>
        <v>1100</v>
      </c>
      <c r="AQ97" s="322">
        <v>747.5</v>
      </c>
      <c r="AR97" s="119">
        <f>747.5-390</f>
        <v>357.5</v>
      </c>
      <c r="AS97" s="375">
        <f t="shared" si="38"/>
        <v>6217.5</v>
      </c>
      <c r="AT97" s="375">
        <v>6217.5</v>
      </c>
      <c r="AU97" s="344">
        <f t="shared" si="39"/>
        <v>6.2726176115802168E-2</v>
      </c>
      <c r="AV97" s="18">
        <f>IF(F97="","",(SUM($AS$6:AS97)))</f>
        <v>539141.00999999978</v>
      </c>
      <c r="AW97" s="18">
        <f>IF(AS97&lt;&gt;"", SUMIFS($AS$10:AS97, $BG$10:BG97, BG97), "")</f>
        <v>347035.49</v>
      </c>
      <c r="AX97" s="123">
        <f t="shared" ca="1" si="51"/>
        <v>296.0714285714285</v>
      </c>
      <c r="AY97" s="124" t="str">
        <f t="shared" ca="1" si="40"/>
        <v>LINK</v>
      </c>
      <c r="AZ97" s="141" t="s">
        <v>438</v>
      </c>
      <c r="BA97" s="125" t="s">
        <v>332</v>
      </c>
      <c r="BB97" t="str">
        <f t="shared" si="41"/>
        <v>25</v>
      </c>
      <c r="BC97" t="str">
        <f t="shared" si="42"/>
        <v>07</v>
      </c>
      <c r="BD97">
        <f t="shared" si="43"/>
        <v>28</v>
      </c>
      <c r="BE97" t="str">
        <f t="shared" si="44"/>
        <v>N</v>
      </c>
      <c r="BF97" t="str">
        <f t="shared" si="49"/>
        <v>https://www.coreplan.io/app/ddh1-drilling/speewah-mining-speewah-fluorite-project-wa/plods/1665-250728N</v>
      </c>
      <c r="BG97" t="str">
        <f t="shared" si="45"/>
        <v>2025-07</v>
      </c>
    </row>
    <row r="98" spans="1:59">
      <c r="A98" s="510" t="str">
        <f>VLOOKUP(F98,'Tenement Lookup'!A:BH,60,FALSE)</f>
        <v>M 80/269</v>
      </c>
      <c r="B98" t="str">
        <f>VLOOKUP(F98,Purpose!$A$2:$B$334,2,FALSE)</f>
        <v>Met</v>
      </c>
      <c r="C98" s="151" t="s">
        <v>11</v>
      </c>
      <c r="D98" s="1">
        <f t="shared" si="32"/>
        <v>45867.21</v>
      </c>
      <c r="E98" t="s">
        <v>171</v>
      </c>
      <c r="F98" s="501" t="s">
        <v>436</v>
      </c>
      <c r="H98" s="4" t="s">
        <v>407</v>
      </c>
      <c r="I98" s="4">
        <v>3</v>
      </c>
      <c r="J98" s="122">
        <f>IF(ISBLANK(I98),"",I98*$J$2)</f>
        <v>390</v>
      </c>
      <c r="K98" s="21">
        <v>39.200000000000003</v>
      </c>
      <c r="L98" s="28">
        <v>50.3</v>
      </c>
      <c r="M98" s="22">
        <f t="shared" si="46"/>
        <v>11.099999999999994</v>
      </c>
      <c r="N98" s="30"/>
      <c r="O98" s="26"/>
      <c r="P98" s="31">
        <f t="shared" si="52"/>
        <v>0</v>
      </c>
      <c r="Q98" s="21"/>
      <c r="R98" s="28"/>
      <c r="S98" s="22">
        <f t="shared" si="55"/>
        <v>0</v>
      </c>
      <c r="T98" s="30"/>
      <c r="U98" s="26"/>
      <c r="V98" s="31">
        <f t="shared" si="53"/>
        <v>0</v>
      </c>
      <c r="W98" s="26">
        <f t="shared" si="47"/>
        <v>11.099999999999994</v>
      </c>
      <c r="X98" s="36">
        <f t="shared" si="34"/>
        <v>1942.4999999999991</v>
      </c>
      <c r="Y98" s="301">
        <f t="shared" si="36"/>
        <v>4255</v>
      </c>
      <c r="Z98" s="38"/>
      <c r="AA98" s="38">
        <v>1</v>
      </c>
      <c r="AB98" s="38">
        <v>1</v>
      </c>
      <c r="AC98" s="38">
        <v>13122</v>
      </c>
      <c r="AD98" s="157">
        <f t="shared" si="48"/>
        <v>575</v>
      </c>
      <c r="AE98" s="29">
        <v>9.25</v>
      </c>
      <c r="AF98" s="29">
        <v>2</v>
      </c>
      <c r="AG98" s="40"/>
      <c r="AH98" s="44">
        <v>0.75</v>
      </c>
      <c r="AI98" s="13"/>
      <c r="AJ98" s="304"/>
      <c r="AK98" s="45"/>
      <c r="AL98" s="23"/>
      <c r="AM98" s="138"/>
      <c r="AN98" s="25">
        <f t="shared" ca="1" si="50"/>
        <v>12</v>
      </c>
      <c r="AO98" s="50"/>
      <c r="AP98" s="53">
        <f t="shared" si="37"/>
        <v>1190</v>
      </c>
      <c r="AQ98" s="322">
        <v>1161.2</v>
      </c>
      <c r="AR98" s="119">
        <f>1161.2-390</f>
        <v>771.2</v>
      </c>
      <c r="AS98" s="375">
        <f t="shared" si="38"/>
        <v>7181.2</v>
      </c>
      <c r="AT98" s="375">
        <v>7181.2</v>
      </c>
      <c r="AU98" s="344">
        <f t="shared" si="39"/>
        <v>5.4308472121650977E-2</v>
      </c>
      <c r="AV98" s="18">
        <f>IF(F98="","",(SUM($AS$6:AS98)))</f>
        <v>546322.20999999973</v>
      </c>
      <c r="AW98" s="18">
        <f>IF(AS98&lt;&gt;"", SUMIFS($AS$10:AS98, $BG$10:BG98, BG98), "")</f>
        <v>354216.69</v>
      </c>
      <c r="AX98" s="123">
        <f t="shared" ca="1" si="51"/>
        <v>646.95495495495527</v>
      </c>
      <c r="AY98" s="124" t="str">
        <f t="shared" ca="1" si="40"/>
        <v>LINK</v>
      </c>
      <c r="BA98" s="125" t="s">
        <v>332</v>
      </c>
      <c r="BB98" t="str">
        <f t="shared" si="41"/>
        <v>25</v>
      </c>
      <c r="BC98" t="str">
        <f t="shared" si="42"/>
        <v>07</v>
      </c>
      <c r="BD98">
        <f t="shared" si="43"/>
        <v>29</v>
      </c>
      <c r="BE98" t="str">
        <f t="shared" si="44"/>
        <v>D</v>
      </c>
      <c r="BF98" t="str">
        <f t="shared" si="49"/>
        <v>https://www.coreplan.io/app/ddh1-drilling/speewah-mining-speewah-fluorite-project-wa/plods/1665-250729D</v>
      </c>
      <c r="BG98" t="str">
        <f t="shared" si="45"/>
        <v>2025-07</v>
      </c>
    </row>
    <row r="99" spans="1:59">
      <c r="A99" s="510" t="str">
        <f>VLOOKUP(F99,'Tenement Lookup'!A:BH,60,FALSE)</f>
        <v>M 80/269</v>
      </c>
      <c r="B99" t="str">
        <f>VLOOKUP(F99,Purpose!$A$2:$B$334,2,FALSE)</f>
        <v>Met</v>
      </c>
      <c r="C99" s="151" t="s">
        <v>11</v>
      </c>
      <c r="D99" s="1">
        <f t="shared" si="32"/>
        <v>45867.71</v>
      </c>
      <c r="E99" t="s">
        <v>172</v>
      </c>
      <c r="F99" s="501" t="s">
        <v>436</v>
      </c>
      <c r="H99" s="4" t="s">
        <v>392</v>
      </c>
      <c r="I99" s="4">
        <v>3</v>
      </c>
      <c r="J99" s="122">
        <f>IF(ISBLANK(I99),"",I99*$J$2)</f>
        <v>390</v>
      </c>
      <c r="K99" s="21">
        <v>50.3</v>
      </c>
      <c r="L99" s="28">
        <v>55.8</v>
      </c>
      <c r="M99" s="22">
        <f t="shared" si="46"/>
        <v>5.5</v>
      </c>
      <c r="N99" s="30"/>
      <c r="O99" s="26"/>
      <c r="P99" s="31">
        <f t="shared" si="52"/>
        <v>0</v>
      </c>
      <c r="Q99" s="21"/>
      <c r="R99" s="28"/>
      <c r="S99" s="22">
        <f t="shared" si="55"/>
        <v>0</v>
      </c>
      <c r="T99" s="30"/>
      <c r="U99" s="26"/>
      <c r="V99" s="31">
        <f t="shared" si="53"/>
        <v>0</v>
      </c>
      <c r="W99" s="26">
        <f t="shared" si="47"/>
        <v>5.5</v>
      </c>
      <c r="X99" s="36">
        <f t="shared" si="34"/>
        <v>962.5</v>
      </c>
      <c r="Y99" s="301">
        <f t="shared" si="36"/>
        <v>2300</v>
      </c>
      <c r="Z99" s="38"/>
      <c r="AA99" s="38"/>
      <c r="AB99" s="38"/>
      <c r="AC99" s="38"/>
      <c r="AD99" s="157">
        <f t="shared" si="48"/>
        <v>0</v>
      </c>
      <c r="AE99" s="29">
        <v>5</v>
      </c>
      <c r="AF99" s="29">
        <v>2.5</v>
      </c>
      <c r="AG99" s="40" t="s">
        <v>242</v>
      </c>
      <c r="AH99" s="44">
        <v>0.5</v>
      </c>
      <c r="AI99" s="13"/>
      <c r="AJ99" s="304"/>
      <c r="AK99" s="45">
        <v>4</v>
      </c>
      <c r="AL99" s="23"/>
      <c r="AM99" s="138"/>
      <c r="AN99" s="25">
        <f t="shared" ca="1" si="50"/>
        <v>12</v>
      </c>
      <c r="AO99" s="50"/>
      <c r="AP99" s="53">
        <f t="shared" si="37"/>
        <v>1330</v>
      </c>
      <c r="AQ99" s="322">
        <v>507.93</v>
      </c>
      <c r="AR99" s="119">
        <v>117.93</v>
      </c>
      <c r="AS99" s="375">
        <f t="shared" si="38"/>
        <v>4137.93</v>
      </c>
      <c r="AT99" s="375">
        <v>4137.93</v>
      </c>
      <c r="AU99" s="344">
        <f t="shared" si="39"/>
        <v>9.4250023562505877E-2</v>
      </c>
      <c r="AV99" s="18">
        <f>IF(F99="","",(SUM($AS$6:AS99)))</f>
        <v>550460.13999999978</v>
      </c>
      <c r="AW99" s="18">
        <f>IF(AS99&lt;&gt;"", SUMIFS($AS$10:AS99, $BG$10:BG99, BG99), "")</f>
        <v>358354.62</v>
      </c>
      <c r="AX99" s="123">
        <f t="shared" ca="1" si="51"/>
        <v>752.35090909090911</v>
      </c>
      <c r="AY99" s="124" t="str">
        <f t="shared" ca="1" si="40"/>
        <v>LINK</v>
      </c>
      <c r="BA99" s="125" t="s">
        <v>332</v>
      </c>
      <c r="BB99" t="str">
        <f t="shared" si="41"/>
        <v>25</v>
      </c>
      <c r="BC99" t="str">
        <f t="shared" si="42"/>
        <v>07</v>
      </c>
      <c r="BD99">
        <f t="shared" si="43"/>
        <v>29</v>
      </c>
      <c r="BE99" t="str">
        <f t="shared" si="44"/>
        <v>N</v>
      </c>
      <c r="BF99" t="str">
        <f t="shared" si="49"/>
        <v>https://www.coreplan.io/app/ddh1-drilling/speewah-mining-speewah-fluorite-project-wa/plods/1665-250729N</v>
      </c>
      <c r="BG99" t="str">
        <f t="shared" si="45"/>
        <v>2025-07</v>
      </c>
    </row>
    <row r="100" spans="1:59">
      <c r="A100" s="510" t="str">
        <f>VLOOKUP(F100,'Tenement Lookup'!A:BH,60,FALSE)</f>
        <v>M 80/269</v>
      </c>
      <c r="B100" t="str">
        <f>VLOOKUP(F100,Purpose!$A$2:$B$334,2,FALSE)</f>
        <v>Met</v>
      </c>
      <c r="C100" s="151" t="s">
        <v>11</v>
      </c>
      <c r="D100" s="1">
        <f t="shared" si="32"/>
        <v>45868.21</v>
      </c>
      <c r="E100" t="s">
        <v>171</v>
      </c>
      <c r="F100" s="501" t="s">
        <v>436</v>
      </c>
      <c r="H100" s="4" t="s">
        <v>394</v>
      </c>
      <c r="I100" s="4">
        <v>3</v>
      </c>
      <c r="J100" s="122">
        <f t="shared" si="33"/>
        <v>390</v>
      </c>
      <c r="K100" s="21">
        <v>55.8</v>
      </c>
      <c r="L100" s="28">
        <v>55.8</v>
      </c>
      <c r="M100" s="22">
        <f t="shared" si="46"/>
        <v>0</v>
      </c>
      <c r="N100" s="30"/>
      <c r="O100" s="26"/>
      <c r="P100" s="31">
        <f t="shared" si="52"/>
        <v>0</v>
      </c>
      <c r="Q100" s="21"/>
      <c r="R100" s="28"/>
      <c r="S100" s="22">
        <f t="shared" si="55"/>
        <v>0</v>
      </c>
      <c r="T100" s="30"/>
      <c r="U100" s="26"/>
      <c r="V100" s="31">
        <f t="shared" si="53"/>
        <v>0</v>
      </c>
      <c r="W100" s="26">
        <f t="shared" si="47"/>
        <v>0</v>
      </c>
      <c r="X100" s="36">
        <f t="shared" si="34"/>
        <v>0</v>
      </c>
      <c r="Y100" s="301">
        <f t="shared" si="36"/>
        <v>0</v>
      </c>
      <c r="Z100" s="38"/>
      <c r="AA100" s="38">
        <v>1</v>
      </c>
      <c r="AB100" s="38">
        <v>1</v>
      </c>
      <c r="AC100" s="38">
        <v>13122</v>
      </c>
      <c r="AD100" s="157">
        <f t="shared" si="48"/>
        <v>575</v>
      </c>
      <c r="AE100" s="29"/>
      <c r="AF100" s="29">
        <v>0.25</v>
      </c>
      <c r="AG100" s="40"/>
      <c r="AH100" s="44">
        <v>0.75</v>
      </c>
      <c r="AI100" s="13"/>
      <c r="AJ100" s="304"/>
      <c r="AK100" s="45">
        <v>11</v>
      </c>
      <c r="AL100" s="23"/>
      <c r="AM100" s="138"/>
      <c r="AN100" s="25">
        <f t="shared" ca="1" si="50"/>
        <v>12</v>
      </c>
      <c r="AO100" s="50"/>
      <c r="AP100" s="53">
        <f t="shared" si="37"/>
        <v>385</v>
      </c>
      <c r="AQ100" s="322">
        <v>390</v>
      </c>
      <c r="AR100" s="119"/>
      <c r="AS100" s="375">
        <f t="shared" si="38"/>
        <v>1350</v>
      </c>
      <c r="AT100" s="375">
        <v>1350</v>
      </c>
      <c r="AU100" s="344">
        <f t="shared" si="39"/>
        <v>0.28888888888888886</v>
      </c>
      <c r="AV100" s="18">
        <f>IF(F100="","",(SUM($AS$6:AS100)))</f>
        <v>551810.13999999978</v>
      </c>
      <c r="AW100" s="18">
        <f>IF(AS100&lt;&gt;"", SUMIFS($AS$10:AS100, $BG$10:BG100, BG100), "")</f>
        <v>359704.62</v>
      </c>
      <c r="AX100" s="123" t="str">
        <f t="shared" ca="1" si="51"/>
        <v>no drilling completed</v>
      </c>
      <c r="AY100" s="124" t="str">
        <f t="shared" ca="1" si="40"/>
        <v>LINK</v>
      </c>
      <c r="BA100" s="125" t="s">
        <v>332</v>
      </c>
      <c r="BB100" t="str">
        <f t="shared" si="41"/>
        <v>25</v>
      </c>
      <c r="BC100" t="str">
        <f t="shared" si="42"/>
        <v>07</v>
      </c>
      <c r="BD100">
        <f t="shared" si="43"/>
        <v>30</v>
      </c>
      <c r="BE100" t="str">
        <f t="shared" si="44"/>
        <v>D</v>
      </c>
      <c r="BF100" t="str">
        <f t="shared" si="49"/>
        <v>https://www.coreplan.io/app/ddh1-drilling/speewah-mining-speewah-fluorite-project-wa/plods/1665-250730D</v>
      </c>
      <c r="BG100" t="str">
        <f t="shared" si="45"/>
        <v>2025-07</v>
      </c>
    </row>
    <row r="101" spans="1:59">
      <c r="A101" s="510" t="str">
        <f>VLOOKUP(F101,'Tenement Lookup'!A:BH,60,FALSE)</f>
        <v>M 80/269</v>
      </c>
      <c r="B101" t="str">
        <f>VLOOKUP(F101,Purpose!$A$2:$B$334,2,FALSE)</f>
        <v>Met</v>
      </c>
      <c r="C101" s="151" t="s">
        <v>11</v>
      </c>
      <c r="D101" s="1">
        <f t="shared" si="32"/>
        <v>45868.71</v>
      </c>
      <c r="E101" t="s">
        <v>172</v>
      </c>
      <c r="F101" s="501" t="s">
        <v>436</v>
      </c>
      <c r="H101" s="4" t="s">
        <v>407</v>
      </c>
      <c r="I101" s="4">
        <v>3</v>
      </c>
      <c r="J101" s="122">
        <f t="shared" si="33"/>
        <v>390</v>
      </c>
      <c r="K101" s="21">
        <v>55.8</v>
      </c>
      <c r="L101" s="28">
        <v>78.2</v>
      </c>
      <c r="M101" s="22">
        <f t="shared" si="46"/>
        <v>22.400000000000006</v>
      </c>
      <c r="N101" s="30"/>
      <c r="O101" s="26"/>
      <c r="P101" s="31">
        <f t="shared" si="52"/>
        <v>0</v>
      </c>
      <c r="Q101" s="21"/>
      <c r="R101" s="28"/>
      <c r="S101" s="22">
        <f t="shared" si="55"/>
        <v>0</v>
      </c>
      <c r="T101" s="30"/>
      <c r="U101" s="26"/>
      <c r="V101" s="31">
        <f t="shared" si="53"/>
        <v>0</v>
      </c>
      <c r="W101" s="26">
        <f t="shared" si="47"/>
        <v>22.400000000000006</v>
      </c>
      <c r="X101" s="36">
        <f t="shared" si="34"/>
        <v>3920.0000000000009</v>
      </c>
      <c r="Y101" s="301">
        <f t="shared" si="36"/>
        <v>4945</v>
      </c>
      <c r="Z101" s="38"/>
      <c r="AA101" s="38"/>
      <c r="AB101" s="38"/>
      <c r="AC101" s="38"/>
      <c r="AD101" s="157">
        <f t="shared" si="48"/>
        <v>0</v>
      </c>
      <c r="AE101" s="29">
        <v>10.75</v>
      </c>
      <c r="AF101" s="29">
        <v>0.5</v>
      </c>
      <c r="AG101" s="40"/>
      <c r="AH101" s="44">
        <v>0.75</v>
      </c>
      <c r="AI101" s="13"/>
      <c r="AJ101" s="304"/>
      <c r="AK101" s="45"/>
      <c r="AL101" s="23"/>
      <c r="AM101" s="138"/>
      <c r="AN101" s="25">
        <f t="shared" ca="1" si="50"/>
        <v>12</v>
      </c>
      <c r="AO101" s="50"/>
      <c r="AP101" s="53">
        <f t="shared" si="37"/>
        <v>500</v>
      </c>
      <c r="AQ101" s="322">
        <v>390</v>
      </c>
      <c r="AR101" s="119"/>
      <c r="AS101" s="375">
        <f t="shared" si="38"/>
        <v>5835</v>
      </c>
      <c r="AT101" s="375">
        <v>5835</v>
      </c>
      <c r="AU101" s="344">
        <f t="shared" si="39"/>
        <v>6.6838046272493568E-2</v>
      </c>
      <c r="AV101" s="18">
        <f>IF(F101="","",(SUM($AS$6:AS101)))</f>
        <v>557645.13999999978</v>
      </c>
      <c r="AW101" s="18">
        <f>IF(AS101&lt;&gt;"", SUMIFS($AS$10:AS101, $BG$10:BG101, BG101), "")</f>
        <v>365539.62</v>
      </c>
      <c r="AX101" s="123">
        <f t="shared" ca="1" si="51"/>
        <v>260.49107142857139</v>
      </c>
      <c r="AY101" s="124" t="str">
        <f t="shared" ca="1" si="40"/>
        <v>LINK</v>
      </c>
      <c r="BA101" s="125" t="s">
        <v>332</v>
      </c>
      <c r="BB101" t="str">
        <f t="shared" si="41"/>
        <v>25</v>
      </c>
      <c r="BC101" t="str">
        <f t="shared" si="42"/>
        <v>07</v>
      </c>
      <c r="BD101">
        <f t="shared" si="43"/>
        <v>30</v>
      </c>
      <c r="BE101" t="str">
        <f t="shared" si="44"/>
        <v>N</v>
      </c>
      <c r="BF101" t="str">
        <f t="shared" si="49"/>
        <v>https://www.coreplan.io/app/ddh1-drilling/speewah-mining-speewah-fluorite-project-wa/plods/1665-250730N</v>
      </c>
      <c r="BG101" t="str">
        <f t="shared" si="45"/>
        <v>2025-07</v>
      </c>
    </row>
    <row r="102" spans="1:59">
      <c r="A102" s="510" t="str">
        <f>VLOOKUP(F102,'Tenement Lookup'!A:BH,60,FALSE)</f>
        <v>M 80/269</v>
      </c>
      <c r="B102" t="str">
        <f>VLOOKUP(F102,Purpose!$A$2:$B$334,2,FALSE)</f>
        <v>Met</v>
      </c>
      <c r="C102" s="151" t="s">
        <v>11</v>
      </c>
      <c r="D102" s="1">
        <f t="shared" si="32"/>
        <v>45869.21</v>
      </c>
      <c r="E102" t="s">
        <v>171</v>
      </c>
      <c r="F102" s="501" t="s">
        <v>436</v>
      </c>
      <c r="G102" s="8" t="s">
        <v>439</v>
      </c>
      <c r="H102" s="4" t="s">
        <v>394</v>
      </c>
      <c r="I102" s="4">
        <v>3</v>
      </c>
      <c r="J102" s="122">
        <f t="shared" si="33"/>
        <v>390</v>
      </c>
      <c r="K102" s="21">
        <v>78.2</v>
      </c>
      <c r="L102" s="28">
        <v>85.5</v>
      </c>
      <c r="M102" s="22">
        <f t="shared" si="46"/>
        <v>7.2999999999999972</v>
      </c>
      <c r="N102" s="30"/>
      <c r="O102" s="26"/>
      <c r="P102" s="31">
        <f t="shared" si="52"/>
        <v>0</v>
      </c>
      <c r="Q102" s="21">
        <v>0</v>
      </c>
      <c r="R102" s="28">
        <v>6.3</v>
      </c>
      <c r="S102" s="22">
        <f t="shared" si="55"/>
        <v>6.3</v>
      </c>
      <c r="T102" s="30"/>
      <c r="U102" s="26"/>
      <c r="V102" s="31">
        <f t="shared" si="53"/>
        <v>0</v>
      </c>
      <c r="W102" s="26">
        <f t="shared" si="47"/>
        <v>13.599999999999998</v>
      </c>
      <c r="X102" s="36">
        <f t="shared" si="34"/>
        <v>2379.9999999999995</v>
      </c>
      <c r="Y102" s="301">
        <f t="shared" ref="Y102:Y133" si="56">IF(F102&lt;&gt;"",IF(X102&lt;(AE102*$AE$2),(AE102*$AE$2),X102),"")</f>
        <v>2530</v>
      </c>
      <c r="Z102" s="38"/>
      <c r="AA102" s="38">
        <v>1</v>
      </c>
      <c r="AB102" s="38">
        <v>1</v>
      </c>
      <c r="AC102" s="38">
        <v>13122</v>
      </c>
      <c r="AD102" s="157">
        <f t="shared" si="48"/>
        <v>575</v>
      </c>
      <c r="AE102" s="29">
        <v>5.5</v>
      </c>
      <c r="AF102" s="29">
        <v>4.75</v>
      </c>
      <c r="AG102" s="40"/>
      <c r="AH102" s="44">
        <v>1.75</v>
      </c>
      <c r="AI102" s="13"/>
      <c r="AJ102" s="304"/>
      <c r="AK102" s="45"/>
      <c r="AL102" s="23"/>
      <c r="AM102" s="138"/>
      <c r="AN102" s="25">
        <f t="shared" ca="1" si="50"/>
        <v>12</v>
      </c>
      <c r="AO102" s="50"/>
      <c r="AP102" s="53">
        <f t="shared" si="37"/>
        <v>2815</v>
      </c>
      <c r="AQ102" s="322">
        <v>754.57</v>
      </c>
      <c r="AR102" s="119">
        <f>754.57-390</f>
        <v>364.57000000000005</v>
      </c>
      <c r="AS102" s="375">
        <f t="shared" si="38"/>
        <v>6674.57</v>
      </c>
      <c r="AT102" s="375">
        <v>6674.57</v>
      </c>
      <c r="AU102" s="344">
        <f t="shared" si="39"/>
        <v>5.8430730369147379E-2</v>
      </c>
      <c r="AV102" s="18">
        <f>IF(F102="","",(SUM($AS$6:AS102)))</f>
        <v>564319.70999999973</v>
      </c>
      <c r="AW102" s="18">
        <f>IF(AS102&lt;&gt;"", SUMIFS($AS$10:AS102, $BG$10:BG102, BG102), "")</f>
        <v>372214.19</v>
      </c>
      <c r="AX102" s="123">
        <f t="shared" ca="1" si="51"/>
        <v>490.77720588235297</v>
      </c>
      <c r="AY102" s="124" t="str">
        <f t="shared" ca="1" si="40"/>
        <v>LINK</v>
      </c>
      <c r="BA102" s="125" t="s">
        <v>332</v>
      </c>
      <c r="BB102" t="str">
        <f t="shared" si="41"/>
        <v>25</v>
      </c>
      <c r="BC102" t="str">
        <f t="shared" si="42"/>
        <v>07</v>
      </c>
      <c r="BD102">
        <f t="shared" si="43"/>
        <v>31</v>
      </c>
      <c r="BE102" t="str">
        <f t="shared" si="44"/>
        <v>D</v>
      </c>
      <c r="BF102" t="str">
        <f t="shared" si="49"/>
        <v>https://www.coreplan.io/app/ddh1-drilling/speewah-mining-speewah-fluorite-project-wa/plods/1665-250731D</v>
      </c>
      <c r="BG102" t="str">
        <f t="shared" si="45"/>
        <v>2025-07</v>
      </c>
    </row>
    <row r="103" spans="1:59">
      <c r="A103" s="510" t="str">
        <f>VLOOKUP(F103,'Tenement Lookup'!A:BH,60,FALSE)</f>
        <v>M 80/269</v>
      </c>
      <c r="B103" t="str">
        <f>VLOOKUP(F103,Purpose!$A$2:$B$334,2,FALSE)</f>
        <v>Met</v>
      </c>
      <c r="C103" s="151" t="s">
        <v>11</v>
      </c>
      <c r="D103" s="1">
        <f t="shared" si="32"/>
        <v>45869.71</v>
      </c>
      <c r="E103" t="s">
        <v>172</v>
      </c>
      <c r="F103" s="501" t="s">
        <v>439</v>
      </c>
      <c r="H103" s="4" t="s">
        <v>407</v>
      </c>
      <c r="I103" s="4">
        <v>3</v>
      </c>
      <c r="J103" s="122">
        <v>390</v>
      </c>
      <c r="K103" s="21">
        <v>6.3</v>
      </c>
      <c r="L103" s="28">
        <v>36.6</v>
      </c>
      <c r="M103" s="22">
        <f t="shared" si="46"/>
        <v>30.3</v>
      </c>
      <c r="N103" s="30"/>
      <c r="O103" s="26"/>
      <c r="P103" s="31">
        <f t="shared" si="52"/>
        <v>0</v>
      </c>
      <c r="Q103" s="21"/>
      <c r="R103" s="28"/>
      <c r="S103" s="22">
        <f t="shared" si="55"/>
        <v>0</v>
      </c>
      <c r="T103" s="30"/>
      <c r="U103" s="26"/>
      <c r="V103" s="31">
        <f t="shared" si="53"/>
        <v>0</v>
      </c>
      <c r="W103" s="26">
        <f t="shared" si="47"/>
        <v>30.3</v>
      </c>
      <c r="X103" s="36">
        <f t="shared" si="34"/>
        <v>5302.5</v>
      </c>
      <c r="Y103" s="301">
        <f t="shared" si="56"/>
        <v>5302.5</v>
      </c>
      <c r="Z103" s="38"/>
      <c r="AA103" s="38"/>
      <c r="AB103" s="38"/>
      <c r="AC103" s="38"/>
      <c r="AD103" s="157">
        <f t="shared" si="48"/>
        <v>0</v>
      </c>
      <c r="AE103" s="29">
        <v>10.25</v>
      </c>
      <c r="AF103" s="29">
        <v>1</v>
      </c>
      <c r="AG103" s="40"/>
      <c r="AH103" s="44">
        <v>0.75</v>
      </c>
      <c r="AI103" s="13"/>
      <c r="AJ103" s="304"/>
      <c r="AK103" s="45"/>
      <c r="AL103" s="23"/>
      <c r="AM103" s="138"/>
      <c r="AN103" s="25">
        <f t="shared" ca="1" si="50"/>
        <v>12</v>
      </c>
      <c r="AO103" s="50"/>
      <c r="AP103" s="53">
        <f t="shared" si="37"/>
        <v>730</v>
      </c>
      <c r="AQ103" s="322">
        <v>21975</v>
      </c>
      <c r="AR103" s="119">
        <f>AQ103-390</f>
        <v>21585</v>
      </c>
      <c r="AS103" s="375">
        <f t="shared" si="38"/>
        <v>28007.5</v>
      </c>
      <c r="AT103" s="375">
        <v>28007.5</v>
      </c>
      <c r="AU103" s="344">
        <f t="shared" si="39"/>
        <v>1.392484156029635E-2</v>
      </c>
      <c r="AV103" s="18">
        <f>IF(F103="","",(SUM($AS$6:AS103)))</f>
        <v>592327.20999999973</v>
      </c>
      <c r="AW103" s="18">
        <f>IF(AS103&lt;&gt;"", SUMIFS($AS$10:AS103, $BG$10:BG103, BG103), "")</f>
        <v>400221.69</v>
      </c>
      <c r="AX103" s="123">
        <f t="shared" ca="1" si="51"/>
        <v>924.33993399339931</v>
      </c>
      <c r="AY103" s="124" t="str">
        <f t="shared" ca="1" si="40"/>
        <v>LINK</v>
      </c>
      <c r="BA103" s="125" t="s">
        <v>332</v>
      </c>
      <c r="BB103" t="str">
        <f t="shared" si="41"/>
        <v>25</v>
      </c>
      <c r="BC103" t="str">
        <f t="shared" si="42"/>
        <v>07</v>
      </c>
      <c r="BD103">
        <f t="shared" si="43"/>
        <v>31</v>
      </c>
      <c r="BE103" t="str">
        <f t="shared" si="44"/>
        <v>N</v>
      </c>
      <c r="BF103" t="str">
        <f t="shared" si="49"/>
        <v>https://www.coreplan.io/app/ddh1-drilling/speewah-mining-speewah-fluorite-project-wa/plods/1665-250731N</v>
      </c>
      <c r="BG103" t="str">
        <f t="shared" si="45"/>
        <v>2025-07</v>
      </c>
    </row>
    <row r="104" spans="1:59">
      <c r="A104" s="510" t="str">
        <f>VLOOKUP(F104,'Tenement Lookup'!A:BH,60,FALSE)</f>
        <v>M 80/269</v>
      </c>
      <c r="B104" t="str">
        <f>VLOOKUP(F104,Purpose!$A$2:$B$334,2,FALSE)</f>
        <v>Met</v>
      </c>
      <c r="C104" s="151" t="s">
        <v>11</v>
      </c>
      <c r="D104" s="1">
        <f t="shared" si="32"/>
        <v>45870.21</v>
      </c>
      <c r="E104" t="s">
        <v>171</v>
      </c>
      <c r="F104" s="501" t="s">
        <v>439</v>
      </c>
      <c r="H104" s="4" t="s">
        <v>394</v>
      </c>
      <c r="I104" s="4">
        <v>3</v>
      </c>
      <c r="J104" s="122">
        <f>IF(ISBLANK(I104),"",I104*$J$2)</f>
        <v>390</v>
      </c>
      <c r="K104" s="21">
        <v>36.6</v>
      </c>
      <c r="L104" s="28">
        <v>66.599999999999994</v>
      </c>
      <c r="M104" s="22">
        <f t="shared" si="46"/>
        <v>29.999999999999993</v>
      </c>
      <c r="N104" s="30"/>
      <c r="O104" s="26"/>
      <c r="P104" s="31">
        <f t="shared" si="52"/>
        <v>0</v>
      </c>
      <c r="Q104" s="21"/>
      <c r="R104" s="28"/>
      <c r="S104" s="22">
        <f t="shared" si="55"/>
        <v>0</v>
      </c>
      <c r="T104" s="30"/>
      <c r="U104" s="26"/>
      <c r="V104" s="31">
        <f t="shared" si="53"/>
        <v>0</v>
      </c>
      <c r="W104" s="26">
        <f t="shared" si="47"/>
        <v>29.999999999999993</v>
      </c>
      <c r="X104" s="36">
        <f t="shared" ref="X104:X167" si="57">IFERROR((M104*$M$2)+(P104*$P$2)+(S104*$S$2)+(V104*$V$2),"")</f>
        <v>5249.9999999999991</v>
      </c>
      <c r="Y104" s="301">
        <f t="shared" si="56"/>
        <v>5249.9999999999991</v>
      </c>
      <c r="Z104" s="38">
        <v>1</v>
      </c>
      <c r="AA104" s="38">
        <v>1</v>
      </c>
      <c r="AB104" s="38">
        <v>1</v>
      </c>
      <c r="AC104" s="38">
        <v>13122</v>
      </c>
      <c r="AD104" s="157">
        <f t="shared" si="48"/>
        <v>750</v>
      </c>
      <c r="AE104" s="29">
        <v>9.25</v>
      </c>
      <c r="AF104" s="29">
        <v>2</v>
      </c>
      <c r="AG104" s="40"/>
      <c r="AH104" s="44">
        <v>0.75</v>
      </c>
      <c r="AI104" s="13"/>
      <c r="AJ104" s="304"/>
      <c r="AK104" s="45"/>
      <c r="AL104" s="23"/>
      <c r="AM104" s="138"/>
      <c r="AN104" s="25">
        <f t="shared" ca="1" si="50"/>
        <v>12</v>
      </c>
      <c r="AO104" s="50"/>
      <c r="AP104" s="53">
        <f t="shared" si="37"/>
        <v>1190</v>
      </c>
      <c r="AQ104" s="322">
        <v>665</v>
      </c>
      <c r="AR104" s="119">
        <f>665-390</f>
        <v>275</v>
      </c>
      <c r="AS104" s="375">
        <f t="shared" si="38"/>
        <v>7854.9999999999991</v>
      </c>
      <c r="AT104" s="375">
        <v>7855</v>
      </c>
      <c r="AU104" s="344">
        <f t="shared" si="39"/>
        <v>4.9649904519414388E-2</v>
      </c>
      <c r="AV104" s="18">
        <f>IF(F104="","",(SUM($AS$6:AS104)))</f>
        <v>600182.20999999973</v>
      </c>
      <c r="AW104" s="18">
        <f>IF(AS104&lt;&gt;"", SUMIFS($AS$10:AS104, $BG$10:BG104, BG104), "")</f>
        <v>7854.9999999999991</v>
      </c>
      <c r="AX104" s="123">
        <f t="shared" ca="1" si="51"/>
        <v>261.83333333333337</v>
      </c>
      <c r="AY104" s="124" t="str">
        <f t="shared" ca="1" si="40"/>
        <v>LINK</v>
      </c>
      <c r="AZ104" s="10" t="s">
        <v>440</v>
      </c>
      <c r="BA104" s="125" t="s">
        <v>332</v>
      </c>
      <c r="BB104" t="str">
        <f t="shared" si="41"/>
        <v>25</v>
      </c>
      <c r="BC104" t="str">
        <f t="shared" si="42"/>
        <v>08</v>
      </c>
      <c r="BD104" t="str">
        <f t="shared" si="43"/>
        <v>01</v>
      </c>
      <c r="BE104" t="str">
        <f t="shared" si="44"/>
        <v>D</v>
      </c>
      <c r="BF104" t="str">
        <f t="shared" ref="BF104:BF121" si="58">CONCATENATE(BA104,BB104,BC104,0,BD104,BE104)</f>
        <v>https://www.coreplan.io/app/ddh1-drilling/speewah-mining-speewah-fluorite-project-wa/plods/1665-2508001D</v>
      </c>
      <c r="BG104" t="str">
        <f t="shared" si="45"/>
        <v>2025-08</v>
      </c>
    </row>
    <row r="105" spans="1:59">
      <c r="A105" s="510" t="str">
        <f>VLOOKUP(F105,'Tenement Lookup'!A:BH,60,FALSE)</f>
        <v>M 80/269</v>
      </c>
      <c r="B105" t="str">
        <f>VLOOKUP(F105,Purpose!$A$2:$B$334,2,FALSE)</f>
        <v>Met</v>
      </c>
      <c r="C105" s="151" t="s">
        <v>11</v>
      </c>
      <c r="D105" s="1">
        <f t="shared" si="32"/>
        <v>45870.71</v>
      </c>
      <c r="E105" t="s">
        <v>172</v>
      </c>
      <c r="F105" s="501" t="s">
        <v>439</v>
      </c>
      <c r="H105" s="4" t="s">
        <v>407</v>
      </c>
      <c r="I105" s="4">
        <v>3</v>
      </c>
      <c r="J105" s="122">
        <f t="shared" ref="J105:J167" si="59">IF(ISBLANK(I105),"",I105*$J$2)</f>
        <v>390</v>
      </c>
      <c r="K105" s="21">
        <v>66.599999999999994</v>
      </c>
      <c r="L105" s="28">
        <v>85</v>
      </c>
      <c r="M105" s="22">
        <f t="shared" si="46"/>
        <v>18.400000000000006</v>
      </c>
      <c r="N105" s="30"/>
      <c r="O105" s="26"/>
      <c r="P105" s="31">
        <f t="shared" si="52"/>
        <v>0</v>
      </c>
      <c r="Q105" s="21"/>
      <c r="R105" s="28"/>
      <c r="S105" s="22">
        <f t="shared" si="55"/>
        <v>0</v>
      </c>
      <c r="T105" s="30"/>
      <c r="U105" s="26"/>
      <c r="V105" s="31">
        <f t="shared" si="53"/>
        <v>0</v>
      </c>
      <c r="W105" s="26">
        <f t="shared" si="47"/>
        <v>18.400000000000006</v>
      </c>
      <c r="X105" s="36">
        <f t="shared" si="57"/>
        <v>3220.0000000000009</v>
      </c>
      <c r="Y105" s="301">
        <f t="shared" si="56"/>
        <v>4140</v>
      </c>
      <c r="Z105" s="38"/>
      <c r="AA105" s="38"/>
      <c r="AB105" s="38"/>
      <c r="AC105" s="38"/>
      <c r="AD105" s="157">
        <f t="shared" si="48"/>
        <v>0</v>
      </c>
      <c r="AE105" s="29">
        <v>9</v>
      </c>
      <c r="AF105" s="29">
        <v>2.25</v>
      </c>
      <c r="AG105" s="40"/>
      <c r="AH105" s="44">
        <v>0.75</v>
      </c>
      <c r="AI105" s="13"/>
      <c r="AJ105" s="304"/>
      <c r="AK105" s="45"/>
      <c r="AL105" s="23"/>
      <c r="AM105" s="138"/>
      <c r="AN105" s="25">
        <f t="shared" ca="1" si="50"/>
        <v>12</v>
      </c>
      <c r="AO105" s="50"/>
      <c r="AP105" s="53">
        <f t="shared" si="37"/>
        <v>1305</v>
      </c>
      <c r="AQ105" s="322">
        <v>610</v>
      </c>
      <c r="AR105" s="119">
        <f>610-390</f>
        <v>220</v>
      </c>
      <c r="AS105" s="375">
        <f t="shared" si="38"/>
        <v>6055</v>
      </c>
      <c r="AT105" s="375">
        <v>6055</v>
      </c>
      <c r="AU105" s="344">
        <f t="shared" si="39"/>
        <v>6.4409578860445918E-2</v>
      </c>
      <c r="AV105" s="18">
        <f>IF(F105="","",(SUM($AS$6:AS105)))</f>
        <v>606237.20999999973</v>
      </c>
      <c r="AW105" s="18">
        <f>IF(AS105&lt;&gt;"", SUMIFS($AS$10:AS105, $BG$10:BG105, BG105), "")</f>
        <v>13910</v>
      </c>
      <c r="AX105" s="123">
        <f t="shared" ca="1" si="51"/>
        <v>329.07608695652164</v>
      </c>
      <c r="AY105" s="124" t="str">
        <f t="shared" ca="1" si="40"/>
        <v>LINK</v>
      </c>
      <c r="AZ105" s="10" t="s">
        <v>441</v>
      </c>
      <c r="BA105" s="125" t="s">
        <v>332</v>
      </c>
      <c r="BB105" t="str">
        <f t="shared" si="41"/>
        <v>25</v>
      </c>
      <c r="BC105" t="str">
        <f t="shared" si="42"/>
        <v>08</v>
      </c>
      <c r="BD105" t="str">
        <f t="shared" si="43"/>
        <v>01</v>
      </c>
      <c r="BE105" t="str">
        <f t="shared" si="44"/>
        <v>N</v>
      </c>
      <c r="BF105" t="str">
        <f t="shared" si="58"/>
        <v>https://www.coreplan.io/app/ddh1-drilling/speewah-mining-speewah-fluorite-project-wa/plods/1665-2508001N</v>
      </c>
      <c r="BG105" t="str">
        <f t="shared" si="45"/>
        <v>2025-08</v>
      </c>
    </row>
    <row r="106" spans="1:59">
      <c r="A106" s="510" t="str">
        <f>VLOOKUP(F106,'Tenement Lookup'!A:BH,60,FALSE)</f>
        <v>M 80/269</v>
      </c>
      <c r="B106" t="str">
        <f>VLOOKUP(F106,Purpose!$A$2:$B$334,2,FALSE)</f>
        <v>Met</v>
      </c>
      <c r="C106" s="151" t="s">
        <v>11</v>
      </c>
      <c r="D106" s="1">
        <f t="shared" si="32"/>
        <v>45871.21</v>
      </c>
      <c r="E106" t="s">
        <v>171</v>
      </c>
      <c r="F106" s="501" t="s">
        <v>442</v>
      </c>
      <c r="H106" s="4" t="s">
        <v>394</v>
      </c>
      <c r="I106" s="4">
        <v>3</v>
      </c>
      <c r="J106" s="122">
        <f>IF(ISBLANK(I106),"",I106*$J$2)</f>
        <v>390</v>
      </c>
      <c r="K106" s="21">
        <v>0</v>
      </c>
      <c r="L106" s="28">
        <v>9.6</v>
      </c>
      <c r="M106" s="22">
        <f t="shared" si="46"/>
        <v>9.6</v>
      </c>
      <c r="N106" s="30"/>
      <c r="O106" s="26"/>
      <c r="P106" s="31">
        <f t="shared" si="52"/>
        <v>0</v>
      </c>
      <c r="Q106" s="21"/>
      <c r="R106" s="28"/>
      <c r="S106" s="22">
        <f t="shared" si="55"/>
        <v>0</v>
      </c>
      <c r="T106" s="30"/>
      <c r="U106" s="26"/>
      <c r="V106" s="31">
        <f t="shared" si="53"/>
        <v>0</v>
      </c>
      <c r="W106" s="26">
        <f t="shared" si="47"/>
        <v>9.6</v>
      </c>
      <c r="X106" s="36">
        <f t="shared" si="57"/>
        <v>1680</v>
      </c>
      <c r="Y106" s="301">
        <f t="shared" si="56"/>
        <v>3220</v>
      </c>
      <c r="Z106" s="38">
        <v>1</v>
      </c>
      <c r="AA106" s="38">
        <v>1</v>
      </c>
      <c r="AB106" s="38">
        <v>1</v>
      </c>
      <c r="AC106" s="38">
        <v>13122</v>
      </c>
      <c r="AD106" s="157">
        <f t="shared" si="48"/>
        <v>750</v>
      </c>
      <c r="AE106" s="29">
        <v>7</v>
      </c>
      <c r="AF106" s="29">
        <v>4.25</v>
      </c>
      <c r="AG106" s="40"/>
      <c r="AH106" s="44">
        <v>0.75</v>
      </c>
      <c r="AI106" s="13"/>
      <c r="AJ106" s="304"/>
      <c r="AK106" s="45"/>
      <c r="AL106" s="23"/>
      <c r="AM106" s="138"/>
      <c r="AN106" s="25">
        <f t="shared" ca="1" si="50"/>
        <v>12</v>
      </c>
      <c r="AO106" s="50"/>
      <c r="AP106" s="53">
        <f t="shared" si="37"/>
        <v>2225</v>
      </c>
      <c r="AQ106" s="322">
        <v>390</v>
      </c>
      <c r="AR106" s="119">
        <f>AQ106-J106</f>
        <v>0</v>
      </c>
      <c r="AS106" s="375">
        <f t="shared" si="38"/>
        <v>6585</v>
      </c>
      <c r="AT106" s="375">
        <v>6585</v>
      </c>
      <c r="AU106" s="344">
        <f t="shared" si="39"/>
        <v>5.9225512528473807E-2</v>
      </c>
      <c r="AV106" s="18">
        <f>IF(F106="","",(SUM($AS$6:AS106)))</f>
        <v>612822.20999999973</v>
      </c>
      <c r="AW106" s="18">
        <f>IF(AS106&lt;&gt;"", SUMIFS($AS$10:AS106, $BG$10:BG106, BG106), "")</f>
        <v>20495</v>
      </c>
      <c r="AX106" s="123">
        <f t="shared" ca="1" si="51"/>
        <v>685.9375</v>
      </c>
      <c r="AY106" s="124" t="str">
        <f t="shared" ca="1" si="40"/>
        <v>LINK</v>
      </c>
      <c r="BA106" s="125" t="s">
        <v>332</v>
      </c>
      <c r="BB106" t="str">
        <f t="shared" si="41"/>
        <v>25</v>
      </c>
      <c r="BC106" t="str">
        <f t="shared" si="42"/>
        <v>08</v>
      </c>
      <c r="BD106" t="str">
        <f t="shared" si="43"/>
        <v>02</v>
      </c>
      <c r="BE106" t="str">
        <f t="shared" si="44"/>
        <v>D</v>
      </c>
      <c r="BF106" t="str">
        <f t="shared" si="58"/>
        <v>https://www.coreplan.io/app/ddh1-drilling/speewah-mining-speewah-fluorite-project-wa/plods/1665-2508002D</v>
      </c>
      <c r="BG106" t="str">
        <f t="shared" si="45"/>
        <v>2025-08</v>
      </c>
    </row>
    <row r="107" spans="1:59">
      <c r="A107" s="510" t="str">
        <f>VLOOKUP(F107,'Tenement Lookup'!A:BH,60,FALSE)</f>
        <v>M 80/269</v>
      </c>
      <c r="B107" t="str">
        <f>VLOOKUP(F107,Purpose!$A$2:$B$334,2,FALSE)</f>
        <v>Met</v>
      </c>
      <c r="C107" s="151" t="s">
        <v>11</v>
      </c>
      <c r="D107" s="1">
        <f t="shared" si="32"/>
        <v>45871.71</v>
      </c>
      <c r="E107" t="s">
        <v>172</v>
      </c>
      <c r="F107" s="501" t="s">
        <v>442</v>
      </c>
      <c r="H107" s="4" t="s">
        <v>407</v>
      </c>
      <c r="I107" s="4">
        <v>3</v>
      </c>
      <c r="J107" s="122">
        <f t="shared" si="59"/>
        <v>390</v>
      </c>
      <c r="K107" s="21">
        <v>9.6</v>
      </c>
      <c r="L107" s="28">
        <v>24.6</v>
      </c>
      <c r="M107" s="22">
        <f t="shared" si="46"/>
        <v>15.000000000000002</v>
      </c>
      <c r="N107" s="30"/>
      <c r="O107" s="26"/>
      <c r="P107" s="31">
        <f t="shared" si="52"/>
        <v>0</v>
      </c>
      <c r="Q107" s="21"/>
      <c r="R107" s="28"/>
      <c r="S107" s="22">
        <f t="shared" si="55"/>
        <v>0</v>
      </c>
      <c r="T107" s="30"/>
      <c r="U107" s="26"/>
      <c r="V107" s="31">
        <f t="shared" si="53"/>
        <v>0</v>
      </c>
      <c r="W107" s="26">
        <f t="shared" si="47"/>
        <v>15.000000000000002</v>
      </c>
      <c r="X107" s="36">
        <f t="shared" si="57"/>
        <v>2625.0000000000005</v>
      </c>
      <c r="Y107" s="301">
        <f t="shared" si="56"/>
        <v>3795</v>
      </c>
      <c r="Z107" s="38"/>
      <c r="AA107" s="38"/>
      <c r="AB107" s="38"/>
      <c r="AC107" s="38"/>
      <c r="AD107" s="157">
        <f t="shared" si="48"/>
        <v>0</v>
      </c>
      <c r="AE107" s="29">
        <v>8.25</v>
      </c>
      <c r="AF107" s="29">
        <v>3</v>
      </c>
      <c r="AG107" s="40"/>
      <c r="AH107" s="44">
        <v>0.75</v>
      </c>
      <c r="AI107" s="13"/>
      <c r="AJ107" s="304"/>
      <c r="AK107" s="45"/>
      <c r="AL107" s="23"/>
      <c r="AM107" s="138"/>
      <c r="AN107" s="25">
        <f t="shared" ca="1" si="50"/>
        <v>12</v>
      </c>
      <c r="AO107" s="50"/>
      <c r="AP107" s="53">
        <f t="shared" si="37"/>
        <v>1650</v>
      </c>
      <c r="AQ107" s="322">
        <v>610</v>
      </c>
      <c r="AR107" s="119">
        <f>610-390</f>
        <v>220</v>
      </c>
      <c r="AS107" s="375">
        <f t="shared" si="38"/>
        <v>6055</v>
      </c>
      <c r="AT107" s="375">
        <v>6055</v>
      </c>
      <c r="AU107" s="344">
        <f t="shared" si="39"/>
        <v>6.4409578860445918E-2</v>
      </c>
      <c r="AV107" s="18">
        <f>IF(F107="","",(SUM($AS$6:AS107)))</f>
        <v>618877.20999999973</v>
      </c>
      <c r="AW107" s="18">
        <f>IF(AS107&lt;&gt;"", SUMIFS($AS$10:AS107, $BG$10:BG107, BG107), "")</f>
        <v>26550</v>
      </c>
      <c r="AX107" s="123">
        <f t="shared" ref="AX107:AX138" ca="1" si="60">IFERROR(IF(AND(D107&gt;TODAY(),ISBLANK(H107)),"",IF(ISBLANK(AE107),"no drilling completed",AS107/(W107))),"")</f>
        <v>403.66666666666663</v>
      </c>
      <c r="AY107" s="124" t="str">
        <f t="shared" ca="1" si="40"/>
        <v>LINK</v>
      </c>
      <c r="BA107" s="125" t="s">
        <v>332</v>
      </c>
      <c r="BB107" t="str">
        <f t="shared" si="41"/>
        <v>25</v>
      </c>
      <c r="BC107" t="str">
        <f t="shared" si="42"/>
        <v>08</v>
      </c>
      <c r="BD107" t="str">
        <f t="shared" si="43"/>
        <v>02</v>
      </c>
      <c r="BE107" t="str">
        <f t="shared" si="44"/>
        <v>N</v>
      </c>
      <c r="BF107" t="str">
        <f t="shared" si="58"/>
        <v>https://www.coreplan.io/app/ddh1-drilling/speewah-mining-speewah-fluorite-project-wa/plods/1665-2508002N</v>
      </c>
      <c r="BG107" t="str">
        <f t="shared" si="45"/>
        <v>2025-08</v>
      </c>
    </row>
    <row r="108" spans="1:59">
      <c r="A108" s="510" t="str">
        <f>VLOOKUP(F108,'Tenement Lookup'!A:BH,60,FALSE)</f>
        <v>M 80/269</v>
      </c>
      <c r="B108" t="str">
        <f>VLOOKUP(F108,Purpose!$A$2:$B$334,2,FALSE)</f>
        <v>Met</v>
      </c>
      <c r="C108" s="151" t="s">
        <v>11</v>
      </c>
      <c r="D108" s="1">
        <f t="shared" si="32"/>
        <v>45872.21</v>
      </c>
      <c r="E108" t="s">
        <v>171</v>
      </c>
      <c r="F108" s="501" t="s">
        <v>442</v>
      </c>
      <c r="H108" s="4" t="s">
        <v>394</v>
      </c>
      <c r="I108" s="4">
        <v>3</v>
      </c>
      <c r="J108" s="122">
        <f t="shared" si="59"/>
        <v>390</v>
      </c>
      <c r="K108" s="21">
        <v>24.6</v>
      </c>
      <c r="L108" s="28">
        <v>48.6</v>
      </c>
      <c r="M108" s="22">
        <f t="shared" si="46"/>
        <v>24</v>
      </c>
      <c r="N108" s="30"/>
      <c r="O108" s="26"/>
      <c r="P108" s="31">
        <f t="shared" si="52"/>
        <v>0</v>
      </c>
      <c r="Q108" s="21"/>
      <c r="R108" s="28"/>
      <c r="S108" s="22">
        <f t="shared" si="55"/>
        <v>0</v>
      </c>
      <c r="T108" s="30"/>
      <c r="U108" s="26"/>
      <c r="V108" s="31">
        <f t="shared" si="53"/>
        <v>0</v>
      </c>
      <c r="W108" s="26">
        <f t="shared" si="47"/>
        <v>24</v>
      </c>
      <c r="X108" s="36">
        <f t="shared" si="57"/>
        <v>4200</v>
      </c>
      <c r="Y108" s="301">
        <f t="shared" si="56"/>
        <v>4200</v>
      </c>
      <c r="Z108" s="38">
        <v>1</v>
      </c>
      <c r="AA108" s="38">
        <v>1</v>
      </c>
      <c r="AB108" s="38">
        <v>1</v>
      </c>
      <c r="AC108" s="38">
        <v>13122</v>
      </c>
      <c r="AD108" s="157">
        <f t="shared" si="48"/>
        <v>750</v>
      </c>
      <c r="AE108" s="29">
        <v>9</v>
      </c>
      <c r="AF108" s="29">
        <v>1.75</v>
      </c>
      <c r="AG108" s="40"/>
      <c r="AH108" s="44">
        <v>0.75</v>
      </c>
      <c r="AI108" s="13"/>
      <c r="AJ108" s="304"/>
      <c r="AK108" s="45">
        <v>0.5</v>
      </c>
      <c r="AL108" s="23"/>
      <c r="AM108" s="138"/>
      <c r="AN108" s="25">
        <f t="shared" ca="1" si="50"/>
        <v>12</v>
      </c>
      <c r="AO108" s="50"/>
      <c r="AP108" s="53">
        <f t="shared" si="37"/>
        <v>1075</v>
      </c>
      <c r="AQ108" s="322">
        <v>727.93</v>
      </c>
      <c r="AR108" s="119">
        <f t="shared" ref="AR108:AR111" si="61">AQ108-J108</f>
        <v>337.92999999999995</v>
      </c>
      <c r="AS108" s="375">
        <f t="shared" si="38"/>
        <v>6752.93</v>
      </c>
      <c r="AT108" s="375">
        <v>6752.93</v>
      </c>
      <c r="AU108" s="344">
        <f t="shared" si="39"/>
        <v>5.7752708824169656E-2</v>
      </c>
      <c r="AV108" s="18">
        <f>IF(F108="","",(SUM($AS$6:AS108)))</f>
        <v>625630.13999999978</v>
      </c>
      <c r="AW108" s="18">
        <f>IF(AS108&lt;&gt;"", SUMIFS($AS$10:AS108, $BG$10:BG108, BG108), "")</f>
        <v>33302.93</v>
      </c>
      <c r="AX108" s="123">
        <f t="shared" ca="1" si="60"/>
        <v>281.37208333333336</v>
      </c>
      <c r="AY108" s="124" t="str">
        <f t="shared" ca="1" si="40"/>
        <v>LINK</v>
      </c>
      <c r="BA108" s="125" t="s">
        <v>332</v>
      </c>
      <c r="BB108" t="str">
        <f t="shared" si="41"/>
        <v>25</v>
      </c>
      <c r="BC108" t="str">
        <f t="shared" si="42"/>
        <v>08</v>
      </c>
      <c r="BD108" t="str">
        <f t="shared" si="43"/>
        <v>03</v>
      </c>
      <c r="BE108" t="str">
        <f t="shared" si="44"/>
        <v>D</v>
      </c>
      <c r="BF108" t="str">
        <f t="shared" si="58"/>
        <v>https://www.coreplan.io/app/ddh1-drilling/speewah-mining-speewah-fluorite-project-wa/plods/1665-2508003D</v>
      </c>
      <c r="BG108" t="str">
        <f t="shared" si="45"/>
        <v>2025-08</v>
      </c>
    </row>
    <row r="109" spans="1:59">
      <c r="A109" s="510" t="str">
        <f>VLOOKUP(F109,'Tenement Lookup'!A:BH,60,FALSE)</f>
        <v>M 80/269</v>
      </c>
      <c r="B109" t="str">
        <f>VLOOKUP(F109,Purpose!$A$2:$B$334,2,FALSE)</f>
        <v>Met</v>
      </c>
      <c r="C109" s="151" t="s">
        <v>11</v>
      </c>
      <c r="D109" s="1">
        <f t="shared" si="32"/>
        <v>45872.71</v>
      </c>
      <c r="E109" t="s">
        <v>172</v>
      </c>
      <c r="F109" s="501" t="s">
        <v>442</v>
      </c>
      <c r="H109" s="4" t="s">
        <v>407</v>
      </c>
      <c r="I109" s="4">
        <v>3</v>
      </c>
      <c r="J109" s="122">
        <f t="shared" si="59"/>
        <v>390</v>
      </c>
      <c r="K109" s="21">
        <v>48.6</v>
      </c>
      <c r="L109" s="28">
        <v>74.3</v>
      </c>
      <c r="M109" s="22">
        <f t="shared" si="46"/>
        <v>25.699999999999996</v>
      </c>
      <c r="N109" s="30"/>
      <c r="O109" s="26"/>
      <c r="P109" s="31">
        <f t="shared" si="52"/>
        <v>0</v>
      </c>
      <c r="Q109" s="21"/>
      <c r="R109" s="28"/>
      <c r="S109" s="22">
        <f t="shared" si="55"/>
        <v>0</v>
      </c>
      <c r="T109" s="30"/>
      <c r="U109" s="26"/>
      <c r="V109" s="31">
        <f t="shared" si="53"/>
        <v>0</v>
      </c>
      <c r="W109" s="26">
        <f t="shared" si="47"/>
        <v>25.699999999999996</v>
      </c>
      <c r="X109" s="36">
        <f t="shared" si="57"/>
        <v>4497.4999999999991</v>
      </c>
      <c r="Y109" s="301">
        <f t="shared" si="56"/>
        <v>4600</v>
      </c>
      <c r="Z109" s="38"/>
      <c r="AA109" s="38"/>
      <c r="AB109" s="38"/>
      <c r="AC109" s="38"/>
      <c r="AD109" s="157">
        <f t="shared" si="48"/>
        <v>0</v>
      </c>
      <c r="AE109" s="29">
        <v>10</v>
      </c>
      <c r="AF109" s="29">
        <v>0.75</v>
      </c>
      <c r="AG109" s="40"/>
      <c r="AH109" s="44">
        <v>0.75</v>
      </c>
      <c r="AI109" s="13"/>
      <c r="AJ109" s="304"/>
      <c r="AK109" s="45">
        <v>0.5</v>
      </c>
      <c r="AL109" s="23"/>
      <c r="AM109" s="138"/>
      <c r="AN109" s="25">
        <f t="shared" ca="1" si="50"/>
        <v>12</v>
      </c>
      <c r="AO109" s="50"/>
      <c r="AP109" s="53">
        <f t="shared" si="37"/>
        <v>615</v>
      </c>
      <c r="AQ109" s="322">
        <v>390</v>
      </c>
      <c r="AR109" s="324">
        <f t="shared" si="61"/>
        <v>0</v>
      </c>
      <c r="AS109" s="375">
        <f t="shared" si="38"/>
        <v>5605</v>
      </c>
      <c r="AT109" s="375">
        <v>5605</v>
      </c>
      <c r="AU109" s="344">
        <f t="shared" si="39"/>
        <v>6.9580731489741296E-2</v>
      </c>
      <c r="AV109" s="18">
        <f>IF(F109="","",(SUM($AS$6:AS109)))</f>
        <v>631235.13999999978</v>
      </c>
      <c r="AW109" s="18">
        <f>IF(AS109&lt;&gt;"", SUMIFS($AS$10:AS109, $BG$10:BG109, BG109), "")</f>
        <v>38907.93</v>
      </c>
      <c r="AX109" s="123">
        <f t="shared" ca="1" si="60"/>
        <v>218.09338521400781</v>
      </c>
      <c r="AY109" s="124" t="str">
        <f t="shared" ca="1" si="40"/>
        <v>LINK</v>
      </c>
      <c r="BA109" s="125" t="s">
        <v>332</v>
      </c>
      <c r="BB109" t="str">
        <f t="shared" si="41"/>
        <v>25</v>
      </c>
      <c r="BC109" t="str">
        <f t="shared" si="42"/>
        <v>08</v>
      </c>
      <c r="BD109" t="str">
        <f t="shared" si="43"/>
        <v>03</v>
      </c>
      <c r="BE109" t="str">
        <f t="shared" si="44"/>
        <v>N</v>
      </c>
      <c r="BF109" t="str">
        <f t="shared" si="58"/>
        <v>https://www.coreplan.io/app/ddh1-drilling/speewah-mining-speewah-fluorite-project-wa/plods/1665-2508003N</v>
      </c>
      <c r="BG109" t="str">
        <f t="shared" si="45"/>
        <v>2025-08</v>
      </c>
    </row>
    <row r="110" spans="1:59">
      <c r="A110" s="510" t="str">
        <f>VLOOKUP(F110,'Tenement Lookup'!A:BH,60,FALSE)</f>
        <v>M 80/269</v>
      </c>
      <c r="B110" t="str">
        <f>VLOOKUP(F110,Purpose!$A$2:$B$334,2,FALSE)</f>
        <v>Met</v>
      </c>
      <c r="C110" s="151" t="s">
        <v>11</v>
      </c>
      <c r="D110" s="1">
        <f t="shared" si="32"/>
        <v>45873.21</v>
      </c>
      <c r="E110" t="s">
        <v>171</v>
      </c>
      <c r="F110" s="501" t="s">
        <v>442</v>
      </c>
      <c r="H110" s="4" t="s">
        <v>394</v>
      </c>
      <c r="I110" s="4">
        <v>3</v>
      </c>
      <c r="J110" s="122">
        <f t="shared" si="59"/>
        <v>390</v>
      </c>
      <c r="K110" s="21">
        <v>74.3</v>
      </c>
      <c r="L110" s="28">
        <v>86.8</v>
      </c>
      <c r="M110" s="22">
        <f t="shared" si="46"/>
        <v>12.5</v>
      </c>
      <c r="N110" s="30"/>
      <c r="O110" s="26"/>
      <c r="P110" s="31">
        <f t="shared" si="52"/>
        <v>0</v>
      </c>
      <c r="Q110" s="21"/>
      <c r="R110" s="28"/>
      <c r="S110" s="22">
        <f t="shared" si="55"/>
        <v>0</v>
      </c>
      <c r="T110" s="30"/>
      <c r="U110" s="26"/>
      <c r="V110" s="31">
        <f t="shared" si="53"/>
        <v>0</v>
      </c>
      <c r="W110" s="26">
        <f t="shared" si="47"/>
        <v>12.5</v>
      </c>
      <c r="X110" s="36">
        <f t="shared" si="57"/>
        <v>2187.5</v>
      </c>
      <c r="Y110" s="301">
        <f t="shared" si="56"/>
        <v>3450</v>
      </c>
      <c r="Z110" s="38">
        <v>1</v>
      </c>
      <c r="AA110" s="38">
        <v>1</v>
      </c>
      <c r="AB110" s="38">
        <v>1</v>
      </c>
      <c r="AC110" s="38">
        <v>13122</v>
      </c>
      <c r="AD110" s="157">
        <f t="shared" si="48"/>
        <v>750</v>
      </c>
      <c r="AE110" s="29">
        <v>7.5</v>
      </c>
      <c r="AF110" s="29">
        <v>2.75</v>
      </c>
      <c r="AG110" s="40" t="s">
        <v>443</v>
      </c>
      <c r="AH110" s="44">
        <v>1.75</v>
      </c>
      <c r="AI110" s="13"/>
      <c r="AJ110" s="304"/>
      <c r="AK110" s="45"/>
      <c r="AL110" s="23"/>
      <c r="AM110" s="138"/>
      <c r="AN110" s="25">
        <f t="shared" ca="1" si="50"/>
        <v>12</v>
      </c>
      <c r="AO110" s="50"/>
      <c r="AP110" s="53">
        <f t="shared" si="37"/>
        <v>1895</v>
      </c>
      <c r="AQ110" s="322">
        <v>507.93</v>
      </c>
      <c r="AR110" s="324">
        <f t="shared" si="61"/>
        <v>117.93</v>
      </c>
      <c r="AS110" s="375">
        <f t="shared" si="38"/>
        <v>6602.93</v>
      </c>
      <c r="AT110" s="375">
        <v>6602.93</v>
      </c>
      <c r="AU110" s="344">
        <f t="shared" si="39"/>
        <v>5.9064687949137731E-2</v>
      </c>
      <c r="AV110" s="18">
        <f>IF(F110="","",(SUM($AS$6:AS110)))</f>
        <v>637838.06999999983</v>
      </c>
      <c r="AW110" s="18">
        <f>IF(AS110&lt;&gt;"", SUMIFS($AS$10:AS110, $BG$10:BG110, BG110), "")</f>
        <v>45510.86</v>
      </c>
      <c r="AX110" s="123">
        <f t="shared" ca="1" si="60"/>
        <v>528.23440000000005</v>
      </c>
      <c r="AY110" s="124" t="str">
        <f t="shared" ca="1" si="40"/>
        <v>LINK</v>
      </c>
      <c r="BA110" s="125" t="s">
        <v>332</v>
      </c>
      <c r="BB110" t="str">
        <f t="shared" si="41"/>
        <v>25</v>
      </c>
      <c r="BC110" t="str">
        <f t="shared" si="42"/>
        <v>08</v>
      </c>
      <c r="BD110" t="str">
        <f t="shared" si="43"/>
        <v>04</v>
      </c>
      <c r="BE110" t="str">
        <f t="shared" si="44"/>
        <v>D</v>
      </c>
      <c r="BF110" t="str">
        <f t="shared" si="58"/>
        <v>https://www.coreplan.io/app/ddh1-drilling/speewah-mining-speewah-fluorite-project-wa/plods/1665-2508004D</v>
      </c>
      <c r="BG110" t="str">
        <f t="shared" si="45"/>
        <v>2025-08</v>
      </c>
    </row>
    <row r="111" spans="1:59">
      <c r="A111" s="510" t="str">
        <f>VLOOKUP(F111,'Tenement Lookup'!A:BH,60,FALSE)</f>
        <v>M 80/269</v>
      </c>
      <c r="B111" t="str">
        <f>VLOOKUP(F111,Purpose!$A$2:$B$334,2,FALSE)</f>
        <v>Met</v>
      </c>
      <c r="C111" s="151" t="s">
        <v>11</v>
      </c>
      <c r="D111" s="1">
        <f t="shared" si="32"/>
        <v>45873.71</v>
      </c>
      <c r="E111" t="s">
        <v>172</v>
      </c>
      <c r="F111" s="501" t="s">
        <v>442</v>
      </c>
      <c r="H111" s="4" t="s">
        <v>407</v>
      </c>
      <c r="I111" s="4">
        <v>3</v>
      </c>
      <c r="J111" s="122">
        <f t="shared" si="59"/>
        <v>390</v>
      </c>
      <c r="K111" s="21">
        <v>86.8</v>
      </c>
      <c r="L111" s="28">
        <v>104.1</v>
      </c>
      <c r="M111" s="22">
        <f t="shared" si="46"/>
        <v>17.299999999999997</v>
      </c>
      <c r="N111" s="30"/>
      <c r="O111" s="26"/>
      <c r="P111" s="31">
        <f t="shared" si="52"/>
        <v>0</v>
      </c>
      <c r="Q111" s="21"/>
      <c r="R111" s="28"/>
      <c r="S111" s="22">
        <f t="shared" si="55"/>
        <v>0</v>
      </c>
      <c r="T111" s="30"/>
      <c r="U111" s="26"/>
      <c r="V111" s="31">
        <f t="shared" si="53"/>
        <v>0</v>
      </c>
      <c r="W111" s="26">
        <f t="shared" si="47"/>
        <v>17.299999999999997</v>
      </c>
      <c r="X111" s="36">
        <f t="shared" si="57"/>
        <v>3027.4999999999995</v>
      </c>
      <c r="Y111" s="301">
        <f t="shared" si="56"/>
        <v>4485</v>
      </c>
      <c r="Z111" s="38"/>
      <c r="AA111" s="38"/>
      <c r="AB111" s="38"/>
      <c r="AC111" s="38"/>
      <c r="AD111" s="157">
        <f t="shared" si="48"/>
        <v>0</v>
      </c>
      <c r="AE111" s="29">
        <v>9.75</v>
      </c>
      <c r="AF111" s="29">
        <v>1.5</v>
      </c>
      <c r="AG111" s="40"/>
      <c r="AH111" s="44">
        <v>0.75</v>
      </c>
      <c r="AI111" s="13"/>
      <c r="AJ111" s="304"/>
      <c r="AK111" s="45"/>
      <c r="AL111" s="23"/>
      <c r="AM111" s="138"/>
      <c r="AN111" s="25">
        <f t="shared" ca="1" si="50"/>
        <v>12</v>
      </c>
      <c r="AO111" s="50"/>
      <c r="AP111" s="53">
        <f t="shared" si="37"/>
        <v>960</v>
      </c>
      <c r="AQ111" s="322">
        <v>610</v>
      </c>
      <c r="AR111" s="324">
        <f t="shared" si="61"/>
        <v>220</v>
      </c>
      <c r="AS111" s="375">
        <f t="shared" si="38"/>
        <v>6055</v>
      </c>
      <c r="AT111" s="375">
        <v>6055</v>
      </c>
      <c r="AU111" s="344">
        <f t="shared" si="39"/>
        <v>6.4409578860445918E-2</v>
      </c>
      <c r="AV111" s="18">
        <f>IF(F111="","",(SUM($AS$6:AS111)))</f>
        <v>643893.06999999983</v>
      </c>
      <c r="AW111" s="18">
        <f>IF(AS111&lt;&gt;"", SUMIFS($AS$10:AS111, $BG$10:BG111, BG111), "")</f>
        <v>51565.86</v>
      </c>
      <c r="AX111" s="123">
        <f t="shared" ca="1" si="60"/>
        <v>350.00000000000006</v>
      </c>
      <c r="AY111" s="124" t="str">
        <f t="shared" ca="1" si="40"/>
        <v>LINK</v>
      </c>
      <c r="BA111" s="125" t="s">
        <v>332</v>
      </c>
      <c r="BB111" t="str">
        <f t="shared" si="41"/>
        <v>25</v>
      </c>
      <c r="BC111" t="str">
        <f t="shared" si="42"/>
        <v>08</v>
      </c>
      <c r="BD111" t="str">
        <f t="shared" si="43"/>
        <v>04</v>
      </c>
      <c r="BE111" t="str">
        <f t="shared" si="44"/>
        <v>N</v>
      </c>
      <c r="BF111" t="str">
        <f t="shared" si="58"/>
        <v>https://www.coreplan.io/app/ddh1-drilling/speewah-mining-speewah-fluorite-project-wa/plods/1665-2508004N</v>
      </c>
      <c r="BG111" t="str">
        <f t="shared" si="45"/>
        <v>2025-08</v>
      </c>
    </row>
    <row r="112" spans="1:59">
      <c r="A112" s="510" t="str">
        <f>VLOOKUP(F112,'Tenement Lookup'!A:BH,60,FALSE)</f>
        <v>M 80/269</v>
      </c>
      <c r="B112" t="str">
        <f>VLOOKUP(F112,Purpose!$A$2:$B$334,2,FALSE)</f>
        <v>Met</v>
      </c>
      <c r="C112" s="151" t="s">
        <v>11</v>
      </c>
      <c r="D112" s="1">
        <f t="shared" ref="D112:D175" si="62">D110+1</f>
        <v>45874.21</v>
      </c>
      <c r="E112" t="s">
        <v>171</v>
      </c>
      <c r="F112" s="501" t="s">
        <v>442</v>
      </c>
      <c r="G112" s="8" t="s">
        <v>444</v>
      </c>
      <c r="H112" s="4" t="s">
        <v>394</v>
      </c>
      <c r="I112" s="4">
        <v>3</v>
      </c>
      <c r="J112" s="122">
        <f t="shared" si="59"/>
        <v>390</v>
      </c>
      <c r="K112" s="21">
        <v>104.1</v>
      </c>
      <c r="L112" s="28">
        <v>110.2</v>
      </c>
      <c r="M112" s="22">
        <f t="shared" si="46"/>
        <v>6.1000000000000085</v>
      </c>
      <c r="N112" s="30">
        <v>0</v>
      </c>
      <c r="O112" s="26">
        <v>3.9</v>
      </c>
      <c r="P112" s="31">
        <f t="shared" si="52"/>
        <v>3.9</v>
      </c>
      <c r="Q112" s="21"/>
      <c r="R112" s="28"/>
      <c r="S112" s="22">
        <f t="shared" si="55"/>
        <v>0</v>
      </c>
      <c r="T112" s="30"/>
      <c r="U112" s="26"/>
      <c r="V112" s="31">
        <f t="shared" si="53"/>
        <v>0</v>
      </c>
      <c r="W112" s="26">
        <f t="shared" si="47"/>
        <v>10.000000000000009</v>
      </c>
      <c r="X112" s="36">
        <f t="shared" si="57"/>
        <v>1594.0000000000016</v>
      </c>
      <c r="Y112" s="301">
        <f t="shared" si="56"/>
        <v>2415</v>
      </c>
      <c r="Z112" s="38">
        <v>1</v>
      </c>
      <c r="AA112" s="38">
        <v>1</v>
      </c>
      <c r="AB112" s="38">
        <v>1</v>
      </c>
      <c r="AC112" s="38">
        <v>13122</v>
      </c>
      <c r="AD112" s="157">
        <f t="shared" si="48"/>
        <v>750</v>
      </c>
      <c r="AE112" s="29">
        <v>5.25</v>
      </c>
      <c r="AF112" s="29">
        <v>6</v>
      </c>
      <c r="AG112" s="40"/>
      <c r="AH112" s="44">
        <v>0.75</v>
      </c>
      <c r="AI112" s="13"/>
      <c r="AJ112" s="304"/>
      <c r="AK112" s="45"/>
      <c r="AL112" s="23"/>
      <c r="AM112" s="138"/>
      <c r="AN112" s="25">
        <f t="shared" ca="1" si="50"/>
        <v>12</v>
      </c>
      <c r="AO112" s="50"/>
      <c r="AP112" s="53">
        <f t="shared" si="37"/>
        <v>3030</v>
      </c>
      <c r="AQ112" s="322">
        <v>528.70000000000005</v>
      </c>
      <c r="AR112" s="324">
        <f>AQ112-J112</f>
        <v>138.70000000000005</v>
      </c>
      <c r="AS112" s="375">
        <f t="shared" si="38"/>
        <v>6723.7</v>
      </c>
      <c r="AT112" s="375">
        <v>6723.7</v>
      </c>
      <c r="AU112" s="344">
        <f t="shared" si="39"/>
        <v>5.800377768193108E-2</v>
      </c>
      <c r="AV112" s="18">
        <f>IF(F112="","",(SUM($AS$6:AS112)))</f>
        <v>650616.76999999979</v>
      </c>
      <c r="AW112" s="18">
        <f>IF(AS112&lt;&gt;"", SUMIFS($AS$10:AS112, $BG$10:BG112, BG112), "")</f>
        <v>58289.56</v>
      </c>
      <c r="AX112" s="123">
        <f t="shared" ca="1" si="60"/>
        <v>672.36999999999944</v>
      </c>
      <c r="AY112" s="124" t="str">
        <f t="shared" ca="1" si="40"/>
        <v>LINK</v>
      </c>
      <c r="BA112" s="125" t="s">
        <v>332</v>
      </c>
      <c r="BB112" t="str">
        <f t="shared" si="41"/>
        <v>25</v>
      </c>
      <c r="BC112" t="str">
        <f t="shared" si="42"/>
        <v>08</v>
      </c>
      <c r="BD112" t="str">
        <f t="shared" si="43"/>
        <v>05</v>
      </c>
      <c r="BE112" t="str">
        <f t="shared" si="44"/>
        <v>D</v>
      </c>
      <c r="BF112" t="str">
        <f t="shared" si="58"/>
        <v>https://www.coreplan.io/app/ddh1-drilling/speewah-mining-speewah-fluorite-project-wa/plods/1665-2508005D</v>
      </c>
      <c r="BG112" t="str">
        <f t="shared" si="45"/>
        <v>2025-08</v>
      </c>
    </row>
    <row r="113" spans="1:59">
      <c r="A113" s="510" t="str">
        <f>VLOOKUP(F113,'Tenement Lookup'!A:BH,60,FALSE)</f>
        <v>M 80/269</v>
      </c>
      <c r="B113" t="str">
        <f>VLOOKUP(F113,Purpose!$A$2:$B$334,2,FALSE)</f>
        <v>Geotech</v>
      </c>
      <c r="C113" s="151" t="s">
        <v>9</v>
      </c>
      <c r="D113" s="1">
        <f t="shared" si="62"/>
        <v>45874.71</v>
      </c>
      <c r="E113" t="s">
        <v>172</v>
      </c>
      <c r="F113" s="501" t="s">
        <v>444</v>
      </c>
      <c r="H113" s="4" t="s">
        <v>407</v>
      </c>
      <c r="I113" s="4">
        <v>3</v>
      </c>
      <c r="J113" s="122">
        <f t="shared" si="59"/>
        <v>390</v>
      </c>
      <c r="K113" s="21"/>
      <c r="L113" s="28"/>
      <c r="M113" s="22">
        <f>IF(ISBLANK(K113),0,L113-K113)</f>
        <v>0</v>
      </c>
      <c r="N113" s="30">
        <v>3.9</v>
      </c>
      <c r="O113" s="26">
        <v>18.2</v>
      </c>
      <c r="P113" s="31">
        <f t="shared" si="52"/>
        <v>14.299999999999999</v>
      </c>
      <c r="Q113" s="21"/>
      <c r="R113" s="28"/>
      <c r="S113" s="22">
        <f t="shared" si="55"/>
        <v>0</v>
      </c>
      <c r="T113" s="30"/>
      <c r="U113" s="26"/>
      <c r="V113" s="31">
        <f t="shared" si="53"/>
        <v>0</v>
      </c>
      <c r="W113" s="26">
        <f t="shared" si="47"/>
        <v>14.299999999999999</v>
      </c>
      <c r="X113" s="36">
        <f t="shared" si="57"/>
        <v>1930.4999999999998</v>
      </c>
      <c r="Y113" s="301">
        <f t="shared" si="56"/>
        <v>4140</v>
      </c>
      <c r="Z113" s="38"/>
      <c r="AA113" s="38"/>
      <c r="AB113" s="38"/>
      <c r="AC113" s="38"/>
      <c r="AD113" s="157">
        <f t="shared" si="48"/>
        <v>0</v>
      </c>
      <c r="AE113" s="29">
        <v>9</v>
      </c>
      <c r="AF113" s="29">
        <v>2.25</v>
      </c>
      <c r="AG113" s="40"/>
      <c r="AH113" s="44">
        <v>0.75</v>
      </c>
      <c r="AI113" s="13"/>
      <c r="AJ113" s="304"/>
      <c r="AK113" s="45"/>
      <c r="AL113" s="23"/>
      <c r="AM113" s="138"/>
      <c r="AN113" s="25">
        <f t="shared" ca="1" si="50"/>
        <v>12</v>
      </c>
      <c r="AO113" s="50"/>
      <c r="AP113" s="53">
        <f t="shared" si="37"/>
        <v>1305</v>
      </c>
      <c r="AQ113" s="322">
        <v>390</v>
      </c>
      <c r="AR113" s="324">
        <f t="shared" ref="AR113:AR174" si="63">AQ113-J113</f>
        <v>0</v>
      </c>
      <c r="AS113" s="375">
        <f t="shared" si="38"/>
        <v>5835</v>
      </c>
      <c r="AT113" s="375">
        <v>5835</v>
      </c>
      <c r="AU113" s="344">
        <f t="shared" si="39"/>
        <v>6.6838046272493568E-2</v>
      </c>
      <c r="AV113" s="18">
        <f>IF(F113="","",(SUM($AS$6:AS113)))</f>
        <v>656451.76999999979</v>
      </c>
      <c r="AW113" s="18">
        <f>IF(AS113&lt;&gt;"", SUMIFS($AS$10:AS113, $BG$10:BG113, BG113), "")</f>
        <v>64124.56</v>
      </c>
      <c r="AX113" s="123">
        <f t="shared" ca="1" si="60"/>
        <v>408.04195804195808</v>
      </c>
      <c r="AY113" s="124" t="str">
        <f t="shared" ca="1" si="40"/>
        <v>LINK</v>
      </c>
      <c r="BA113" s="125" t="s">
        <v>332</v>
      </c>
      <c r="BB113" t="str">
        <f t="shared" si="41"/>
        <v>25</v>
      </c>
      <c r="BC113" t="str">
        <f t="shared" si="42"/>
        <v>08</v>
      </c>
      <c r="BD113" t="str">
        <f t="shared" si="43"/>
        <v>05</v>
      </c>
      <c r="BE113" t="str">
        <f t="shared" si="44"/>
        <v>N</v>
      </c>
      <c r="BF113" t="str">
        <f t="shared" si="58"/>
        <v>https://www.coreplan.io/app/ddh1-drilling/speewah-mining-speewah-fluorite-project-wa/plods/1665-2508005N</v>
      </c>
      <c r="BG113" t="str">
        <f t="shared" si="45"/>
        <v>2025-08</v>
      </c>
    </row>
    <row r="114" spans="1:59">
      <c r="A114" s="510" t="str">
        <f>VLOOKUP(F114,'Tenement Lookup'!A:BH,60,FALSE)</f>
        <v>M 80/269</v>
      </c>
      <c r="B114" t="str">
        <f>VLOOKUP(F114,Purpose!$A$2:$B$334,2,FALSE)</f>
        <v>Geotech</v>
      </c>
      <c r="C114" s="151" t="s">
        <v>9</v>
      </c>
      <c r="D114" s="1">
        <f t="shared" si="62"/>
        <v>45875.21</v>
      </c>
      <c r="E114" t="s">
        <v>171</v>
      </c>
      <c r="F114" s="501" t="s">
        <v>444</v>
      </c>
      <c r="H114" s="4" t="s">
        <v>394</v>
      </c>
      <c r="I114" s="4">
        <v>3</v>
      </c>
      <c r="J114" s="122">
        <f t="shared" si="59"/>
        <v>390</v>
      </c>
      <c r="K114" s="21"/>
      <c r="L114" s="28"/>
      <c r="M114" s="22">
        <f t="shared" ref="M114:M177" si="64">IF(ISBLANK(K114),0,L114-K114)</f>
        <v>0</v>
      </c>
      <c r="N114" s="30">
        <v>18.2</v>
      </c>
      <c r="O114" s="26">
        <v>48.9</v>
      </c>
      <c r="P114" s="31">
        <f t="shared" si="52"/>
        <v>30.7</v>
      </c>
      <c r="Q114" s="21"/>
      <c r="R114" s="28"/>
      <c r="S114" s="22">
        <f t="shared" si="55"/>
        <v>0</v>
      </c>
      <c r="T114" s="30"/>
      <c r="U114" s="26"/>
      <c r="V114" s="31">
        <f t="shared" si="53"/>
        <v>0</v>
      </c>
      <c r="W114" s="26">
        <f t="shared" si="47"/>
        <v>30.7</v>
      </c>
      <c r="X114" s="36">
        <f t="shared" si="57"/>
        <v>4144.5</v>
      </c>
      <c r="Y114" s="301">
        <f t="shared" si="56"/>
        <v>4715</v>
      </c>
      <c r="Z114" s="38">
        <v>1</v>
      </c>
      <c r="AA114" s="38">
        <v>1</v>
      </c>
      <c r="AB114" s="38">
        <v>1</v>
      </c>
      <c r="AC114" s="38">
        <v>13122</v>
      </c>
      <c r="AD114" s="157">
        <f t="shared" si="48"/>
        <v>750</v>
      </c>
      <c r="AE114" s="29">
        <v>10.25</v>
      </c>
      <c r="AF114" s="29">
        <v>1</v>
      </c>
      <c r="AG114" s="40"/>
      <c r="AH114" s="44">
        <v>0.75</v>
      </c>
      <c r="AI114" s="13"/>
      <c r="AJ114" s="304"/>
      <c r="AK114" s="45"/>
      <c r="AL114" s="23"/>
      <c r="AM114" s="138"/>
      <c r="AN114" s="25">
        <f t="shared" ca="1" si="50"/>
        <v>12</v>
      </c>
      <c r="AO114" s="50"/>
      <c r="AP114" s="53">
        <f t="shared" si="37"/>
        <v>730</v>
      </c>
      <c r="AQ114" s="322">
        <v>528.70000000000005</v>
      </c>
      <c r="AR114" s="324">
        <f t="shared" si="63"/>
        <v>138.70000000000005</v>
      </c>
      <c r="AS114" s="375">
        <f t="shared" si="38"/>
        <v>6723.7</v>
      </c>
      <c r="AT114" s="375">
        <v>6723.7</v>
      </c>
      <c r="AU114" s="344">
        <f t="shared" si="39"/>
        <v>5.800377768193108E-2</v>
      </c>
      <c r="AV114" s="18">
        <f>IF(F114="","",(SUM($AS$6:AS114)))</f>
        <v>663175.46999999974</v>
      </c>
      <c r="AW114" s="18">
        <f>IF(AS114&lt;&gt;"", SUMIFS($AS$10:AS114, $BG$10:BG114, BG114), "")</f>
        <v>70848.259999999995</v>
      </c>
      <c r="AX114" s="123">
        <f t="shared" ca="1" si="60"/>
        <v>219.01302931596092</v>
      </c>
      <c r="AY114" s="124" t="str">
        <f t="shared" ca="1" si="40"/>
        <v>LINK</v>
      </c>
      <c r="AZ114" s="141" t="s">
        <v>445</v>
      </c>
      <c r="BA114" s="125" t="s">
        <v>332</v>
      </c>
      <c r="BB114" t="str">
        <f t="shared" si="41"/>
        <v>25</v>
      </c>
      <c r="BC114" t="str">
        <f t="shared" si="42"/>
        <v>08</v>
      </c>
      <c r="BD114" t="str">
        <f t="shared" si="43"/>
        <v>06</v>
      </c>
      <c r="BE114" t="str">
        <f t="shared" si="44"/>
        <v>D</v>
      </c>
      <c r="BF114" t="str">
        <f t="shared" si="58"/>
        <v>https://www.coreplan.io/app/ddh1-drilling/speewah-mining-speewah-fluorite-project-wa/plods/1665-2508006D</v>
      </c>
      <c r="BG114" t="str">
        <f t="shared" si="45"/>
        <v>2025-08</v>
      </c>
    </row>
    <row r="115" spans="1:59">
      <c r="A115" s="510" t="str">
        <f>VLOOKUP(F115,'Tenement Lookup'!A:BH,60,FALSE)</f>
        <v>M 80/269</v>
      </c>
      <c r="B115" t="str">
        <f>VLOOKUP(F115,Purpose!$A$2:$B$334,2,FALSE)</f>
        <v>Geotech</v>
      </c>
      <c r="C115" s="151" t="s">
        <v>9</v>
      </c>
      <c r="D115" s="1">
        <f t="shared" si="62"/>
        <v>45875.71</v>
      </c>
      <c r="E115" t="s">
        <v>172</v>
      </c>
      <c r="F115" s="501" t="s">
        <v>444</v>
      </c>
      <c r="H115" s="4" t="s">
        <v>407</v>
      </c>
      <c r="I115" s="4">
        <v>3</v>
      </c>
      <c r="J115" s="122">
        <f t="shared" si="59"/>
        <v>390</v>
      </c>
      <c r="K115" s="21"/>
      <c r="L115" s="28"/>
      <c r="M115" s="22">
        <f t="shared" si="64"/>
        <v>0</v>
      </c>
      <c r="N115" s="30">
        <v>48.9</v>
      </c>
      <c r="O115" s="26">
        <v>81.900000000000006</v>
      </c>
      <c r="P115" s="31">
        <f t="shared" si="52"/>
        <v>33.000000000000007</v>
      </c>
      <c r="Q115" s="21"/>
      <c r="R115" s="28"/>
      <c r="S115" s="22">
        <f t="shared" si="55"/>
        <v>0</v>
      </c>
      <c r="T115" s="30"/>
      <c r="U115" s="26"/>
      <c r="V115" s="31">
        <f t="shared" si="53"/>
        <v>0</v>
      </c>
      <c r="W115" s="26">
        <f t="shared" si="47"/>
        <v>33.000000000000007</v>
      </c>
      <c r="X115" s="36">
        <f t="shared" si="57"/>
        <v>4455.0000000000009</v>
      </c>
      <c r="Y115" s="301">
        <f t="shared" si="56"/>
        <v>4945</v>
      </c>
      <c r="Z115" s="38"/>
      <c r="AA115" s="38"/>
      <c r="AB115" s="38"/>
      <c r="AC115" s="38"/>
      <c r="AD115" s="157">
        <f t="shared" si="48"/>
        <v>0</v>
      </c>
      <c r="AE115" s="29">
        <v>10.75</v>
      </c>
      <c r="AF115" s="29">
        <v>0.5</v>
      </c>
      <c r="AG115" s="40"/>
      <c r="AH115" s="44">
        <v>0.75</v>
      </c>
      <c r="AI115" s="13"/>
      <c r="AJ115" s="304"/>
      <c r="AK115" s="45"/>
      <c r="AL115" s="23"/>
      <c r="AM115" s="138"/>
      <c r="AN115" s="25">
        <f t="shared" ca="1" si="50"/>
        <v>12</v>
      </c>
      <c r="AO115" s="50"/>
      <c r="AP115" s="53">
        <f t="shared" si="37"/>
        <v>500</v>
      </c>
      <c r="AQ115" s="322">
        <v>390</v>
      </c>
      <c r="AR115" s="324">
        <f t="shared" si="63"/>
        <v>0</v>
      </c>
      <c r="AS115" s="375">
        <f t="shared" si="38"/>
        <v>5835</v>
      </c>
      <c r="AT115" s="375">
        <v>5835</v>
      </c>
      <c r="AU115" s="344">
        <f t="shared" si="39"/>
        <v>6.6838046272493568E-2</v>
      </c>
      <c r="AV115" s="18">
        <f>IF(F115="","",(SUM($AS$6:AS115)))</f>
        <v>669010.46999999974</v>
      </c>
      <c r="AW115" s="18">
        <f>IF(AS115&lt;&gt;"", SUMIFS($AS$10:AS115, $BG$10:BG115, BG115), "")</f>
        <v>76683.259999999995</v>
      </c>
      <c r="AX115" s="123">
        <f t="shared" ca="1" si="60"/>
        <v>176.81818181818178</v>
      </c>
      <c r="AY115" s="124" t="str">
        <f t="shared" ca="1" si="40"/>
        <v>LINK</v>
      </c>
      <c r="BA115" s="125" t="s">
        <v>332</v>
      </c>
      <c r="BB115" t="str">
        <f t="shared" si="41"/>
        <v>25</v>
      </c>
      <c r="BC115" t="str">
        <f t="shared" si="42"/>
        <v>08</v>
      </c>
      <c r="BD115" t="str">
        <f t="shared" si="43"/>
        <v>06</v>
      </c>
      <c r="BE115" t="str">
        <f t="shared" si="44"/>
        <v>N</v>
      </c>
      <c r="BF115" t="str">
        <f t="shared" si="58"/>
        <v>https://www.coreplan.io/app/ddh1-drilling/speewah-mining-speewah-fluorite-project-wa/plods/1665-2508006N</v>
      </c>
      <c r="BG115" t="str">
        <f t="shared" si="45"/>
        <v>2025-08</v>
      </c>
    </row>
    <row r="116" spans="1:59">
      <c r="A116" s="510" t="str">
        <f>VLOOKUP(F116,'Tenement Lookup'!A:BH,60,FALSE)</f>
        <v>M 80/269</v>
      </c>
      <c r="B116" t="str">
        <f>VLOOKUP(F116,Purpose!$A$2:$B$334,2,FALSE)</f>
        <v>Geotech</v>
      </c>
      <c r="C116" s="151" t="s">
        <v>9</v>
      </c>
      <c r="D116" s="1">
        <f t="shared" si="62"/>
        <v>45876.21</v>
      </c>
      <c r="E116" t="s">
        <v>171</v>
      </c>
      <c r="F116" s="501" t="s">
        <v>444</v>
      </c>
      <c r="H116" s="4" t="s">
        <v>394</v>
      </c>
      <c r="I116" s="4">
        <v>3</v>
      </c>
      <c r="J116" s="122">
        <f t="shared" si="59"/>
        <v>390</v>
      </c>
      <c r="K116" s="21"/>
      <c r="L116" s="28"/>
      <c r="M116" s="22">
        <f t="shared" si="64"/>
        <v>0</v>
      </c>
      <c r="N116" s="30">
        <v>81.900000000000006</v>
      </c>
      <c r="O116" s="26">
        <v>99.9</v>
      </c>
      <c r="P116" s="31">
        <f t="shared" si="52"/>
        <v>18</v>
      </c>
      <c r="Q116" s="21"/>
      <c r="R116" s="28"/>
      <c r="S116" s="22">
        <f t="shared" si="55"/>
        <v>0</v>
      </c>
      <c r="T116" s="30"/>
      <c r="U116" s="26"/>
      <c r="V116" s="31">
        <f t="shared" si="53"/>
        <v>0</v>
      </c>
      <c r="W116" s="26">
        <f t="shared" si="47"/>
        <v>18</v>
      </c>
      <c r="X116" s="36">
        <f t="shared" si="57"/>
        <v>2430</v>
      </c>
      <c r="Y116" s="301">
        <f t="shared" si="56"/>
        <v>2430</v>
      </c>
      <c r="Z116" s="38">
        <v>1</v>
      </c>
      <c r="AA116" s="38">
        <v>1</v>
      </c>
      <c r="AB116" s="38">
        <v>1</v>
      </c>
      <c r="AC116" s="38">
        <v>13122</v>
      </c>
      <c r="AD116" s="157">
        <f t="shared" si="48"/>
        <v>750</v>
      </c>
      <c r="AE116" s="29">
        <v>5</v>
      </c>
      <c r="AF116" s="29">
        <v>6.25</v>
      </c>
      <c r="AG116" s="40"/>
      <c r="AH116" s="44">
        <v>0.75</v>
      </c>
      <c r="AI116" s="13"/>
      <c r="AJ116" s="304"/>
      <c r="AK116" s="45"/>
      <c r="AL116" s="23"/>
      <c r="AM116" s="138"/>
      <c r="AN116" s="25">
        <f t="shared" ca="1" si="50"/>
        <v>12</v>
      </c>
      <c r="AO116" s="50"/>
      <c r="AP116" s="53">
        <f t="shared" si="37"/>
        <v>3145</v>
      </c>
      <c r="AQ116" s="322">
        <v>528.70000000000005</v>
      </c>
      <c r="AR116" s="324">
        <f t="shared" si="63"/>
        <v>138.70000000000005</v>
      </c>
      <c r="AS116" s="375">
        <f t="shared" si="38"/>
        <v>6853.7</v>
      </c>
      <c r="AT116" s="375">
        <v>6853.7</v>
      </c>
      <c r="AU116" s="344">
        <f t="shared" si="39"/>
        <v>5.6903570334272E-2</v>
      </c>
      <c r="AV116" s="18">
        <f>IF(F116="","",(SUM($AS$6:AS116)))</f>
        <v>675864.16999999969</v>
      </c>
      <c r="AW116" s="18">
        <f>IF(AS116&lt;&gt;"", SUMIFS($AS$10:AS116, $BG$10:BG116, BG116), "")</f>
        <v>83536.959999999992</v>
      </c>
      <c r="AX116" s="123">
        <f t="shared" ca="1" si="60"/>
        <v>380.76111111111112</v>
      </c>
      <c r="AY116" s="124" t="str">
        <f t="shared" ca="1" si="40"/>
        <v>LINK</v>
      </c>
      <c r="BA116" s="125" t="s">
        <v>332</v>
      </c>
      <c r="BB116" t="str">
        <f t="shared" si="41"/>
        <v>25</v>
      </c>
      <c r="BC116" t="str">
        <f t="shared" si="42"/>
        <v>08</v>
      </c>
      <c r="BD116" t="str">
        <f t="shared" si="43"/>
        <v>07</v>
      </c>
      <c r="BE116" t="str">
        <f t="shared" si="44"/>
        <v>D</v>
      </c>
      <c r="BF116" t="str">
        <f t="shared" si="58"/>
        <v>https://www.coreplan.io/app/ddh1-drilling/speewah-mining-speewah-fluorite-project-wa/plods/1665-2508007D</v>
      </c>
      <c r="BG116" t="str">
        <f t="shared" si="45"/>
        <v>2025-08</v>
      </c>
    </row>
    <row r="117" spans="1:59">
      <c r="A117" s="510" t="str">
        <f>VLOOKUP(F117,'Tenement Lookup'!A:BH,60,FALSE)</f>
        <v>M 80/268</v>
      </c>
      <c r="B117" t="str">
        <f>VLOOKUP(F117,Purpose!$A$2:$B$334,2,FALSE)</f>
        <v>A Vein DD</v>
      </c>
      <c r="C117" s="151" t="s">
        <v>8</v>
      </c>
      <c r="D117" s="1">
        <f t="shared" si="62"/>
        <v>45876.71</v>
      </c>
      <c r="E117" t="s">
        <v>172</v>
      </c>
      <c r="F117" s="501" t="s">
        <v>446</v>
      </c>
      <c r="H117" s="4" t="s">
        <v>407</v>
      </c>
      <c r="I117" s="4">
        <v>3</v>
      </c>
      <c r="J117" s="122">
        <f t="shared" si="59"/>
        <v>390</v>
      </c>
      <c r="K117" s="21"/>
      <c r="L117" s="28"/>
      <c r="M117" s="22">
        <f t="shared" si="64"/>
        <v>0</v>
      </c>
      <c r="N117" s="30">
        <v>0</v>
      </c>
      <c r="O117" s="26">
        <v>10.7</v>
      </c>
      <c r="P117" s="31">
        <f t="shared" si="52"/>
        <v>10.7</v>
      </c>
      <c r="Q117" s="21"/>
      <c r="R117" s="28"/>
      <c r="S117" s="22">
        <f t="shared" si="55"/>
        <v>0</v>
      </c>
      <c r="T117" s="30"/>
      <c r="U117" s="26"/>
      <c r="V117" s="31">
        <f t="shared" si="53"/>
        <v>0</v>
      </c>
      <c r="W117" s="26">
        <f t="shared" si="47"/>
        <v>10.7</v>
      </c>
      <c r="X117" s="36">
        <f t="shared" si="57"/>
        <v>1444.5</v>
      </c>
      <c r="Y117" s="301">
        <f t="shared" si="56"/>
        <v>1444.5</v>
      </c>
      <c r="Z117" s="38"/>
      <c r="AA117" s="38"/>
      <c r="AB117" s="38"/>
      <c r="AC117" s="38"/>
      <c r="AD117" s="157">
        <f t="shared" si="48"/>
        <v>0</v>
      </c>
      <c r="AE117" s="29">
        <v>3</v>
      </c>
      <c r="AF117" s="29">
        <v>8.25</v>
      </c>
      <c r="AG117" s="40"/>
      <c r="AH117" s="44">
        <v>0.75</v>
      </c>
      <c r="AI117" s="13"/>
      <c r="AJ117" s="304"/>
      <c r="AK117" s="45"/>
      <c r="AL117" s="23"/>
      <c r="AM117" s="138"/>
      <c r="AN117" s="25">
        <f t="shared" ca="1" si="50"/>
        <v>12</v>
      </c>
      <c r="AO117" s="50"/>
      <c r="AP117" s="53">
        <f t="shared" si="37"/>
        <v>4065</v>
      </c>
      <c r="AQ117" s="322">
        <v>390</v>
      </c>
      <c r="AR117" s="324">
        <f t="shared" si="63"/>
        <v>0</v>
      </c>
      <c r="AS117" s="375">
        <f t="shared" si="38"/>
        <v>5899.5</v>
      </c>
      <c r="AT117" s="375">
        <v>5899.5</v>
      </c>
      <c r="AU117" s="344">
        <f t="shared" si="39"/>
        <v>6.6107297228578693E-2</v>
      </c>
      <c r="AV117" s="18">
        <f>IF(F117="","",(SUM($AS$6:AS117)))</f>
        <v>681763.66999999969</v>
      </c>
      <c r="AW117" s="18">
        <f>IF(AS117&lt;&gt;"", SUMIFS($AS$10:AS117, $BG$10:BG117, BG117), "")</f>
        <v>89436.459999999992</v>
      </c>
      <c r="AX117" s="123">
        <f t="shared" ca="1" si="60"/>
        <v>551.35514018691595</v>
      </c>
      <c r="AY117" s="124" t="str">
        <f t="shared" ca="1" si="40"/>
        <v>LINK</v>
      </c>
      <c r="AZ117" s="141" t="s">
        <v>447</v>
      </c>
      <c r="BA117" s="125" t="s">
        <v>332</v>
      </c>
      <c r="BB117" t="str">
        <f t="shared" si="41"/>
        <v>25</v>
      </c>
      <c r="BC117" t="str">
        <f t="shared" si="42"/>
        <v>08</v>
      </c>
      <c r="BD117" t="str">
        <f t="shared" si="43"/>
        <v>07</v>
      </c>
      <c r="BE117" t="str">
        <f t="shared" si="44"/>
        <v>N</v>
      </c>
      <c r="BF117" t="str">
        <f t="shared" si="58"/>
        <v>https://www.coreplan.io/app/ddh1-drilling/speewah-mining-speewah-fluorite-project-wa/plods/1665-2508007N</v>
      </c>
      <c r="BG117" t="str">
        <f t="shared" si="45"/>
        <v>2025-08</v>
      </c>
    </row>
    <row r="118" spans="1:59">
      <c r="A118" s="510" t="str">
        <f>VLOOKUP(F118,'Tenement Lookup'!A:BH,60,FALSE)</f>
        <v>M 80/268</v>
      </c>
      <c r="B118" t="str">
        <f>VLOOKUP(F118,Purpose!$A$2:$B$334,2,FALSE)</f>
        <v>A Vein DD</v>
      </c>
      <c r="C118" s="151" t="s">
        <v>8</v>
      </c>
      <c r="D118" s="1">
        <f t="shared" si="62"/>
        <v>45877.21</v>
      </c>
      <c r="E118" t="s">
        <v>171</v>
      </c>
      <c r="F118" s="501" t="s">
        <v>446</v>
      </c>
      <c r="H118" s="4" t="s">
        <v>394</v>
      </c>
      <c r="I118" s="4">
        <v>3</v>
      </c>
      <c r="J118" s="122">
        <f t="shared" si="59"/>
        <v>390</v>
      </c>
      <c r="K118" s="21"/>
      <c r="L118" s="28"/>
      <c r="M118" s="22">
        <f t="shared" si="64"/>
        <v>0</v>
      </c>
      <c r="N118" s="30">
        <v>10.7</v>
      </c>
      <c r="O118" s="26">
        <v>45.5</v>
      </c>
      <c r="P118" s="31">
        <f t="shared" si="52"/>
        <v>34.799999999999997</v>
      </c>
      <c r="Q118" s="21"/>
      <c r="R118" s="28"/>
      <c r="S118" s="22">
        <f t="shared" si="55"/>
        <v>0</v>
      </c>
      <c r="T118" s="30"/>
      <c r="U118" s="26"/>
      <c r="V118" s="31">
        <f t="shared" si="53"/>
        <v>0</v>
      </c>
      <c r="W118" s="26">
        <f t="shared" si="47"/>
        <v>34.799999999999997</v>
      </c>
      <c r="X118" s="36">
        <f t="shared" si="57"/>
        <v>4698</v>
      </c>
      <c r="Y118" s="301">
        <f t="shared" si="56"/>
        <v>4698</v>
      </c>
      <c r="Z118" s="38">
        <v>1</v>
      </c>
      <c r="AA118" s="38">
        <v>1</v>
      </c>
      <c r="AB118" s="38">
        <v>1</v>
      </c>
      <c r="AC118" s="38">
        <v>13122</v>
      </c>
      <c r="AD118" s="157">
        <f t="shared" si="48"/>
        <v>750</v>
      </c>
      <c r="AE118" s="29">
        <v>8.25</v>
      </c>
      <c r="AF118" s="29">
        <v>3</v>
      </c>
      <c r="AG118" s="40"/>
      <c r="AH118" s="44">
        <v>0.75</v>
      </c>
      <c r="AI118" s="13"/>
      <c r="AJ118" s="304"/>
      <c r="AK118" s="45"/>
      <c r="AL118" s="23"/>
      <c r="AM118" s="138"/>
      <c r="AN118" s="25">
        <f t="shared" ca="1" si="50"/>
        <v>12</v>
      </c>
      <c r="AO118" s="50"/>
      <c r="AP118" s="53">
        <f t="shared" si="37"/>
        <v>1650</v>
      </c>
      <c r="AQ118" s="322">
        <v>664.75</v>
      </c>
      <c r="AR118" s="324">
        <f t="shared" si="63"/>
        <v>274.75</v>
      </c>
      <c r="AS118" s="375">
        <f t="shared" si="38"/>
        <v>7762.75</v>
      </c>
      <c r="AT118" s="375">
        <v>7762.75</v>
      </c>
      <c r="AU118" s="344">
        <f t="shared" si="39"/>
        <v>5.0239927860616408E-2</v>
      </c>
      <c r="AV118" s="18">
        <f>IF(F118="","",(SUM($AS$6:AS118)))</f>
        <v>689526.41999999969</v>
      </c>
      <c r="AW118" s="18">
        <f>IF(AS118&lt;&gt;"", SUMIFS($AS$10:AS118, $BG$10:BG118, BG118), "")</f>
        <v>97199.209999999992</v>
      </c>
      <c r="AX118" s="123">
        <f t="shared" ca="1" si="60"/>
        <v>223.06752873563221</v>
      </c>
      <c r="AY118" s="124" t="str">
        <f t="shared" ca="1" si="40"/>
        <v>LINK</v>
      </c>
      <c r="BA118" s="125" t="s">
        <v>332</v>
      </c>
      <c r="BB118" t="str">
        <f t="shared" si="41"/>
        <v>25</v>
      </c>
      <c r="BC118" t="str">
        <f t="shared" si="42"/>
        <v>08</v>
      </c>
      <c r="BD118" t="str">
        <f t="shared" si="43"/>
        <v>08</v>
      </c>
      <c r="BE118" t="str">
        <f t="shared" si="44"/>
        <v>D</v>
      </c>
      <c r="BF118" t="str">
        <f t="shared" si="58"/>
        <v>https://www.coreplan.io/app/ddh1-drilling/speewah-mining-speewah-fluorite-project-wa/plods/1665-2508008D</v>
      </c>
      <c r="BG118" t="str">
        <f t="shared" si="45"/>
        <v>2025-08</v>
      </c>
    </row>
    <row r="119" spans="1:59">
      <c r="A119" s="510" t="str">
        <f>VLOOKUP(F119,'Tenement Lookup'!A:BH,60,FALSE)</f>
        <v>M 80/268</v>
      </c>
      <c r="B119" t="str">
        <f>VLOOKUP(F119,Purpose!$A$2:$B$334,2,FALSE)</f>
        <v>A Vein DD</v>
      </c>
      <c r="C119" s="151" t="s">
        <v>8</v>
      </c>
      <c r="D119" s="1">
        <f t="shared" si="62"/>
        <v>45877.71</v>
      </c>
      <c r="E119" t="s">
        <v>172</v>
      </c>
      <c r="F119" s="501" t="s">
        <v>446</v>
      </c>
      <c r="H119" s="4" t="s">
        <v>407</v>
      </c>
      <c r="I119" s="4">
        <v>3</v>
      </c>
      <c r="J119" s="122">
        <f t="shared" si="59"/>
        <v>390</v>
      </c>
      <c r="K119" s="21"/>
      <c r="L119" s="28"/>
      <c r="M119" s="22">
        <f t="shared" si="64"/>
        <v>0</v>
      </c>
      <c r="N119" s="30">
        <v>45.5</v>
      </c>
      <c r="O119" s="26">
        <v>75.5</v>
      </c>
      <c r="P119" s="31">
        <f t="shared" si="52"/>
        <v>30</v>
      </c>
      <c r="Q119" s="21"/>
      <c r="R119" s="28"/>
      <c r="S119" s="22">
        <f t="shared" si="55"/>
        <v>0</v>
      </c>
      <c r="T119" s="30"/>
      <c r="U119" s="26"/>
      <c r="V119" s="31">
        <f t="shared" si="53"/>
        <v>0</v>
      </c>
      <c r="W119" s="26">
        <f t="shared" si="47"/>
        <v>30</v>
      </c>
      <c r="X119" s="36">
        <f t="shared" si="57"/>
        <v>4050</v>
      </c>
      <c r="Y119" s="301">
        <f t="shared" si="56"/>
        <v>4945</v>
      </c>
      <c r="Z119" s="38"/>
      <c r="AA119" s="38"/>
      <c r="AB119" s="38"/>
      <c r="AC119" s="38"/>
      <c r="AD119" s="157">
        <f t="shared" si="48"/>
        <v>0</v>
      </c>
      <c r="AE119" s="29">
        <v>10.75</v>
      </c>
      <c r="AF119" s="29">
        <v>0.5</v>
      </c>
      <c r="AG119" s="40"/>
      <c r="AH119" s="44">
        <v>0.75</v>
      </c>
      <c r="AI119" s="13"/>
      <c r="AJ119" s="304"/>
      <c r="AK119" s="45"/>
      <c r="AL119" s="23"/>
      <c r="AM119" s="138"/>
      <c r="AN119" s="25">
        <f t="shared" ca="1" si="50"/>
        <v>12</v>
      </c>
      <c r="AO119" s="50"/>
      <c r="AP119" s="53">
        <f t="shared" si="37"/>
        <v>500</v>
      </c>
      <c r="AQ119" s="322">
        <v>390</v>
      </c>
      <c r="AR119" s="324">
        <f t="shared" si="63"/>
        <v>0</v>
      </c>
      <c r="AS119" s="375">
        <f t="shared" si="38"/>
        <v>5835</v>
      </c>
      <c r="AT119" s="375">
        <v>5835</v>
      </c>
      <c r="AU119" s="344">
        <f t="shared" si="39"/>
        <v>6.6838046272493568E-2</v>
      </c>
      <c r="AV119" s="18">
        <f>IF(F119="","",(SUM($AS$6:AS119)))</f>
        <v>695361.41999999969</v>
      </c>
      <c r="AW119" s="18">
        <f>IF(AS119&lt;&gt;"", SUMIFS($AS$10:AS119, $BG$10:BG119, BG119), "")</f>
        <v>103034.20999999999</v>
      </c>
      <c r="AX119" s="123">
        <f t="shared" ca="1" si="60"/>
        <v>194.5</v>
      </c>
      <c r="AY119" s="124" t="str">
        <f t="shared" ca="1" si="40"/>
        <v>LINK</v>
      </c>
      <c r="BA119" s="125" t="s">
        <v>332</v>
      </c>
      <c r="BB119" t="str">
        <f t="shared" si="41"/>
        <v>25</v>
      </c>
      <c r="BC119" t="str">
        <f t="shared" si="42"/>
        <v>08</v>
      </c>
      <c r="BD119" t="str">
        <f t="shared" si="43"/>
        <v>08</v>
      </c>
      <c r="BE119" t="str">
        <f t="shared" si="44"/>
        <v>N</v>
      </c>
      <c r="BF119" t="str">
        <f t="shared" si="58"/>
        <v>https://www.coreplan.io/app/ddh1-drilling/speewah-mining-speewah-fluorite-project-wa/plods/1665-2508008N</v>
      </c>
      <c r="BG119" t="str">
        <f t="shared" si="45"/>
        <v>2025-08</v>
      </c>
    </row>
    <row r="120" spans="1:59">
      <c r="A120" s="510" t="str">
        <f>VLOOKUP(F120,'Tenement Lookup'!A:BH,60,FALSE)</f>
        <v>M 80/268</v>
      </c>
      <c r="B120" t="str">
        <f>VLOOKUP(F120,Purpose!$A$2:$B$334,2,FALSE)</f>
        <v>A Vein DD</v>
      </c>
      <c r="C120" s="151" t="s">
        <v>8</v>
      </c>
      <c r="D120" s="1">
        <f t="shared" si="62"/>
        <v>45878.21</v>
      </c>
      <c r="E120" t="s">
        <v>171</v>
      </c>
      <c r="F120" s="501" t="s">
        <v>446</v>
      </c>
      <c r="G120" s="7" t="s">
        <v>448</v>
      </c>
      <c r="H120" s="4" t="s">
        <v>394</v>
      </c>
      <c r="I120" s="4">
        <v>3</v>
      </c>
      <c r="J120" s="122">
        <f t="shared" si="59"/>
        <v>390</v>
      </c>
      <c r="K120" s="21"/>
      <c r="L120" s="28"/>
      <c r="M120" s="22">
        <f t="shared" si="64"/>
        <v>0</v>
      </c>
      <c r="N120" s="30">
        <v>75.5</v>
      </c>
      <c r="O120" s="26">
        <v>90.5</v>
      </c>
      <c r="P120" s="31">
        <f t="shared" si="52"/>
        <v>15</v>
      </c>
      <c r="Q120" s="21"/>
      <c r="R120" s="28"/>
      <c r="S120" s="22">
        <f t="shared" si="55"/>
        <v>0</v>
      </c>
      <c r="T120" s="30">
        <v>0</v>
      </c>
      <c r="U120" s="26">
        <v>0</v>
      </c>
      <c r="V120" s="31">
        <f t="shared" si="53"/>
        <v>0</v>
      </c>
      <c r="W120" s="26">
        <f t="shared" si="47"/>
        <v>15</v>
      </c>
      <c r="X120" s="36">
        <f t="shared" si="57"/>
        <v>2025</v>
      </c>
      <c r="Y120" s="301">
        <f t="shared" si="56"/>
        <v>2025</v>
      </c>
      <c r="Z120" s="38">
        <v>1</v>
      </c>
      <c r="AA120" s="38">
        <v>1</v>
      </c>
      <c r="AB120" s="38">
        <v>1</v>
      </c>
      <c r="AC120" s="38">
        <v>13122</v>
      </c>
      <c r="AD120" s="157">
        <f t="shared" si="48"/>
        <v>750</v>
      </c>
      <c r="AE120" s="29">
        <v>4.25</v>
      </c>
      <c r="AF120" s="29">
        <v>7</v>
      </c>
      <c r="AG120" s="40"/>
      <c r="AH120" s="44">
        <v>0.75</v>
      </c>
      <c r="AI120" s="13"/>
      <c r="AJ120" s="304"/>
      <c r="AK120" s="45"/>
      <c r="AL120" s="23"/>
      <c r="AM120" s="138"/>
      <c r="AN120" s="25">
        <f t="shared" ca="1" si="50"/>
        <v>12</v>
      </c>
      <c r="AO120" s="50"/>
      <c r="AP120" s="53">
        <f t="shared" si="37"/>
        <v>3490</v>
      </c>
      <c r="AQ120" s="322">
        <v>528.70000000000005</v>
      </c>
      <c r="AR120" s="324">
        <f t="shared" si="63"/>
        <v>138.70000000000005</v>
      </c>
      <c r="AS120" s="375">
        <f t="shared" si="38"/>
        <v>6793.7</v>
      </c>
      <c r="AT120" s="375">
        <v>6793.7</v>
      </c>
      <c r="AU120" s="344">
        <f t="shared" si="39"/>
        <v>5.7406126264038744E-2</v>
      </c>
      <c r="AV120" s="18">
        <f>IF(F120="","",(SUM($AS$6:AS120)))</f>
        <v>702155.11999999965</v>
      </c>
      <c r="AW120" s="18">
        <f>IF(AS120&lt;&gt;"", SUMIFS($AS$10:AS120, $BG$10:BG120, BG120), "")</f>
        <v>109827.90999999999</v>
      </c>
      <c r="AX120" s="123">
        <f t="shared" ca="1" si="60"/>
        <v>452.9133333333333</v>
      </c>
      <c r="AY120" s="124" t="str">
        <f t="shared" ca="1" si="40"/>
        <v>LINK</v>
      </c>
      <c r="AZ120" t="s">
        <v>449</v>
      </c>
      <c r="BA120" s="125" t="s">
        <v>332</v>
      </c>
      <c r="BB120" t="str">
        <f t="shared" si="41"/>
        <v>25</v>
      </c>
      <c r="BC120" t="str">
        <f t="shared" si="42"/>
        <v>08</v>
      </c>
      <c r="BD120" t="str">
        <f t="shared" si="43"/>
        <v>09</v>
      </c>
      <c r="BE120" t="str">
        <f t="shared" si="44"/>
        <v>D</v>
      </c>
      <c r="BF120" t="str">
        <f t="shared" si="58"/>
        <v>https://www.coreplan.io/app/ddh1-drilling/speewah-mining-speewah-fluorite-project-wa/plods/1665-2508009D</v>
      </c>
      <c r="BG120" t="str">
        <f t="shared" si="45"/>
        <v>2025-08</v>
      </c>
    </row>
    <row r="121" spans="1:59">
      <c r="A121" s="510" t="str">
        <f>VLOOKUP(F121,'Tenement Lookup'!A:BH,60,FALSE)</f>
        <v>M 80/268</v>
      </c>
      <c r="B121" t="str">
        <f>VLOOKUP(F121,Purpose!$A$2:$B$334,2,FALSE)</f>
        <v>A Vein DD</v>
      </c>
      <c r="C121" s="151" t="s">
        <v>8</v>
      </c>
      <c r="D121" s="1">
        <f t="shared" si="62"/>
        <v>45878.71</v>
      </c>
      <c r="E121" t="s">
        <v>172</v>
      </c>
      <c r="F121" s="501" t="s">
        <v>448</v>
      </c>
      <c r="H121" s="4" t="s">
        <v>407</v>
      </c>
      <c r="I121" s="4">
        <v>3</v>
      </c>
      <c r="J121" s="122">
        <f t="shared" si="59"/>
        <v>390</v>
      </c>
      <c r="K121" s="21"/>
      <c r="L121" s="28"/>
      <c r="M121" s="22">
        <f t="shared" si="64"/>
        <v>0</v>
      </c>
      <c r="N121" s="30">
        <v>0</v>
      </c>
      <c r="O121" s="26">
        <v>30.7</v>
      </c>
      <c r="P121" s="31">
        <f t="shared" si="52"/>
        <v>30.7</v>
      </c>
      <c r="Q121" s="21"/>
      <c r="R121" s="28"/>
      <c r="S121" s="22">
        <f t="shared" si="55"/>
        <v>0</v>
      </c>
      <c r="T121" s="30"/>
      <c r="U121" s="26"/>
      <c r="V121" s="31">
        <f t="shared" si="53"/>
        <v>0</v>
      </c>
      <c r="W121" s="26">
        <f t="shared" si="47"/>
        <v>30.7</v>
      </c>
      <c r="X121" s="36">
        <f t="shared" si="57"/>
        <v>4144.5</v>
      </c>
      <c r="Y121" s="301">
        <f t="shared" si="56"/>
        <v>4144.5</v>
      </c>
      <c r="Z121" s="38"/>
      <c r="AA121" s="38"/>
      <c r="AB121" s="38"/>
      <c r="AC121" s="38"/>
      <c r="AD121" s="157">
        <f t="shared" si="48"/>
        <v>0</v>
      </c>
      <c r="AE121" s="29">
        <v>9</v>
      </c>
      <c r="AF121" s="29">
        <v>2.25</v>
      </c>
      <c r="AG121" s="40"/>
      <c r="AH121" s="44">
        <v>0.75</v>
      </c>
      <c r="AI121" s="13"/>
      <c r="AJ121" s="304"/>
      <c r="AK121" s="45"/>
      <c r="AL121" s="23"/>
      <c r="AM121" s="138"/>
      <c r="AN121" s="25">
        <f t="shared" ca="1" si="50"/>
        <v>12</v>
      </c>
      <c r="AO121" s="50"/>
      <c r="AP121" s="53">
        <f t="shared" si="37"/>
        <v>1305</v>
      </c>
      <c r="AQ121" s="322">
        <v>390</v>
      </c>
      <c r="AR121" s="324">
        <f t="shared" si="63"/>
        <v>0</v>
      </c>
      <c r="AS121" s="375">
        <f t="shared" si="38"/>
        <v>5839.5</v>
      </c>
      <c r="AT121" s="375">
        <v>5839.5</v>
      </c>
      <c r="AU121" s="344">
        <f t="shared" si="39"/>
        <v>6.6786539943488307E-2</v>
      </c>
      <c r="AV121" s="18">
        <f>IF(F121="","",(SUM($AS$6:AS121)))</f>
        <v>707994.61999999965</v>
      </c>
      <c r="AW121" s="18">
        <f>IF(AS121&lt;&gt;"", SUMIFS($AS$10:AS121, $BG$10:BG121, BG121), "")</f>
        <v>115667.40999999999</v>
      </c>
      <c r="AX121" s="123">
        <f t="shared" ca="1" si="60"/>
        <v>190.21172638436482</v>
      </c>
      <c r="AY121" s="124" t="str">
        <f t="shared" ca="1" si="40"/>
        <v>LINK</v>
      </c>
      <c r="AZ121" t="s">
        <v>450</v>
      </c>
      <c r="BA121" s="125" t="s">
        <v>332</v>
      </c>
      <c r="BB121" t="str">
        <f t="shared" si="41"/>
        <v>25</v>
      </c>
      <c r="BC121" t="str">
        <f t="shared" si="42"/>
        <v>08</v>
      </c>
      <c r="BD121" t="str">
        <f t="shared" si="43"/>
        <v>09</v>
      </c>
      <c r="BE121" t="str">
        <f t="shared" si="44"/>
        <v>N</v>
      </c>
      <c r="BF121" t="str">
        <f t="shared" si="58"/>
        <v>https://www.coreplan.io/app/ddh1-drilling/speewah-mining-speewah-fluorite-project-wa/plods/1665-2508009N</v>
      </c>
      <c r="BG121" t="str">
        <f t="shared" si="45"/>
        <v>2025-08</v>
      </c>
    </row>
    <row r="122" spans="1:59">
      <c r="A122" s="510" t="str">
        <f>VLOOKUP(F122,'Tenement Lookup'!A:BH,60,FALSE)</f>
        <v>M 80/268</v>
      </c>
      <c r="B122" t="str">
        <f>VLOOKUP(F122,Purpose!$A$2:$B$334,2,FALSE)</f>
        <v>A Vein DD</v>
      </c>
      <c r="C122" s="151" t="s">
        <v>8</v>
      </c>
      <c r="D122" s="1">
        <f t="shared" si="62"/>
        <v>45879.21</v>
      </c>
      <c r="E122" t="s">
        <v>171</v>
      </c>
      <c r="F122" s="501" t="s">
        <v>448</v>
      </c>
      <c r="H122" s="4" t="s">
        <v>394</v>
      </c>
      <c r="I122" s="4">
        <v>3</v>
      </c>
      <c r="J122" s="122">
        <f t="shared" si="59"/>
        <v>390</v>
      </c>
      <c r="K122" s="21"/>
      <c r="L122" s="28"/>
      <c r="M122" s="22">
        <f t="shared" si="64"/>
        <v>0</v>
      </c>
      <c r="N122" s="30">
        <v>30.7</v>
      </c>
      <c r="O122" s="26">
        <v>60.7</v>
      </c>
      <c r="P122" s="31">
        <f t="shared" si="52"/>
        <v>30.000000000000004</v>
      </c>
      <c r="Q122" s="21"/>
      <c r="R122" s="28"/>
      <c r="S122" s="22">
        <f t="shared" si="55"/>
        <v>0</v>
      </c>
      <c r="T122" s="30"/>
      <c r="U122" s="26"/>
      <c r="V122" s="31">
        <f t="shared" si="53"/>
        <v>0</v>
      </c>
      <c r="W122" s="26">
        <f t="shared" si="47"/>
        <v>30.000000000000004</v>
      </c>
      <c r="X122" s="36">
        <f t="shared" si="57"/>
        <v>4050.0000000000005</v>
      </c>
      <c r="Y122" s="301">
        <f t="shared" si="56"/>
        <v>4485</v>
      </c>
      <c r="Z122" s="38">
        <v>1</v>
      </c>
      <c r="AA122" s="38">
        <v>1</v>
      </c>
      <c r="AB122" s="38">
        <v>1</v>
      </c>
      <c r="AC122" s="38">
        <v>13122</v>
      </c>
      <c r="AD122" s="157">
        <f t="shared" si="48"/>
        <v>750</v>
      </c>
      <c r="AE122" s="29">
        <v>9.75</v>
      </c>
      <c r="AF122" s="29">
        <v>1</v>
      </c>
      <c r="AG122" s="40"/>
      <c r="AH122" s="44">
        <v>0.75</v>
      </c>
      <c r="AI122" s="13"/>
      <c r="AJ122" s="304"/>
      <c r="AK122" s="45">
        <v>0.5</v>
      </c>
      <c r="AL122" s="23"/>
      <c r="AM122" s="138" t="s">
        <v>275</v>
      </c>
      <c r="AN122" s="25">
        <f t="shared" ca="1" si="50"/>
        <v>12</v>
      </c>
      <c r="AO122" s="50"/>
      <c r="AP122" s="53">
        <f t="shared" si="37"/>
        <v>730</v>
      </c>
      <c r="AQ122" s="322">
        <v>528.70000000000005</v>
      </c>
      <c r="AR122" s="324">
        <f t="shared" si="63"/>
        <v>138.70000000000005</v>
      </c>
      <c r="AS122" s="375">
        <f t="shared" si="38"/>
        <v>6493.7</v>
      </c>
      <c r="AT122" s="375">
        <v>6493.7</v>
      </c>
      <c r="AU122" s="344">
        <f t="shared" si="39"/>
        <v>6.0058210265334096E-2</v>
      </c>
      <c r="AV122" s="18">
        <f>IF(F122="","",(SUM($AS$6:AS122)))</f>
        <v>714488.3199999996</v>
      </c>
      <c r="AW122" s="18">
        <f>IF(AS122&lt;&gt;"", SUMIFS($AS$10:AS122, $BG$10:BG122, BG122), "")</f>
        <v>122161.10999999999</v>
      </c>
      <c r="AX122" s="123">
        <f t="shared" ca="1" si="60"/>
        <v>216.45666666666662</v>
      </c>
      <c r="AY122" s="124" t="str">
        <f t="shared" ca="1" si="40"/>
        <v>LINK</v>
      </c>
      <c r="AZ122" t="s">
        <v>445</v>
      </c>
      <c r="BA122" s="125" t="s">
        <v>332</v>
      </c>
      <c r="BB122" t="str">
        <f t="shared" si="41"/>
        <v>25</v>
      </c>
      <c r="BC122" t="str">
        <f t="shared" si="42"/>
        <v>08</v>
      </c>
      <c r="BD122">
        <f t="shared" si="43"/>
        <v>10</v>
      </c>
      <c r="BE122" t="str">
        <f t="shared" si="44"/>
        <v>D</v>
      </c>
      <c r="BF122" t="str">
        <f t="shared" si="49"/>
        <v>https://www.coreplan.io/app/ddh1-drilling/speewah-mining-speewah-fluorite-project-wa/plods/1665-250810D</v>
      </c>
      <c r="BG122" t="str">
        <f t="shared" si="45"/>
        <v>2025-08</v>
      </c>
    </row>
    <row r="123" spans="1:59">
      <c r="A123" s="510" t="str">
        <f>VLOOKUP(F123,'Tenement Lookup'!A:BH,60,FALSE)</f>
        <v>M 80/268</v>
      </c>
      <c r="B123" t="str">
        <f>VLOOKUP(F123,Purpose!$A$2:$B$334,2,FALSE)</f>
        <v>A Vein DD</v>
      </c>
      <c r="C123" s="151" t="s">
        <v>8</v>
      </c>
      <c r="D123" s="1">
        <f t="shared" si="62"/>
        <v>45879.71</v>
      </c>
      <c r="E123" t="s">
        <v>172</v>
      </c>
      <c r="F123" s="501" t="s">
        <v>448</v>
      </c>
      <c r="H123" s="4" t="s">
        <v>407</v>
      </c>
      <c r="I123" s="4">
        <v>3</v>
      </c>
      <c r="J123" s="122">
        <f t="shared" si="59"/>
        <v>390</v>
      </c>
      <c r="K123" s="21"/>
      <c r="L123" s="28"/>
      <c r="M123" s="22">
        <f t="shared" si="64"/>
        <v>0</v>
      </c>
      <c r="N123" s="30">
        <v>60.7</v>
      </c>
      <c r="O123" s="26">
        <v>90</v>
      </c>
      <c r="P123" s="31">
        <f t="shared" si="52"/>
        <v>29.299999999999997</v>
      </c>
      <c r="Q123" s="21"/>
      <c r="R123" s="28"/>
      <c r="S123" s="22">
        <f t="shared" si="55"/>
        <v>0</v>
      </c>
      <c r="T123" s="30"/>
      <c r="U123" s="26"/>
      <c r="V123" s="31">
        <f t="shared" si="53"/>
        <v>0</v>
      </c>
      <c r="W123" s="26">
        <f t="shared" si="47"/>
        <v>29.299999999999997</v>
      </c>
      <c r="X123" s="36">
        <f t="shared" si="57"/>
        <v>3955.4999999999995</v>
      </c>
      <c r="Y123" s="301">
        <f t="shared" si="56"/>
        <v>4255</v>
      </c>
      <c r="Z123" s="38"/>
      <c r="AA123" s="38"/>
      <c r="AB123" s="38"/>
      <c r="AC123" s="38"/>
      <c r="AD123" s="157">
        <f t="shared" si="48"/>
        <v>0</v>
      </c>
      <c r="AE123" s="29">
        <v>9.25</v>
      </c>
      <c r="AF123" s="29">
        <v>1.5</v>
      </c>
      <c r="AG123" s="40"/>
      <c r="AH123" s="44">
        <v>0.75</v>
      </c>
      <c r="AI123" s="13"/>
      <c r="AJ123" s="304"/>
      <c r="AK123" s="45">
        <v>0.5</v>
      </c>
      <c r="AL123" s="23"/>
      <c r="AM123" s="138" t="s">
        <v>275</v>
      </c>
      <c r="AN123" s="25">
        <f t="shared" ca="1" si="50"/>
        <v>12</v>
      </c>
      <c r="AO123" s="50"/>
      <c r="AP123" s="53">
        <f t="shared" si="37"/>
        <v>960</v>
      </c>
      <c r="AQ123" s="322">
        <v>390</v>
      </c>
      <c r="AR123" s="324">
        <f t="shared" si="63"/>
        <v>0</v>
      </c>
      <c r="AS123" s="375">
        <f t="shared" si="38"/>
        <v>5605</v>
      </c>
      <c r="AT123" s="375">
        <v>5605</v>
      </c>
      <c r="AU123" s="344">
        <f t="shared" si="39"/>
        <v>6.9580731489741296E-2</v>
      </c>
      <c r="AV123" s="18">
        <f>IF(F123="","",(SUM($AS$6:AS123)))</f>
        <v>720093.3199999996</v>
      </c>
      <c r="AW123" s="18">
        <f>IF(AS123&lt;&gt;"", SUMIFS($AS$10:AS123, $BG$10:BG123, BG123), "")</f>
        <v>127766.10999999999</v>
      </c>
      <c r="AX123" s="123">
        <f t="shared" ca="1" si="60"/>
        <v>191.29692832764508</v>
      </c>
      <c r="AY123" s="124" t="str">
        <f t="shared" ca="1" si="40"/>
        <v>LINK</v>
      </c>
      <c r="AZ123" t="s">
        <v>451</v>
      </c>
      <c r="BA123" s="125" t="s">
        <v>332</v>
      </c>
      <c r="BB123" t="str">
        <f t="shared" si="41"/>
        <v>25</v>
      </c>
      <c r="BC123" t="str">
        <f t="shared" si="42"/>
        <v>08</v>
      </c>
      <c r="BD123">
        <f t="shared" si="43"/>
        <v>10</v>
      </c>
      <c r="BE123" t="str">
        <f t="shared" si="44"/>
        <v>N</v>
      </c>
      <c r="BF123" t="str">
        <f t="shared" si="49"/>
        <v>https://www.coreplan.io/app/ddh1-drilling/speewah-mining-speewah-fluorite-project-wa/plods/1665-250810N</v>
      </c>
      <c r="BG123" t="str">
        <f t="shared" si="45"/>
        <v>2025-08</v>
      </c>
    </row>
    <row r="124" spans="1:59">
      <c r="A124" s="510" t="str">
        <f>VLOOKUP(F124,'Tenement Lookup'!A:BH,60,FALSE)</f>
        <v>M 80/268</v>
      </c>
      <c r="B124" t="str">
        <f>VLOOKUP(F124,Purpose!$A$2:$B$334,2,FALSE)</f>
        <v>A Vein DD</v>
      </c>
      <c r="C124" s="151" t="s">
        <v>8</v>
      </c>
      <c r="D124" s="1">
        <f t="shared" si="62"/>
        <v>45880.21</v>
      </c>
      <c r="E124" t="s">
        <v>171</v>
      </c>
      <c r="F124" s="501" t="s">
        <v>452</v>
      </c>
      <c r="H124" s="4" t="s">
        <v>394</v>
      </c>
      <c r="I124" s="4">
        <v>3</v>
      </c>
      <c r="J124" s="122">
        <f t="shared" si="59"/>
        <v>390</v>
      </c>
      <c r="K124" s="21"/>
      <c r="L124" s="28"/>
      <c r="M124" s="22">
        <f t="shared" si="64"/>
        <v>0</v>
      </c>
      <c r="N124" s="30">
        <v>0</v>
      </c>
      <c r="O124" s="26">
        <v>15.9</v>
      </c>
      <c r="P124" s="31">
        <f t="shared" si="52"/>
        <v>15.9</v>
      </c>
      <c r="Q124" s="21"/>
      <c r="R124" s="28"/>
      <c r="S124" s="22">
        <f t="shared" si="55"/>
        <v>0</v>
      </c>
      <c r="T124" s="30"/>
      <c r="U124" s="26"/>
      <c r="V124" s="31">
        <f t="shared" si="53"/>
        <v>0</v>
      </c>
      <c r="W124" s="26">
        <f t="shared" si="47"/>
        <v>15.9</v>
      </c>
      <c r="X124" s="36">
        <f t="shared" si="57"/>
        <v>2146.5</v>
      </c>
      <c r="Y124" s="301">
        <f t="shared" si="56"/>
        <v>2146.5</v>
      </c>
      <c r="Z124" s="38">
        <v>1</v>
      </c>
      <c r="AA124" s="38">
        <v>1</v>
      </c>
      <c r="AB124" s="38">
        <v>1</v>
      </c>
      <c r="AC124" s="38">
        <v>13122</v>
      </c>
      <c r="AD124" s="157">
        <f t="shared" si="48"/>
        <v>750</v>
      </c>
      <c r="AE124" s="29">
        <v>4.5</v>
      </c>
      <c r="AF124" s="29">
        <v>6.75</v>
      </c>
      <c r="AG124" s="40"/>
      <c r="AH124" s="44">
        <v>0.75</v>
      </c>
      <c r="AI124" s="13"/>
      <c r="AJ124" s="304"/>
      <c r="AK124" s="45"/>
      <c r="AL124" s="23"/>
      <c r="AM124" s="138"/>
      <c r="AN124" s="25">
        <f t="shared" ca="1" si="50"/>
        <v>12</v>
      </c>
      <c r="AO124" s="50"/>
      <c r="AP124" s="53">
        <f t="shared" si="37"/>
        <v>3375</v>
      </c>
      <c r="AQ124" s="322">
        <v>390</v>
      </c>
      <c r="AR124" s="324">
        <f t="shared" si="63"/>
        <v>0</v>
      </c>
      <c r="AS124" s="375">
        <f t="shared" si="38"/>
        <v>6661.5</v>
      </c>
      <c r="AT124" s="375">
        <v>6661.5</v>
      </c>
      <c r="AU124" s="344">
        <f t="shared" si="39"/>
        <v>5.8545372663814453E-2</v>
      </c>
      <c r="AV124" s="18">
        <f>IF(F124="","",(SUM($AS$6:AS124)))</f>
        <v>726754.8199999996</v>
      </c>
      <c r="AW124" s="18">
        <f>IF(AS124&lt;&gt;"", SUMIFS($AS$10:AS124, $BG$10:BG124, BG124), "")</f>
        <v>134427.60999999999</v>
      </c>
      <c r="AX124" s="123">
        <f t="shared" ca="1" si="60"/>
        <v>418.96226415094338</v>
      </c>
      <c r="AY124" s="124" t="str">
        <f t="shared" ca="1" si="40"/>
        <v>LINK</v>
      </c>
      <c r="AZ124" t="s">
        <v>453</v>
      </c>
      <c r="BA124" s="125" t="s">
        <v>332</v>
      </c>
      <c r="BB124" t="str">
        <f t="shared" si="41"/>
        <v>25</v>
      </c>
      <c r="BC124" t="str">
        <f t="shared" si="42"/>
        <v>08</v>
      </c>
      <c r="BD124">
        <f t="shared" si="43"/>
        <v>11</v>
      </c>
      <c r="BE124" t="str">
        <f t="shared" si="44"/>
        <v>D</v>
      </c>
      <c r="BF124" t="str">
        <f t="shared" si="49"/>
        <v>https://www.coreplan.io/app/ddh1-drilling/speewah-mining-speewah-fluorite-project-wa/plods/1665-250811D</v>
      </c>
      <c r="BG124" t="str">
        <f t="shared" si="45"/>
        <v>2025-08</v>
      </c>
    </row>
    <row r="125" spans="1:59">
      <c r="A125" s="510" t="str">
        <f>VLOOKUP(F125,'Tenement Lookup'!A:BH,60,FALSE)</f>
        <v>M 80/268</v>
      </c>
      <c r="B125" t="str">
        <f>VLOOKUP(F125,Purpose!$A$2:$B$334,2,FALSE)</f>
        <v>A Vein DD</v>
      </c>
      <c r="C125" s="151" t="s">
        <v>8</v>
      </c>
      <c r="D125" s="1">
        <f t="shared" si="62"/>
        <v>45880.71</v>
      </c>
      <c r="E125" t="s">
        <v>172</v>
      </c>
      <c r="F125" s="501" t="s">
        <v>452</v>
      </c>
      <c r="H125" s="4" t="s">
        <v>407</v>
      </c>
      <c r="I125" s="4">
        <v>3</v>
      </c>
      <c r="J125" s="122">
        <f t="shared" si="59"/>
        <v>390</v>
      </c>
      <c r="K125" s="21"/>
      <c r="L125" s="28"/>
      <c r="M125" s="22">
        <f t="shared" si="64"/>
        <v>0</v>
      </c>
      <c r="N125" s="30">
        <v>15.9</v>
      </c>
      <c r="O125" s="26">
        <v>45.9</v>
      </c>
      <c r="P125" s="31">
        <f t="shared" si="52"/>
        <v>30</v>
      </c>
      <c r="Q125" s="21"/>
      <c r="R125" s="28"/>
      <c r="S125" s="22">
        <f t="shared" si="55"/>
        <v>0</v>
      </c>
      <c r="T125" s="30"/>
      <c r="U125" s="26"/>
      <c r="V125" s="31">
        <f t="shared" si="53"/>
        <v>0</v>
      </c>
      <c r="W125" s="26">
        <f t="shared" si="47"/>
        <v>30</v>
      </c>
      <c r="X125" s="36">
        <f t="shared" si="57"/>
        <v>4050</v>
      </c>
      <c r="Y125" s="301">
        <f t="shared" si="56"/>
        <v>4945</v>
      </c>
      <c r="Z125" s="38"/>
      <c r="AA125" s="38"/>
      <c r="AB125" s="38"/>
      <c r="AC125" s="38"/>
      <c r="AD125" s="157">
        <f t="shared" si="48"/>
        <v>0</v>
      </c>
      <c r="AE125" s="29">
        <v>10.75</v>
      </c>
      <c r="AF125" s="29">
        <v>0.5</v>
      </c>
      <c r="AG125" s="40"/>
      <c r="AH125" s="44">
        <v>0.75</v>
      </c>
      <c r="AI125" s="13"/>
      <c r="AJ125" s="304"/>
      <c r="AK125" s="45"/>
      <c r="AL125" s="23"/>
      <c r="AM125" s="138"/>
      <c r="AN125" s="25">
        <f t="shared" ca="1" si="50"/>
        <v>12</v>
      </c>
      <c r="AO125" s="50"/>
      <c r="AP125" s="53">
        <f t="shared" si="37"/>
        <v>500</v>
      </c>
      <c r="AQ125" s="322">
        <v>390</v>
      </c>
      <c r="AR125" s="324">
        <f t="shared" si="63"/>
        <v>0</v>
      </c>
      <c r="AS125" s="375">
        <f t="shared" si="38"/>
        <v>5835</v>
      </c>
      <c r="AT125" s="375">
        <v>5835</v>
      </c>
      <c r="AU125" s="344">
        <f t="shared" si="39"/>
        <v>6.6838046272493568E-2</v>
      </c>
      <c r="AV125" s="18">
        <f>IF(F125="","",(SUM($AS$6:AS125)))</f>
        <v>732589.8199999996</v>
      </c>
      <c r="AW125" s="18">
        <f>IF(AS125&lt;&gt;"", SUMIFS($AS$10:AS125, $BG$10:BG125, BG125), "")</f>
        <v>140262.60999999999</v>
      </c>
      <c r="AX125" s="123">
        <f t="shared" ca="1" si="60"/>
        <v>194.5</v>
      </c>
      <c r="AY125" s="124" t="str">
        <f t="shared" ca="1" si="40"/>
        <v>LINK</v>
      </c>
      <c r="AZ125" t="s">
        <v>454</v>
      </c>
      <c r="BA125" s="125" t="s">
        <v>332</v>
      </c>
      <c r="BB125" t="str">
        <f t="shared" si="41"/>
        <v>25</v>
      </c>
      <c r="BC125" t="str">
        <f t="shared" si="42"/>
        <v>08</v>
      </c>
      <c r="BD125">
        <f t="shared" si="43"/>
        <v>11</v>
      </c>
      <c r="BE125" t="str">
        <f t="shared" si="44"/>
        <v>N</v>
      </c>
      <c r="BF125" t="str">
        <f t="shared" si="49"/>
        <v>https://www.coreplan.io/app/ddh1-drilling/speewah-mining-speewah-fluorite-project-wa/plods/1665-250811N</v>
      </c>
      <c r="BG125" t="str">
        <f t="shared" si="45"/>
        <v>2025-08</v>
      </c>
    </row>
    <row r="126" spans="1:59">
      <c r="A126" s="510" t="str">
        <f>VLOOKUP(F126,'Tenement Lookup'!A:BH,60,FALSE)</f>
        <v>M 80/268</v>
      </c>
      <c r="B126" t="str">
        <f>VLOOKUP(F126,Purpose!$A$2:$B$334,2,FALSE)</f>
        <v>A Vein DD</v>
      </c>
      <c r="C126" s="151" t="s">
        <v>8</v>
      </c>
      <c r="D126" s="1">
        <f t="shared" si="62"/>
        <v>45881.21</v>
      </c>
      <c r="E126" t="s">
        <v>171</v>
      </c>
      <c r="F126" s="501" t="s">
        <v>452</v>
      </c>
      <c r="H126" s="4" t="s">
        <v>394</v>
      </c>
      <c r="I126" s="4">
        <v>3</v>
      </c>
      <c r="J126" s="122">
        <f t="shared" si="59"/>
        <v>390</v>
      </c>
      <c r="K126" s="21"/>
      <c r="L126" s="28"/>
      <c r="M126" s="22">
        <f t="shared" si="64"/>
        <v>0</v>
      </c>
      <c r="N126" s="30">
        <v>45.9</v>
      </c>
      <c r="O126" s="26">
        <v>75.900000000000006</v>
      </c>
      <c r="P126" s="31">
        <f t="shared" si="52"/>
        <v>30.000000000000007</v>
      </c>
      <c r="Q126" s="21"/>
      <c r="R126" s="28"/>
      <c r="S126" s="22">
        <f t="shared" si="55"/>
        <v>0</v>
      </c>
      <c r="T126" s="30"/>
      <c r="U126" s="26"/>
      <c r="V126" s="31">
        <f t="shared" si="53"/>
        <v>0</v>
      </c>
      <c r="W126" s="26">
        <f t="shared" si="47"/>
        <v>30.000000000000007</v>
      </c>
      <c r="X126" s="36">
        <f t="shared" si="57"/>
        <v>4050.0000000000009</v>
      </c>
      <c r="Y126" s="301">
        <f t="shared" si="56"/>
        <v>4050.0000000000009</v>
      </c>
      <c r="Z126" s="38">
        <v>1</v>
      </c>
      <c r="AA126" s="38">
        <v>1</v>
      </c>
      <c r="AB126" s="38">
        <v>1</v>
      </c>
      <c r="AC126" s="38">
        <v>13122</v>
      </c>
      <c r="AD126" s="157">
        <f t="shared" si="48"/>
        <v>750</v>
      </c>
      <c r="AE126" s="29">
        <v>7.5</v>
      </c>
      <c r="AF126" s="29">
        <v>0.75</v>
      </c>
      <c r="AG126" s="40" t="s">
        <v>455</v>
      </c>
      <c r="AH126" s="44">
        <v>3.75</v>
      </c>
      <c r="AI126" s="13"/>
      <c r="AJ126" s="304" t="s">
        <v>455</v>
      </c>
      <c r="AK126" s="45"/>
      <c r="AL126" s="23"/>
      <c r="AM126" s="138"/>
      <c r="AN126" s="25">
        <f t="shared" ca="1" si="50"/>
        <v>12</v>
      </c>
      <c r="AO126" s="50"/>
      <c r="AP126" s="53">
        <f t="shared" si="37"/>
        <v>1695</v>
      </c>
      <c r="AQ126" s="322">
        <v>390</v>
      </c>
      <c r="AR126" s="324">
        <f t="shared" si="63"/>
        <v>0</v>
      </c>
      <c r="AS126" s="375">
        <f t="shared" si="38"/>
        <v>6885.0000000000009</v>
      </c>
      <c r="AT126" s="375">
        <v>6885</v>
      </c>
      <c r="AU126" s="344">
        <f t="shared" si="39"/>
        <v>5.664488017429193E-2</v>
      </c>
      <c r="AV126" s="18">
        <f>IF(F126="","",(SUM($AS$6:AS126)))</f>
        <v>739474.8199999996</v>
      </c>
      <c r="AW126" s="18">
        <f>IF(AS126&lt;&gt;"", SUMIFS($AS$10:AS126, $BG$10:BG126, BG126), "")</f>
        <v>147147.60999999999</v>
      </c>
      <c r="AX126" s="123">
        <f t="shared" ca="1" si="60"/>
        <v>229.49999999999997</v>
      </c>
      <c r="AY126" s="124" t="str">
        <f t="shared" ca="1" si="40"/>
        <v>LINK</v>
      </c>
      <c r="AZ126" t="s">
        <v>456</v>
      </c>
      <c r="BA126" s="125" t="s">
        <v>332</v>
      </c>
      <c r="BB126" t="str">
        <f t="shared" si="41"/>
        <v>25</v>
      </c>
      <c r="BC126" t="str">
        <f t="shared" si="42"/>
        <v>08</v>
      </c>
      <c r="BD126">
        <f t="shared" si="43"/>
        <v>12</v>
      </c>
      <c r="BE126" t="str">
        <f t="shared" si="44"/>
        <v>D</v>
      </c>
      <c r="BF126" t="str">
        <f t="shared" si="49"/>
        <v>https://www.coreplan.io/app/ddh1-drilling/speewah-mining-speewah-fluorite-project-wa/plods/1665-250812D</v>
      </c>
      <c r="BG126" t="str">
        <f t="shared" si="45"/>
        <v>2025-08</v>
      </c>
    </row>
    <row r="127" spans="1:59">
      <c r="A127" s="510" t="str">
        <f>VLOOKUP(F127,'Tenement Lookup'!A:BH,60,FALSE)</f>
        <v>M 80/268</v>
      </c>
      <c r="B127" t="str">
        <f>VLOOKUP(F127,Purpose!$A$2:$B$334,2,FALSE)</f>
        <v>A Vein DD</v>
      </c>
      <c r="C127" s="151" t="s">
        <v>8</v>
      </c>
      <c r="D127" s="1">
        <f t="shared" si="62"/>
        <v>45881.71</v>
      </c>
      <c r="E127" t="s">
        <v>172</v>
      </c>
      <c r="F127" s="501" t="s">
        <v>452</v>
      </c>
      <c r="H127" s="4" t="s">
        <v>407</v>
      </c>
      <c r="I127" s="4">
        <v>3</v>
      </c>
      <c r="J127" s="122">
        <f t="shared" si="59"/>
        <v>390</v>
      </c>
      <c r="K127" s="21"/>
      <c r="L127" s="28"/>
      <c r="M127" s="22">
        <f t="shared" si="64"/>
        <v>0</v>
      </c>
      <c r="N127" s="30">
        <v>75.900000000000006</v>
      </c>
      <c r="O127" s="26">
        <v>90</v>
      </c>
      <c r="P127" s="31">
        <f t="shared" si="52"/>
        <v>14.099999999999994</v>
      </c>
      <c r="Q127" s="21"/>
      <c r="R127" s="28"/>
      <c r="S127" s="22">
        <f t="shared" si="55"/>
        <v>0</v>
      </c>
      <c r="T127" s="30"/>
      <c r="U127" s="26"/>
      <c r="V127" s="31">
        <f t="shared" si="53"/>
        <v>0</v>
      </c>
      <c r="W127" s="26">
        <f t="shared" si="47"/>
        <v>14.099999999999994</v>
      </c>
      <c r="X127" s="36">
        <f t="shared" si="57"/>
        <v>1903.4999999999993</v>
      </c>
      <c r="Y127" s="301">
        <f t="shared" si="56"/>
        <v>3220</v>
      </c>
      <c r="Z127" s="38"/>
      <c r="AA127" s="38"/>
      <c r="AB127" s="38"/>
      <c r="AC127" s="38"/>
      <c r="AD127" s="157">
        <f t="shared" si="48"/>
        <v>0</v>
      </c>
      <c r="AE127" s="29">
        <v>7</v>
      </c>
      <c r="AF127" s="29">
        <v>4.25</v>
      </c>
      <c r="AG127" s="40"/>
      <c r="AH127" s="44">
        <v>0.75</v>
      </c>
      <c r="AI127" s="13"/>
      <c r="AJ127" s="304"/>
      <c r="AK127" s="45"/>
      <c r="AL127" s="23"/>
      <c r="AM127" s="138"/>
      <c r="AN127" s="25">
        <f t="shared" ca="1" si="50"/>
        <v>12</v>
      </c>
      <c r="AO127" s="50"/>
      <c r="AP127" s="53">
        <f t="shared" si="37"/>
        <v>2225</v>
      </c>
      <c r="AQ127" s="322">
        <v>390</v>
      </c>
      <c r="AR127" s="324">
        <f t="shared" si="63"/>
        <v>0</v>
      </c>
      <c r="AS127" s="375">
        <f t="shared" si="38"/>
        <v>5835</v>
      </c>
      <c r="AT127" s="375">
        <v>5835</v>
      </c>
      <c r="AU127" s="344">
        <f t="shared" si="39"/>
        <v>6.6838046272493568E-2</v>
      </c>
      <c r="AV127" s="18">
        <f>IF(F127="","",(SUM($AS$6:AS127)))</f>
        <v>745309.8199999996</v>
      </c>
      <c r="AW127" s="18">
        <f>IF(AS127&lt;&gt;"", SUMIFS($AS$10:AS127, $BG$10:BG127, BG127), "")</f>
        <v>152982.60999999999</v>
      </c>
      <c r="AX127" s="123">
        <f t="shared" ca="1" si="60"/>
        <v>413.82978723404273</v>
      </c>
      <c r="AY127" s="124" t="str">
        <f t="shared" ca="1" si="40"/>
        <v>LINK</v>
      </c>
      <c r="AZ127" t="s">
        <v>457</v>
      </c>
      <c r="BA127" s="125" t="s">
        <v>332</v>
      </c>
      <c r="BB127" t="str">
        <f t="shared" si="41"/>
        <v>25</v>
      </c>
      <c r="BC127" t="str">
        <f t="shared" si="42"/>
        <v>08</v>
      </c>
      <c r="BD127">
        <f t="shared" si="43"/>
        <v>12</v>
      </c>
      <c r="BE127" t="str">
        <f t="shared" si="44"/>
        <v>N</v>
      </c>
      <c r="BF127" t="str">
        <f t="shared" si="49"/>
        <v>https://www.coreplan.io/app/ddh1-drilling/speewah-mining-speewah-fluorite-project-wa/plods/1665-250812N</v>
      </c>
      <c r="BG127" t="str">
        <f t="shared" si="45"/>
        <v>2025-08</v>
      </c>
    </row>
    <row r="128" spans="1:59">
      <c r="A128" s="510" t="str">
        <f>VLOOKUP(F128,'Tenement Lookup'!A:BH,60,FALSE)</f>
        <v>M 80/269</v>
      </c>
      <c r="B128" t="str">
        <f>VLOOKUP(F128,Purpose!$A$2:$B$334,2,FALSE)</f>
        <v>Met</v>
      </c>
      <c r="C128" s="151" t="s">
        <v>11</v>
      </c>
      <c r="D128" s="1">
        <f t="shared" si="62"/>
        <v>45882.21</v>
      </c>
      <c r="E128" t="s">
        <v>171</v>
      </c>
      <c r="F128" s="501" t="s">
        <v>458</v>
      </c>
      <c r="H128" s="4" t="s">
        <v>392</v>
      </c>
      <c r="I128" s="4">
        <v>3</v>
      </c>
      <c r="J128" s="122">
        <f t="shared" si="59"/>
        <v>390</v>
      </c>
      <c r="K128" s="21"/>
      <c r="L128" s="28"/>
      <c r="M128" s="22">
        <f t="shared" si="64"/>
        <v>0</v>
      </c>
      <c r="N128" s="30"/>
      <c r="O128" s="26"/>
      <c r="P128" s="31">
        <f t="shared" si="52"/>
        <v>0</v>
      </c>
      <c r="Q128" s="21"/>
      <c r="R128" s="28"/>
      <c r="S128" s="22">
        <f t="shared" si="55"/>
        <v>0</v>
      </c>
      <c r="T128" s="30"/>
      <c r="U128" s="26"/>
      <c r="V128" s="31">
        <f t="shared" si="53"/>
        <v>0</v>
      </c>
      <c r="W128" s="26">
        <f t="shared" si="47"/>
        <v>0</v>
      </c>
      <c r="X128" s="36">
        <f t="shared" si="57"/>
        <v>0</v>
      </c>
      <c r="Y128" s="301">
        <f t="shared" si="56"/>
        <v>0</v>
      </c>
      <c r="Z128" s="38"/>
      <c r="AA128" s="38"/>
      <c r="AB128" s="38"/>
      <c r="AC128" s="38"/>
      <c r="AD128" s="157">
        <f t="shared" si="48"/>
        <v>0</v>
      </c>
      <c r="AE128" s="29">
        <v>0</v>
      </c>
      <c r="AF128" s="29">
        <v>3.5</v>
      </c>
      <c r="AG128" s="40" t="s">
        <v>242</v>
      </c>
      <c r="AH128" s="44">
        <v>0.5</v>
      </c>
      <c r="AI128" s="13"/>
      <c r="AJ128" s="304"/>
      <c r="AK128" s="45">
        <v>8</v>
      </c>
      <c r="AL128" s="23"/>
      <c r="AM128" s="138" t="s">
        <v>242</v>
      </c>
      <c r="AN128" s="25">
        <f t="shared" ca="1" si="50"/>
        <v>12</v>
      </c>
      <c r="AO128" s="50"/>
      <c r="AP128" s="53">
        <f t="shared" si="37"/>
        <v>1790</v>
      </c>
      <c r="AQ128" s="322">
        <v>390</v>
      </c>
      <c r="AR128" s="324">
        <f t="shared" si="63"/>
        <v>0</v>
      </c>
      <c r="AS128" s="375">
        <f>SUM(Y128,AP128,AR128,AD128,J128)</f>
        <v>2180</v>
      </c>
      <c r="AT128" s="375">
        <v>2180</v>
      </c>
      <c r="AU128" s="344">
        <f t="shared" si="39"/>
        <v>0.17889908256880735</v>
      </c>
      <c r="AV128" s="18">
        <f>IF(F128="","",(SUM($AS$6:AS128)))</f>
        <v>747489.8199999996</v>
      </c>
      <c r="AW128" s="18">
        <f>IF(AS128&lt;&gt;"", SUMIFS($AS$10:AS128, $BG$10:BG128, BG128), "")</f>
        <v>155162.60999999999</v>
      </c>
      <c r="AX128" s="123" t="str">
        <f t="shared" ca="1" si="60"/>
        <v/>
      </c>
      <c r="AY128" s="124" t="str">
        <f t="shared" ca="1" si="40"/>
        <v>LINK</v>
      </c>
      <c r="AZ128" t="s">
        <v>459</v>
      </c>
      <c r="BA128" s="125" t="s">
        <v>332</v>
      </c>
      <c r="BB128" t="str">
        <f t="shared" si="41"/>
        <v>25</v>
      </c>
      <c r="BC128" t="str">
        <f t="shared" si="42"/>
        <v>08</v>
      </c>
      <c r="BD128">
        <f t="shared" si="43"/>
        <v>13</v>
      </c>
      <c r="BE128" t="str">
        <f t="shared" si="44"/>
        <v>D</v>
      </c>
      <c r="BF128" t="str">
        <f t="shared" si="49"/>
        <v>https://www.coreplan.io/app/ddh1-drilling/speewah-mining-speewah-fluorite-project-wa/plods/1665-250813D</v>
      </c>
      <c r="BG128" t="str">
        <f t="shared" si="45"/>
        <v>2025-08</v>
      </c>
    </row>
    <row r="129" spans="1:59">
      <c r="A129" s="510" t="str">
        <f>VLOOKUP(F129,'Tenement Lookup'!A:BH,60,FALSE)</f>
        <v>M 80/269</v>
      </c>
      <c r="B129" t="str">
        <f>VLOOKUP(F129,Purpose!$A$2:$B$334,2,FALSE)</f>
        <v>Met</v>
      </c>
      <c r="C129" s="151" t="s">
        <v>11</v>
      </c>
      <c r="D129" s="1">
        <f t="shared" si="62"/>
        <v>45882.71</v>
      </c>
      <c r="E129" t="s">
        <v>172</v>
      </c>
      <c r="F129" s="501" t="s">
        <v>458</v>
      </c>
      <c r="H129" s="4" t="s">
        <v>394</v>
      </c>
      <c r="I129" s="4">
        <v>3</v>
      </c>
      <c r="J129" s="122">
        <f t="shared" si="59"/>
        <v>390</v>
      </c>
      <c r="K129" s="21">
        <v>0</v>
      </c>
      <c r="L129" s="28">
        <v>7.3</v>
      </c>
      <c r="M129" s="22">
        <f t="shared" si="64"/>
        <v>7.3</v>
      </c>
      <c r="N129" s="30"/>
      <c r="O129" s="26"/>
      <c r="P129" s="31">
        <f t="shared" si="52"/>
        <v>0</v>
      </c>
      <c r="Q129" s="21"/>
      <c r="R129" s="28"/>
      <c r="S129" s="22">
        <f t="shared" si="55"/>
        <v>0</v>
      </c>
      <c r="T129" s="30"/>
      <c r="U129" s="26"/>
      <c r="V129" s="31">
        <f t="shared" si="53"/>
        <v>0</v>
      </c>
      <c r="W129" s="26">
        <f t="shared" si="47"/>
        <v>7.3</v>
      </c>
      <c r="X129" s="36">
        <f t="shared" si="57"/>
        <v>1277.5</v>
      </c>
      <c r="Y129" s="301">
        <f t="shared" si="56"/>
        <v>3220</v>
      </c>
      <c r="Z129" s="38">
        <v>1</v>
      </c>
      <c r="AA129" s="38">
        <v>1</v>
      </c>
      <c r="AB129" s="38">
        <v>1</v>
      </c>
      <c r="AC129" s="38">
        <v>13122</v>
      </c>
      <c r="AD129" s="157">
        <f t="shared" si="48"/>
        <v>750</v>
      </c>
      <c r="AE129" s="29">
        <v>7</v>
      </c>
      <c r="AF129" s="29">
        <v>4.25</v>
      </c>
      <c r="AG129" s="40"/>
      <c r="AH129" s="44">
        <v>0.75</v>
      </c>
      <c r="AI129" s="13"/>
      <c r="AJ129" s="304"/>
      <c r="AK129" s="45"/>
      <c r="AL129" s="23"/>
      <c r="AM129" s="138"/>
      <c r="AN129" s="25">
        <f t="shared" ca="1" si="50"/>
        <v>12</v>
      </c>
      <c r="AO129" s="50"/>
      <c r="AP129" s="53">
        <f t="shared" si="37"/>
        <v>2225</v>
      </c>
      <c r="AQ129" s="322">
        <v>528.70000000000005</v>
      </c>
      <c r="AR129" s="324">
        <f t="shared" si="63"/>
        <v>138.70000000000005</v>
      </c>
      <c r="AS129" s="375">
        <f t="shared" si="38"/>
        <v>6723.7</v>
      </c>
      <c r="AT129" s="375">
        <v>6723.7</v>
      </c>
      <c r="AU129" s="344">
        <f t="shared" si="39"/>
        <v>5.800377768193108E-2</v>
      </c>
      <c r="AV129" s="18">
        <f>IF(F129="","",(SUM($AS$6:AS129)))</f>
        <v>754213.51999999955</v>
      </c>
      <c r="AW129" s="18">
        <f>IF(AS129&lt;&gt;"", SUMIFS($AS$10:AS129, $BG$10:BG129, BG129), "")</f>
        <v>161886.31</v>
      </c>
      <c r="AX129" s="123">
        <f t="shared" ca="1" si="60"/>
        <v>921.05479452054794</v>
      </c>
      <c r="AY129" s="124" t="str">
        <f t="shared" ca="1" si="40"/>
        <v>LINK</v>
      </c>
      <c r="AZ129" t="s">
        <v>460</v>
      </c>
      <c r="BA129" s="125" t="s">
        <v>332</v>
      </c>
      <c r="BB129" t="str">
        <f t="shared" si="41"/>
        <v>25</v>
      </c>
      <c r="BC129" t="str">
        <f t="shared" si="42"/>
        <v>08</v>
      </c>
      <c r="BD129">
        <f t="shared" si="43"/>
        <v>13</v>
      </c>
      <c r="BE129" t="str">
        <f t="shared" si="44"/>
        <v>N</v>
      </c>
      <c r="BF129" t="str">
        <f t="shared" si="49"/>
        <v>https://www.coreplan.io/app/ddh1-drilling/speewah-mining-speewah-fluorite-project-wa/plods/1665-250813N</v>
      </c>
      <c r="BG129" t="str">
        <f t="shared" si="45"/>
        <v>2025-08</v>
      </c>
    </row>
    <row r="130" spans="1:59">
      <c r="A130" s="510" t="str">
        <f>VLOOKUP(F130,'Tenement Lookup'!A:BH,60,FALSE)</f>
        <v>M 80/269</v>
      </c>
      <c r="B130" t="str">
        <f>VLOOKUP(F130,Purpose!$A$2:$B$334,2,FALSE)</f>
        <v>Met</v>
      </c>
      <c r="C130" s="151" t="s">
        <v>11</v>
      </c>
      <c r="D130" s="1">
        <f t="shared" si="62"/>
        <v>45883.21</v>
      </c>
      <c r="E130" t="s">
        <v>171</v>
      </c>
      <c r="F130" s="501" t="s">
        <v>458</v>
      </c>
      <c r="H130" s="4" t="s">
        <v>392</v>
      </c>
      <c r="I130" s="4">
        <v>3</v>
      </c>
      <c r="J130" s="122">
        <f t="shared" si="59"/>
        <v>390</v>
      </c>
      <c r="K130" s="21">
        <v>7.3</v>
      </c>
      <c r="L130" s="28">
        <v>24.6</v>
      </c>
      <c r="M130" s="22">
        <f t="shared" si="64"/>
        <v>17.3</v>
      </c>
      <c r="N130" s="30"/>
      <c r="O130" s="26"/>
      <c r="P130" s="31">
        <f t="shared" si="52"/>
        <v>0</v>
      </c>
      <c r="Q130" s="21"/>
      <c r="R130" s="28"/>
      <c r="S130" s="22">
        <f t="shared" si="55"/>
        <v>0</v>
      </c>
      <c r="T130" s="30"/>
      <c r="U130" s="26"/>
      <c r="V130" s="31">
        <f t="shared" si="53"/>
        <v>0</v>
      </c>
      <c r="W130" s="26">
        <f t="shared" si="47"/>
        <v>17.3</v>
      </c>
      <c r="X130" s="36">
        <f t="shared" si="57"/>
        <v>3027.5</v>
      </c>
      <c r="Y130" s="301">
        <f t="shared" si="56"/>
        <v>4025</v>
      </c>
      <c r="Z130" s="38"/>
      <c r="AA130" s="38">
        <v>1</v>
      </c>
      <c r="AB130" s="38">
        <v>1</v>
      </c>
      <c r="AC130" s="38">
        <v>13122</v>
      </c>
      <c r="AD130" s="157">
        <f t="shared" si="48"/>
        <v>575</v>
      </c>
      <c r="AE130" s="29">
        <v>8.75</v>
      </c>
      <c r="AF130" s="29">
        <v>2.75</v>
      </c>
      <c r="AG130" s="40"/>
      <c r="AH130" s="44">
        <v>0.5</v>
      </c>
      <c r="AI130" s="13"/>
      <c r="AJ130" s="304"/>
      <c r="AK130" s="45"/>
      <c r="AL130" s="23"/>
      <c r="AM130" s="138"/>
      <c r="AN130" s="25">
        <f t="shared" ca="1" si="50"/>
        <v>12</v>
      </c>
      <c r="AO130" s="50"/>
      <c r="AP130" s="53">
        <f t="shared" si="37"/>
        <v>1445</v>
      </c>
      <c r="AQ130" s="322">
        <v>507.93</v>
      </c>
      <c r="AR130" s="324">
        <f t="shared" si="63"/>
        <v>117.93</v>
      </c>
      <c r="AS130" s="375">
        <f t="shared" si="38"/>
        <v>6552.93</v>
      </c>
      <c r="AT130" s="375">
        <v>6552.93</v>
      </c>
      <c r="AU130" s="344">
        <f t="shared" si="39"/>
        <v>5.95153618305094E-2</v>
      </c>
      <c r="AV130" s="18">
        <f>IF(F130="","",(SUM($AS$6:AS130)))</f>
        <v>760766.4499999996</v>
      </c>
      <c r="AW130" s="18">
        <f>IF(AS130&lt;&gt;"", SUMIFS($AS$10:AS130, $BG$10:BG130, BG130), "")</f>
        <v>168439.24</v>
      </c>
      <c r="AX130" s="123">
        <f t="shared" ca="1" si="60"/>
        <v>378.78208092485551</v>
      </c>
      <c r="AY130" s="124" t="str">
        <f t="shared" ca="1" si="40"/>
        <v>LINK</v>
      </c>
      <c r="AZ130" t="s">
        <v>461</v>
      </c>
      <c r="BA130" s="125" t="s">
        <v>332</v>
      </c>
      <c r="BB130" t="str">
        <f t="shared" si="41"/>
        <v>25</v>
      </c>
      <c r="BC130" t="str">
        <f t="shared" si="42"/>
        <v>08</v>
      </c>
      <c r="BD130">
        <f t="shared" si="43"/>
        <v>14</v>
      </c>
      <c r="BE130" t="str">
        <f t="shared" si="44"/>
        <v>D</v>
      </c>
      <c r="BF130" t="str">
        <f t="shared" si="49"/>
        <v>https://www.coreplan.io/app/ddh1-drilling/speewah-mining-speewah-fluorite-project-wa/plods/1665-250814D</v>
      </c>
      <c r="BG130" t="str">
        <f t="shared" si="45"/>
        <v>2025-08</v>
      </c>
    </row>
    <row r="131" spans="1:59">
      <c r="A131" s="510" t="str">
        <f>VLOOKUP(F131,'Tenement Lookup'!A:BH,60,FALSE)</f>
        <v>M 80/269</v>
      </c>
      <c r="B131" t="str">
        <f>VLOOKUP(F131,Purpose!$A$2:$B$334,2,FALSE)</f>
        <v>Met</v>
      </c>
      <c r="C131" s="151" t="s">
        <v>11</v>
      </c>
      <c r="D131" s="1">
        <f t="shared" si="62"/>
        <v>45883.71</v>
      </c>
      <c r="E131" t="s">
        <v>172</v>
      </c>
      <c r="F131" s="501" t="s">
        <v>458</v>
      </c>
      <c r="H131" s="4" t="s">
        <v>394</v>
      </c>
      <c r="I131" s="4">
        <v>3</v>
      </c>
      <c r="J131" s="122">
        <f t="shared" si="59"/>
        <v>390</v>
      </c>
      <c r="K131" s="21">
        <v>24.6</v>
      </c>
      <c r="L131" s="28">
        <v>51.6</v>
      </c>
      <c r="M131" s="22">
        <f t="shared" si="64"/>
        <v>27</v>
      </c>
      <c r="N131" s="30"/>
      <c r="O131" s="26"/>
      <c r="P131" s="31">
        <f t="shared" si="52"/>
        <v>0</v>
      </c>
      <c r="Q131" s="21"/>
      <c r="R131" s="28"/>
      <c r="S131" s="22">
        <f t="shared" si="55"/>
        <v>0</v>
      </c>
      <c r="T131" s="30"/>
      <c r="U131" s="26"/>
      <c r="V131" s="31">
        <f t="shared" si="53"/>
        <v>0</v>
      </c>
      <c r="W131" s="26">
        <f t="shared" si="47"/>
        <v>27</v>
      </c>
      <c r="X131" s="36">
        <f t="shared" si="57"/>
        <v>4725</v>
      </c>
      <c r="Y131" s="301">
        <f t="shared" si="56"/>
        <v>4725</v>
      </c>
      <c r="Z131" s="38">
        <v>1</v>
      </c>
      <c r="AA131" s="38"/>
      <c r="AB131" s="38"/>
      <c r="AC131" s="38"/>
      <c r="AD131" s="157">
        <f t="shared" si="48"/>
        <v>175</v>
      </c>
      <c r="AE131" s="29">
        <v>10</v>
      </c>
      <c r="AF131" s="29">
        <v>1.25</v>
      </c>
      <c r="AG131" s="40"/>
      <c r="AH131" s="44">
        <v>0.75</v>
      </c>
      <c r="AI131" s="13"/>
      <c r="AJ131" s="304"/>
      <c r="AK131" s="45"/>
      <c r="AL131" s="23"/>
      <c r="AM131" s="138"/>
      <c r="AN131" s="25">
        <f t="shared" ca="1" si="50"/>
        <v>12</v>
      </c>
      <c r="AO131" s="50"/>
      <c r="AP131" s="53">
        <f t="shared" si="37"/>
        <v>845</v>
      </c>
      <c r="AQ131" s="322">
        <v>610</v>
      </c>
      <c r="AR131" s="324">
        <f t="shared" si="63"/>
        <v>220</v>
      </c>
      <c r="AS131" s="375">
        <f t="shared" si="38"/>
        <v>6355</v>
      </c>
      <c r="AT131" s="375">
        <v>6355</v>
      </c>
      <c r="AU131" s="344">
        <f t="shared" si="39"/>
        <v>6.1369000786782063E-2</v>
      </c>
      <c r="AV131" s="18">
        <f>IF(F131="","",(SUM($AS$6:AS131)))</f>
        <v>767121.4499999996</v>
      </c>
      <c r="AW131" s="18">
        <f>IF(AS131&lt;&gt;"", SUMIFS($AS$10:AS131, $BG$10:BG131, BG131), "")</f>
        <v>174794.23999999999</v>
      </c>
      <c r="AX131" s="123">
        <f t="shared" ca="1" si="60"/>
        <v>235.37037037037038</v>
      </c>
      <c r="AY131" s="124" t="str">
        <f t="shared" ca="1" si="40"/>
        <v>LINK</v>
      </c>
      <c r="AZ131" t="s">
        <v>462</v>
      </c>
      <c r="BA131" s="125" t="s">
        <v>332</v>
      </c>
      <c r="BB131" t="str">
        <f t="shared" si="41"/>
        <v>25</v>
      </c>
      <c r="BC131" t="str">
        <f t="shared" si="42"/>
        <v>08</v>
      </c>
      <c r="BD131">
        <f t="shared" si="43"/>
        <v>14</v>
      </c>
      <c r="BE131" t="str">
        <f t="shared" si="44"/>
        <v>N</v>
      </c>
      <c r="BF131" t="str">
        <f t="shared" si="49"/>
        <v>https://www.coreplan.io/app/ddh1-drilling/speewah-mining-speewah-fluorite-project-wa/plods/1665-250814N</v>
      </c>
      <c r="BG131" t="str">
        <f t="shared" si="45"/>
        <v>2025-08</v>
      </c>
    </row>
    <row r="132" spans="1:59">
      <c r="A132" s="510" t="str">
        <f>VLOOKUP(F132,'Tenement Lookup'!A:BH,60,FALSE)</f>
        <v>M 80/269</v>
      </c>
      <c r="B132" t="str">
        <f>VLOOKUP(F132,Purpose!$A$2:$B$334,2,FALSE)</f>
        <v>Met</v>
      </c>
      <c r="C132" s="151" t="s">
        <v>11</v>
      </c>
      <c r="D132" s="1">
        <f t="shared" si="62"/>
        <v>45884.21</v>
      </c>
      <c r="E132" t="s">
        <v>171</v>
      </c>
      <c r="F132" s="501" t="s">
        <v>458</v>
      </c>
      <c r="H132" s="4" t="s">
        <v>392</v>
      </c>
      <c r="I132" s="4">
        <v>3</v>
      </c>
      <c r="J132" s="122">
        <f t="shared" si="59"/>
        <v>390</v>
      </c>
      <c r="K132" s="21">
        <v>51.6</v>
      </c>
      <c r="L132" s="28">
        <v>57.4</v>
      </c>
      <c r="M132" s="22">
        <f t="shared" si="64"/>
        <v>5.7999999999999972</v>
      </c>
      <c r="N132" s="30"/>
      <c r="O132" s="26"/>
      <c r="P132" s="31">
        <f t="shared" si="52"/>
        <v>0</v>
      </c>
      <c r="Q132" s="21"/>
      <c r="R132" s="28"/>
      <c r="S132" s="22">
        <f t="shared" si="55"/>
        <v>0</v>
      </c>
      <c r="T132" s="30"/>
      <c r="U132" s="26"/>
      <c r="V132" s="31">
        <f t="shared" si="53"/>
        <v>0</v>
      </c>
      <c r="W132" s="26">
        <f t="shared" si="47"/>
        <v>5.7999999999999972</v>
      </c>
      <c r="X132" s="36">
        <f t="shared" si="57"/>
        <v>1014.9999999999995</v>
      </c>
      <c r="Y132" s="301">
        <f t="shared" si="56"/>
        <v>1840</v>
      </c>
      <c r="Z132" s="38"/>
      <c r="AA132" s="38">
        <v>1</v>
      </c>
      <c r="AB132" s="38">
        <v>1</v>
      </c>
      <c r="AC132" s="38">
        <v>13122</v>
      </c>
      <c r="AD132" s="157">
        <f t="shared" si="48"/>
        <v>575</v>
      </c>
      <c r="AE132" s="29">
        <v>4</v>
      </c>
      <c r="AF132" s="29">
        <v>4</v>
      </c>
      <c r="AG132" s="40" t="s">
        <v>463</v>
      </c>
      <c r="AH132" s="44">
        <v>0.5</v>
      </c>
      <c r="AI132" s="13"/>
      <c r="AJ132" s="304"/>
      <c r="AK132" s="45"/>
      <c r="AL132" s="23">
        <v>3.5</v>
      </c>
      <c r="AM132" s="138" t="s">
        <v>464</v>
      </c>
      <c r="AN132" s="25">
        <f t="shared" ca="1" si="50"/>
        <v>12</v>
      </c>
      <c r="AO132" s="50"/>
      <c r="AP132" s="53">
        <f t="shared" si="37"/>
        <v>2020</v>
      </c>
      <c r="AQ132" s="322">
        <v>390</v>
      </c>
      <c r="AR132" s="324">
        <f t="shared" si="63"/>
        <v>0</v>
      </c>
      <c r="AS132" s="375">
        <f t="shared" si="38"/>
        <v>4825</v>
      </c>
      <c r="AT132" s="375">
        <v>4825</v>
      </c>
      <c r="AU132" s="344">
        <f t="shared" si="39"/>
        <v>8.0829015544041455E-2</v>
      </c>
      <c r="AV132" s="18">
        <f>IF(F132="","",(SUM($AS$6:AS132)))</f>
        <v>771946.4499999996</v>
      </c>
      <c r="AW132" s="18">
        <f>IF(AS132&lt;&gt;"", SUMIFS($AS$10:AS132, $BG$10:BG132, BG132), "")</f>
        <v>179619.24</v>
      </c>
      <c r="AX132" s="123">
        <f t="shared" ca="1" si="60"/>
        <v>831.89655172413836</v>
      </c>
      <c r="AY132" s="124" t="str">
        <f t="shared" ca="1" si="40"/>
        <v>LINK</v>
      </c>
      <c r="AZ132" t="s">
        <v>465</v>
      </c>
      <c r="BA132" s="125" t="s">
        <v>332</v>
      </c>
      <c r="BB132" t="str">
        <f t="shared" si="41"/>
        <v>25</v>
      </c>
      <c r="BC132" t="str">
        <f t="shared" si="42"/>
        <v>08</v>
      </c>
      <c r="BD132">
        <f t="shared" si="43"/>
        <v>15</v>
      </c>
      <c r="BE132" t="str">
        <f t="shared" si="44"/>
        <v>D</v>
      </c>
      <c r="BF132" t="str">
        <f t="shared" si="49"/>
        <v>https://www.coreplan.io/app/ddh1-drilling/speewah-mining-speewah-fluorite-project-wa/plods/1665-250815D</v>
      </c>
      <c r="BG132" t="str">
        <f t="shared" si="45"/>
        <v>2025-08</v>
      </c>
    </row>
    <row r="133" spans="1:59">
      <c r="A133" s="510" t="str">
        <f>VLOOKUP(F133,'Tenement Lookup'!A:BH,60,FALSE)</f>
        <v>M 80/269</v>
      </c>
      <c r="B133" t="str">
        <f>VLOOKUP(F133,Purpose!$A$2:$B$334,2,FALSE)</f>
        <v>Met</v>
      </c>
      <c r="C133" s="151" t="s">
        <v>11</v>
      </c>
      <c r="D133" s="1">
        <f t="shared" si="62"/>
        <v>45884.71</v>
      </c>
      <c r="E133" t="s">
        <v>172</v>
      </c>
      <c r="F133" s="501" t="s">
        <v>458</v>
      </c>
      <c r="H133" s="4" t="s">
        <v>394</v>
      </c>
      <c r="I133" s="4">
        <v>3</v>
      </c>
      <c r="J133" s="122">
        <f t="shared" si="59"/>
        <v>390</v>
      </c>
      <c r="K133" s="21">
        <v>57.4</v>
      </c>
      <c r="L133" s="28">
        <v>81.599999999999994</v>
      </c>
      <c r="M133" s="22">
        <f t="shared" si="64"/>
        <v>24.199999999999996</v>
      </c>
      <c r="N133" s="30"/>
      <c r="O133" s="26"/>
      <c r="P133" s="31">
        <f t="shared" si="52"/>
        <v>0</v>
      </c>
      <c r="Q133" s="21"/>
      <c r="R133" s="28"/>
      <c r="S133" s="22">
        <f t="shared" si="55"/>
        <v>0</v>
      </c>
      <c r="T133" s="30"/>
      <c r="U133" s="26"/>
      <c r="V133" s="31">
        <f t="shared" si="53"/>
        <v>0</v>
      </c>
      <c r="W133" s="26">
        <f t="shared" si="47"/>
        <v>24.199999999999996</v>
      </c>
      <c r="X133" s="36">
        <f t="shared" si="57"/>
        <v>4234.9999999999991</v>
      </c>
      <c r="Y133" s="301">
        <f t="shared" si="56"/>
        <v>4485</v>
      </c>
      <c r="Z133" s="38">
        <v>1</v>
      </c>
      <c r="AA133" s="38"/>
      <c r="AB133" s="38"/>
      <c r="AC133" s="38"/>
      <c r="AD133" s="157">
        <f t="shared" si="48"/>
        <v>175</v>
      </c>
      <c r="AE133" s="29">
        <v>9.75</v>
      </c>
      <c r="AF133" s="29">
        <v>1.5</v>
      </c>
      <c r="AG133" s="40"/>
      <c r="AH133" s="44">
        <v>0.75</v>
      </c>
      <c r="AI133" s="13"/>
      <c r="AJ133" s="304"/>
      <c r="AK133" s="45"/>
      <c r="AL133" s="23"/>
      <c r="AM133" s="138"/>
      <c r="AN133" s="25">
        <f t="shared" ca="1" si="50"/>
        <v>12</v>
      </c>
      <c r="AO133" s="50"/>
      <c r="AP133" s="53">
        <f t="shared" si="37"/>
        <v>960</v>
      </c>
      <c r="AQ133" s="322">
        <v>1949.56</v>
      </c>
      <c r="AR133" s="324">
        <f t="shared" si="63"/>
        <v>1559.56</v>
      </c>
      <c r="AS133" s="375">
        <f t="shared" si="38"/>
        <v>7569.5599999999995</v>
      </c>
      <c r="AT133" s="375">
        <v>7569.56</v>
      </c>
      <c r="AU133" s="344">
        <f t="shared" si="39"/>
        <v>5.1522149239850143E-2</v>
      </c>
      <c r="AV133" s="18">
        <f>IF(F133="","",(SUM($AS$6:AS133)))</f>
        <v>779516.00999999966</v>
      </c>
      <c r="AW133" s="18">
        <f>IF(AS133&lt;&gt;"", SUMIFS($AS$10:AS133, $BG$10:BG133, BG133), "")</f>
        <v>187188.8</v>
      </c>
      <c r="AX133" s="123">
        <f t="shared" ca="1" si="60"/>
        <v>312.79173553719011</v>
      </c>
      <c r="AY133" s="124" t="str">
        <f t="shared" ca="1" si="40"/>
        <v>LINK</v>
      </c>
      <c r="AZ133" t="s">
        <v>466</v>
      </c>
      <c r="BA133" s="125" t="s">
        <v>332</v>
      </c>
      <c r="BB133" t="str">
        <f t="shared" si="41"/>
        <v>25</v>
      </c>
      <c r="BC133" t="str">
        <f t="shared" si="42"/>
        <v>08</v>
      </c>
      <c r="BD133">
        <f t="shared" si="43"/>
        <v>15</v>
      </c>
      <c r="BE133" t="str">
        <f t="shared" si="44"/>
        <v>N</v>
      </c>
      <c r="BF133" t="str">
        <f t="shared" si="49"/>
        <v>https://www.coreplan.io/app/ddh1-drilling/speewah-mining-speewah-fluorite-project-wa/plods/1665-250815N</v>
      </c>
      <c r="BG133" t="str">
        <f t="shared" si="45"/>
        <v>2025-08</v>
      </c>
    </row>
    <row r="134" spans="1:59">
      <c r="A134" s="510" t="str">
        <f>VLOOKUP(F134,'Tenement Lookup'!A:BH,60,FALSE)</f>
        <v>M 80/269</v>
      </c>
      <c r="B134" t="str">
        <f>VLOOKUP(F134,Purpose!$A$2:$B$334,2,FALSE)</f>
        <v>Met</v>
      </c>
      <c r="C134" s="151" t="s">
        <v>11</v>
      </c>
      <c r="D134" s="1">
        <f t="shared" si="62"/>
        <v>45885.21</v>
      </c>
      <c r="E134" t="s">
        <v>171</v>
      </c>
      <c r="F134" s="501" t="s">
        <v>458</v>
      </c>
      <c r="H134" s="4" t="s">
        <v>392</v>
      </c>
      <c r="I134" s="4">
        <v>3</v>
      </c>
      <c r="J134" s="122">
        <f t="shared" si="59"/>
        <v>390</v>
      </c>
      <c r="K134" s="21">
        <v>81.599999999999994</v>
      </c>
      <c r="L134" s="28">
        <v>100</v>
      </c>
      <c r="M134" s="22">
        <f t="shared" si="64"/>
        <v>18.400000000000006</v>
      </c>
      <c r="N134" s="30"/>
      <c r="O134" s="26"/>
      <c r="P134" s="31">
        <f t="shared" si="52"/>
        <v>0</v>
      </c>
      <c r="Q134" s="21"/>
      <c r="R134" s="28"/>
      <c r="S134" s="22">
        <f t="shared" si="55"/>
        <v>0</v>
      </c>
      <c r="T134" s="30"/>
      <c r="U134" s="26"/>
      <c r="V134" s="31">
        <f t="shared" si="53"/>
        <v>0</v>
      </c>
      <c r="W134" s="26">
        <f t="shared" si="47"/>
        <v>18.400000000000006</v>
      </c>
      <c r="X134" s="36">
        <f t="shared" si="57"/>
        <v>3220.0000000000009</v>
      </c>
      <c r="Y134" s="301">
        <f t="shared" ref="Y134:Y140" si="65">IF(F134&lt;&gt;"",IF(X134&lt;(AE134*$AE$2),(AE134*$AE$2),X134),"")</f>
        <v>3220.0000000000009</v>
      </c>
      <c r="Z134" s="38"/>
      <c r="AA134" s="38">
        <v>1</v>
      </c>
      <c r="AB134" s="38">
        <v>1</v>
      </c>
      <c r="AC134" s="38">
        <v>13122</v>
      </c>
      <c r="AD134" s="157">
        <f t="shared" si="48"/>
        <v>575</v>
      </c>
      <c r="AE134" s="29">
        <v>7</v>
      </c>
      <c r="AF134" s="29">
        <v>4.5</v>
      </c>
      <c r="AG134" s="40"/>
      <c r="AH134" s="44">
        <v>0.5</v>
      </c>
      <c r="AI134" s="13"/>
      <c r="AJ134" s="304"/>
      <c r="AK134" s="45"/>
      <c r="AL134" s="23"/>
      <c r="AM134" s="138"/>
      <c r="AN134" s="25">
        <f t="shared" ca="1" si="50"/>
        <v>12</v>
      </c>
      <c r="AO134" s="50"/>
      <c r="AP134" s="53">
        <f t="shared" ref="AP134:AP181" si="66">(AF134*$AF$2)+(AH134*$AH$2)+(AI134*$AI$2)</f>
        <v>2250</v>
      </c>
      <c r="AQ134" s="322">
        <v>390</v>
      </c>
      <c r="AR134" s="324">
        <f t="shared" si="63"/>
        <v>0</v>
      </c>
      <c r="AS134" s="375">
        <f t="shared" ref="AS134:AS151" si="67">SUM(Y134,AP134,AR134,AD134,J134)</f>
        <v>6435.0000000000009</v>
      </c>
      <c r="AT134" s="375">
        <v>6435</v>
      </c>
      <c r="AU134" s="344">
        <f t="shared" ref="AU134:AU197" si="68">IFERROR(J134/AS134,"")</f>
        <v>6.0606060606060601E-2</v>
      </c>
      <c r="AV134" s="18">
        <f>IF(F134="","",(SUM($AS$6:AS134)))</f>
        <v>785951.00999999966</v>
      </c>
      <c r="AW134" s="18">
        <f>IF(AS134&lt;&gt;"", SUMIFS($AS$10:AS134, $BG$10:BG134, BG134), "")</f>
        <v>193623.8</v>
      </c>
      <c r="AX134" s="123">
        <f t="shared" ca="1" si="60"/>
        <v>349.72826086956513</v>
      </c>
      <c r="AY134" s="124" t="str">
        <f t="shared" ref="AY134:AY197" ca="1" si="69">IF(D134&lt;TODAY(),HYPERLINK(BF134,"LINK"),"")</f>
        <v>LINK</v>
      </c>
      <c r="AZ134" t="s">
        <v>467</v>
      </c>
      <c r="BA134" s="125" t="s">
        <v>332</v>
      </c>
      <c r="BB134" t="str">
        <f t="shared" ref="BB134:BB197" si="70">RIGHT(YEAR(D134),2)</f>
        <v>25</v>
      </c>
      <c r="BC134" t="str">
        <f t="shared" ref="BC134:BC197" si="71">IF(LEN(MONTH(D134))=1,_xlfn.TEXTJOIN(,,"0",MONTH(D134)),MONTH(D134))</f>
        <v>08</v>
      </c>
      <c r="BD134">
        <f t="shared" ref="BD134:BD197" si="72">IF(LEN(DAY(D134))=1,_xlfn.TEXTJOIN(,,"0",DAY(D134)),DAY(D134))</f>
        <v>16</v>
      </c>
      <c r="BE134" t="str">
        <f t="shared" ref="BE134:BE197" si="73">LEFT(E134,1)</f>
        <v>D</v>
      </c>
      <c r="BF134" t="str">
        <f t="shared" si="49"/>
        <v>https://www.coreplan.io/app/ddh1-drilling/speewah-mining-speewah-fluorite-project-wa/plods/1665-250816D</v>
      </c>
      <c r="BG134" t="str">
        <f t="shared" ref="BG134:BG197" si="74">TEXT(D134, "yyyy-mm")</f>
        <v>2025-08</v>
      </c>
    </row>
    <row r="135" spans="1:59">
      <c r="A135" s="510" t="str">
        <f>VLOOKUP(F135,'Tenement Lookup'!A:BH,60,FALSE)</f>
        <v>M 80/269</v>
      </c>
      <c r="B135" t="str">
        <f>VLOOKUP(F135,Purpose!$A$2:$B$334,2,FALSE)</f>
        <v>Infill</v>
      </c>
      <c r="C135" s="151" t="s">
        <v>8</v>
      </c>
      <c r="D135" s="1">
        <f t="shared" si="62"/>
        <v>45885.71</v>
      </c>
      <c r="E135" t="s">
        <v>172</v>
      </c>
      <c r="F135" s="501" t="s">
        <v>468</v>
      </c>
      <c r="H135" s="4" t="s">
        <v>394</v>
      </c>
      <c r="I135" s="4">
        <v>3</v>
      </c>
      <c r="J135" s="122">
        <f t="shared" si="59"/>
        <v>390</v>
      </c>
      <c r="K135" s="21"/>
      <c r="L135" s="28"/>
      <c r="M135" s="22">
        <f t="shared" si="64"/>
        <v>0</v>
      </c>
      <c r="N135" s="30">
        <v>0</v>
      </c>
      <c r="O135" s="26">
        <v>12.4</v>
      </c>
      <c r="P135" s="31">
        <f t="shared" si="52"/>
        <v>12.4</v>
      </c>
      <c r="Q135" s="21"/>
      <c r="R135" s="28"/>
      <c r="S135" s="22">
        <f t="shared" si="55"/>
        <v>0</v>
      </c>
      <c r="T135" s="30"/>
      <c r="U135" s="26"/>
      <c r="V135" s="31">
        <f t="shared" si="53"/>
        <v>0</v>
      </c>
      <c r="W135" s="26">
        <f t="shared" ref="W135:W174" si="75">IFERROR(M135+P135+S135+V135,"")</f>
        <v>12.4</v>
      </c>
      <c r="X135" s="36">
        <f t="shared" si="57"/>
        <v>1674</v>
      </c>
      <c r="Y135" s="301">
        <f t="shared" si="65"/>
        <v>2530</v>
      </c>
      <c r="Z135" s="38">
        <v>1</v>
      </c>
      <c r="AA135" s="38"/>
      <c r="AB135" s="38"/>
      <c r="AC135" s="38"/>
      <c r="AD135" s="157">
        <f t="shared" ref="AD135:AD174" si="76">SUMPRODUCT(Z135:AB135,$Z$2:$AB$2)</f>
        <v>175</v>
      </c>
      <c r="AE135" s="29">
        <v>5.5</v>
      </c>
      <c r="AF135" s="29">
        <v>5.75</v>
      </c>
      <c r="AG135" s="40"/>
      <c r="AH135" s="44">
        <v>0.75</v>
      </c>
      <c r="AI135" s="13"/>
      <c r="AJ135" s="304"/>
      <c r="AK135" s="45"/>
      <c r="AL135" s="23"/>
      <c r="AM135" s="138"/>
      <c r="AN135" s="25">
        <f t="shared" ca="1" si="50"/>
        <v>12</v>
      </c>
      <c r="AO135" s="50"/>
      <c r="AP135" s="53">
        <f t="shared" si="66"/>
        <v>2915</v>
      </c>
      <c r="AQ135" s="322">
        <v>610</v>
      </c>
      <c r="AR135" s="324">
        <f t="shared" si="63"/>
        <v>220</v>
      </c>
      <c r="AS135" s="375">
        <f t="shared" si="67"/>
        <v>6230</v>
      </c>
      <c r="AT135" s="375">
        <v>6230</v>
      </c>
      <c r="AU135" s="344">
        <f t="shared" si="68"/>
        <v>6.2600321027287326E-2</v>
      </c>
      <c r="AV135" s="18">
        <f>IF(F135="","",(SUM($AS$6:AS135)))</f>
        <v>792181.00999999966</v>
      </c>
      <c r="AW135" s="18">
        <f>IF(AS135&lt;&gt;"", SUMIFS($AS$10:AS135, $BG$10:BG135, BG135), "")</f>
        <v>199853.8</v>
      </c>
      <c r="AX135" s="123">
        <f t="shared" ca="1" si="60"/>
        <v>502.41935483870964</v>
      </c>
      <c r="AY135" s="124" t="str">
        <f t="shared" ca="1" si="69"/>
        <v>LINK</v>
      </c>
      <c r="AZ135" t="s">
        <v>469</v>
      </c>
      <c r="BA135" s="125" t="s">
        <v>332</v>
      </c>
      <c r="BB135" t="str">
        <f t="shared" si="70"/>
        <v>25</v>
      </c>
      <c r="BC135" t="str">
        <f t="shared" si="71"/>
        <v>08</v>
      </c>
      <c r="BD135">
        <f t="shared" si="72"/>
        <v>16</v>
      </c>
      <c r="BE135" t="str">
        <f t="shared" si="73"/>
        <v>N</v>
      </c>
      <c r="BF135" t="str">
        <f t="shared" ref="BF135:BF198" si="77">CONCATENATE(BA135,BB135,BC135,BD135,BE135)</f>
        <v>https://www.coreplan.io/app/ddh1-drilling/speewah-mining-speewah-fluorite-project-wa/plods/1665-250816N</v>
      </c>
      <c r="BG135" t="str">
        <f t="shared" si="74"/>
        <v>2025-08</v>
      </c>
    </row>
    <row r="136" spans="1:59">
      <c r="A136" s="510" t="str">
        <f>VLOOKUP(F136,'Tenement Lookup'!A:BH,60,FALSE)</f>
        <v>M 80/269</v>
      </c>
      <c r="B136" t="str">
        <f>VLOOKUP(F136,Purpose!$A$2:$B$334,2,FALSE)</f>
        <v>Infill</v>
      </c>
      <c r="C136" s="151" t="s">
        <v>8</v>
      </c>
      <c r="D136" s="1">
        <f t="shared" si="62"/>
        <v>45886.21</v>
      </c>
      <c r="E136" t="s">
        <v>171</v>
      </c>
      <c r="F136" s="501" t="s">
        <v>468</v>
      </c>
      <c r="H136" s="4" t="s">
        <v>392</v>
      </c>
      <c r="I136" s="4">
        <v>3</v>
      </c>
      <c r="J136" s="122">
        <f t="shared" si="59"/>
        <v>390</v>
      </c>
      <c r="K136" s="21"/>
      <c r="L136" s="28"/>
      <c r="M136" s="22">
        <f t="shared" si="64"/>
        <v>0</v>
      </c>
      <c r="N136" s="30">
        <v>12.4</v>
      </c>
      <c r="O136" s="26">
        <v>42.8</v>
      </c>
      <c r="P136" s="31">
        <f t="shared" si="52"/>
        <v>30.4</v>
      </c>
      <c r="Q136" s="21"/>
      <c r="R136" s="28"/>
      <c r="S136" s="22">
        <f t="shared" si="55"/>
        <v>0</v>
      </c>
      <c r="T136" s="30"/>
      <c r="U136" s="26"/>
      <c r="V136" s="31">
        <f t="shared" si="53"/>
        <v>0</v>
      </c>
      <c r="W136" s="26">
        <f t="shared" si="75"/>
        <v>30.4</v>
      </c>
      <c r="X136" s="36">
        <f t="shared" si="57"/>
        <v>4104</v>
      </c>
      <c r="Y136" s="301">
        <f t="shared" si="65"/>
        <v>4370</v>
      </c>
      <c r="Z136" s="38"/>
      <c r="AA136" s="38">
        <v>1</v>
      </c>
      <c r="AB136" s="38">
        <v>1</v>
      </c>
      <c r="AC136" s="38">
        <v>13122</v>
      </c>
      <c r="AD136" s="157">
        <f t="shared" si="76"/>
        <v>575</v>
      </c>
      <c r="AE136" s="29">
        <v>9.5</v>
      </c>
      <c r="AF136" s="29">
        <v>1.5</v>
      </c>
      <c r="AG136" s="40"/>
      <c r="AH136" s="44">
        <v>0.5</v>
      </c>
      <c r="AI136" s="13"/>
      <c r="AJ136" s="304"/>
      <c r="AK136" s="45">
        <v>0.5</v>
      </c>
      <c r="AL136" s="23"/>
      <c r="AM136" s="138" t="s">
        <v>275</v>
      </c>
      <c r="AN136" s="25">
        <f t="shared" ca="1" si="50"/>
        <v>12</v>
      </c>
      <c r="AO136" s="50"/>
      <c r="AP136" s="53">
        <f t="shared" si="66"/>
        <v>870</v>
      </c>
      <c r="AQ136" s="322">
        <v>390</v>
      </c>
      <c r="AR136" s="324">
        <f t="shared" si="63"/>
        <v>0</v>
      </c>
      <c r="AS136" s="375">
        <f t="shared" si="67"/>
        <v>6205</v>
      </c>
      <c r="AT136" s="375">
        <v>6205</v>
      </c>
      <c r="AU136" s="344">
        <f t="shared" si="68"/>
        <v>6.2852538275584208E-2</v>
      </c>
      <c r="AV136" s="18">
        <f>IF(F136="","",(SUM($AS$6:AS136)))</f>
        <v>798386.00999999966</v>
      </c>
      <c r="AW136" s="18">
        <f>IF(AS136&lt;&gt;"", SUMIFS($AS$10:AS136, $BG$10:BG136, BG136), "")</f>
        <v>206058.8</v>
      </c>
      <c r="AX136" s="123">
        <f t="shared" ca="1" si="60"/>
        <v>204.11184210526318</v>
      </c>
      <c r="AY136" s="124" t="str">
        <f t="shared" ca="1" si="69"/>
        <v>LINK</v>
      </c>
      <c r="AZ136" t="s">
        <v>470</v>
      </c>
      <c r="BA136" s="125" t="s">
        <v>332</v>
      </c>
      <c r="BB136" t="str">
        <f t="shared" si="70"/>
        <v>25</v>
      </c>
      <c r="BC136" t="str">
        <f t="shared" si="71"/>
        <v>08</v>
      </c>
      <c r="BD136">
        <f t="shared" si="72"/>
        <v>17</v>
      </c>
      <c r="BE136" t="str">
        <f t="shared" si="73"/>
        <v>D</v>
      </c>
      <c r="BF136" t="str">
        <f t="shared" si="77"/>
        <v>https://www.coreplan.io/app/ddh1-drilling/speewah-mining-speewah-fluorite-project-wa/plods/1665-250817D</v>
      </c>
      <c r="BG136" t="str">
        <f t="shared" si="74"/>
        <v>2025-08</v>
      </c>
    </row>
    <row r="137" spans="1:59">
      <c r="A137" s="510" t="str">
        <f>VLOOKUP(F137,'Tenement Lookup'!A:BH,60,FALSE)</f>
        <v>M 80/269</v>
      </c>
      <c r="B137" t="str">
        <f>VLOOKUP(F137,Purpose!$A$2:$B$334,2,FALSE)</f>
        <v>Infill</v>
      </c>
      <c r="C137" s="151" t="s">
        <v>8</v>
      </c>
      <c r="D137" s="1">
        <f t="shared" si="62"/>
        <v>45886.71</v>
      </c>
      <c r="E137" t="s">
        <v>172</v>
      </c>
      <c r="F137" s="501" t="s">
        <v>468</v>
      </c>
      <c r="H137" s="4" t="s">
        <v>394</v>
      </c>
      <c r="I137" s="4">
        <v>3</v>
      </c>
      <c r="J137" s="122">
        <f t="shared" si="59"/>
        <v>390</v>
      </c>
      <c r="K137" s="21"/>
      <c r="L137" s="28"/>
      <c r="M137" s="22">
        <f t="shared" si="64"/>
        <v>0</v>
      </c>
      <c r="N137" s="30">
        <v>42.8</v>
      </c>
      <c r="O137" s="26">
        <v>78.8</v>
      </c>
      <c r="P137" s="31">
        <f t="shared" si="52"/>
        <v>36</v>
      </c>
      <c r="Q137" s="21"/>
      <c r="R137" s="28"/>
      <c r="S137" s="22">
        <f t="shared" si="55"/>
        <v>0</v>
      </c>
      <c r="T137" s="30"/>
      <c r="U137" s="26"/>
      <c r="V137" s="31">
        <f t="shared" si="53"/>
        <v>0</v>
      </c>
      <c r="W137" s="26">
        <f t="shared" si="75"/>
        <v>36</v>
      </c>
      <c r="X137" s="36">
        <f t="shared" si="57"/>
        <v>4860</v>
      </c>
      <c r="Y137" s="301">
        <f t="shared" si="65"/>
        <v>4860</v>
      </c>
      <c r="Z137" s="38">
        <v>1</v>
      </c>
      <c r="AA137" s="38"/>
      <c r="AB137" s="38"/>
      <c r="AC137" s="38"/>
      <c r="AD137" s="157">
        <f t="shared" si="76"/>
        <v>175</v>
      </c>
      <c r="AE137" s="29">
        <v>9.75</v>
      </c>
      <c r="AF137" s="29">
        <v>1</v>
      </c>
      <c r="AG137" s="40"/>
      <c r="AH137" s="44">
        <v>0.75</v>
      </c>
      <c r="AI137" s="13"/>
      <c r="AJ137" s="304"/>
      <c r="AK137" s="45">
        <v>0.5</v>
      </c>
      <c r="AL137" s="23"/>
      <c r="AM137" s="138" t="s">
        <v>275</v>
      </c>
      <c r="AN137" s="25">
        <f t="shared" ca="1" si="50"/>
        <v>12</v>
      </c>
      <c r="AO137" s="50"/>
      <c r="AP137" s="53">
        <f t="shared" si="66"/>
        <v>730</v>
      </c>
      <c r="AQ137" s="322">
        <v>508.56</v>
      </c>
      <c r="AR137" s="324">
        <f t="shared" si="63"/>
        <v>118.56</v>
      </c>
      <c r="AS137" s="375">
        <f t="shared" si="67"/>
        <v>6273.56</v>
      </c>
      <c r="AT137" s="375">
        <v>6273.56</v>
      </c>
      <c r="AU137" s="344">
        <f t="shared" si="68"/>
        <v>6.2165660326831969E-2</v>
      </c>
      <c r="AV137" s="18">
        <f>IF(F137="","",(SUM($AS$6:AS137)))</f>
        <v>804659.56999999972</v>
      </c>
      <c r="AW137" s="18">
        <f>IF(AS137&lt;&gt;"", SUMIFS($AS$10:AS137, $BG$10:BG137, BG137), "")</f>
        <v>212332.36</v>
      </c>
      <c r="AX137" s="123">
        <f t="shared" ca="1" si="60"/>
        <v>174.26555555555558</v>
      </c>
      <c r="AY137" s="124" t="str">
        <f t="shared" ca="1" si="69"/>
        <v>LINK</v>
      </c>
      <c r="AZ137" t="s">
        <v>471</v>
      </c>
      <c r="BA137" s="125" t="s">
        <v>332</v>
      </c>
      <c r="BB137" t="str">
        <f t="shared" si="70"/>
        <v>25</v>
      </c>
      <c r="BC137" t="str">
        <f t="shared" si="71"/>
        <v>08</v>
      </c>
      <c r="BD137">
        <f t="shared" si="72"/>
        <v>17</v>
      </c>
      <c r="BE137" t="str">
        <f t="shared" si="73"/>
        <v>N</v>
      </c>
      <c r="BF137" t="str">
        <f t="shared" si="77"/>
        <v>https://www.coreplan.io/app/ddh1-drilling/speewah-mining-speewah-fluorite-project-wa/plods/1665-250817N</v>
      </c>
      <c r="BG137" t="str">
        <f t="shared" si="74"/>
        <v>2025-08</v>
      </c>
    </row>
    <row r="138" spans="1:59">
      <c r="A138" s="510" t="str">
        <f>VLOOKUP(F138,'Tenement Lookup'!A:BH,60,FALSE)</f>
        <v>M 80/269</v>
      </c>
      <c r="B138" t="str">
        <f>VLOOKUP(F138,Purpose!$A$2:$B$334,2,FALSE)</f>
        <v>Infill</v>
      </c>
      <c r="C138" s="151" t="s">
        <v>8</v>
      </c>
      <c r="D138" s="1">
        <f t="shared" si="62"/>
        <v>45887.21</v>
      </c>
      <c r="E138" t="s">
        <v>171</v>
      </c>
      <c r="F138" s="501" t="s">
        <v>468</v>
      </c>
      <c r="H138" s="4" t="s">
        <v>392</v>
      </c>
      <c r="I138" s="4">
        <v>3</v>
      </c>
      <c r="J138" s="122">
        <f t="shared" si="59"/>
        <v>390</v>
      </c>
      <c r="K138" s="21"/>
      <c r="L138" s="28"/>
      <c r="M138" s="22">
        <f t="shared" si="64"/>
        <v>0</v>
      </c>
      <c r="N138" s="30">
        <v>78.8</v>
      </c>
      <c r="O138" s="26">
        <v>108.8</v>
      </c>
      <c r="P138" s="31">
        <f t="shared" si="52"/>
        <v>30</v>
      </c>
      <c r="Q138" s="21"/>
      <c r="R138" s="28"/>
      <c r="S138" s="22">
        <f t="shared" si="55"/>
        <v>0</v>
      </c>
      <c r="T138" s="30"/>
      <c r="U138" s="26"/>
      <c r="V138" s="31">
        <f t="shared" si="53"/>
        <v>0</v>
      </c>
      <c r="W138" s="26">
        <f t="shared" si="75"/>
        <v>30</v>
      </c>
      <c r="X138" s="36">
        <f t="shared" si="57"/>
        <v>4050</v>
      </c>
      <c r="Y138" s="301">
        <f t="shared" si="65"/>
        <v>4050</v>
      </c>
      <c r="Z138" s="38"/>
      <c r="AA138" s="38">
        <v>1</v>
      </c>
      <c r="AB138" s="38">
        <v>1</v>
      </c>
      <c r="AC138" s="38">
        <v>13122</v>
      </c>
      <c r="AD138" s="157">
        <f t="shared" si="76"/>
        <v>575</v>
      </c>
      <c r="AE138" s="29">
        <v>8.5</v>
      </c>
      <c r="AF138" s="29">
        <v>3</v>
      </c>
      <c r="AG138" s="40"/>
      <c r="AH138" s="44">
        <v>0.5</v>
      </c>
      <c r="AI138" s="13"/>
      <c r="AJ138" s="304"/>
      <c r="AK138" s="45"/>
      <c r="AL138" s="23"/>
      <c r="AM138" s="138"/>
      <c r="AN138" s="25">
        <f t="shared" ca="1" si="50"/>
        <v>12</v>
      </c>
      <c r="AO138" s="50"/>
      <c r="AP138" s="53">
        <f t="shared" si="66"/>
        <v>1560</v>
      </c>
      <c r="AQ138" s="322">
        <v>390</v>
      </c>
      <c r="AR138" s="324">
        <f t="shared" si="63"/>
        <v>0</v>
      </c>
      <c r="AS138" s="375">
        <f t="shared" si="67"/>
        <v>6575</v>
      </c>
      <c r="AT138" s="375">
        <v>6575</v>
      </c>
      <c r="AU138" s="344">
        <f t="shared" si="68"/>
        <v>5.9315589353612169E-2</v>
      </c>
      <c r="AV138" s="18">
        <f>IF(F138="","",(SUM($AS$6:AS138)))</f>
        <v>811234.56999999972</v>
      </c>
      <c r="AW138" s="18">
        <f>IF(AS138&lt;&gt;"", SUMIFS($AS$10:AS138, $BG$10:BG138, BG138), "")</f>
        <v>218907.36</v>
      </c>
      <c r="AX138" s="123">
        <f t="shared" ca="1" si="60"/>
        <v>219.16666666666666</v>
      </c>
      <c r="AY138" s="124" t="str">
        <f t="shared" ca="1" si="69"/>
        <v>LINK</v>
      </c>
      <c r="AZ138" t="s">
        <v>472</v>
      </c>
      <c r="BA138" s="125" t="s">
        <v>332</v>
      </c>
      <c r="BB138" t="str">
        <f t="shared" si="70"/>
        <v>25</v>
      </c>
      <c r="BC138" t="str">
        <f t="shared" si="71"/>
        <v>08</v>
      </c>
      <c r="BD138">
        <f t="shared" si="72"/>
        <v>18</v>
      </c>
      <c r="BE138" t="str">
        <f t="shared" si="73"/>
        <v>D</v>
      </c>
      <c r="BF138" t="str">
        <f t="shared" si="77"/>
        <v>https://www.coreplan.io/app/ddh1-drilling/speewah-mining-speewah-fluorite-project-wa/plods/1665-250818D</v>
      </c>
      <c r="BG138" t="str">
        <f t="shared" si="74"/>
        <v>2025-08</v>
      </c>
    </row>
    <row r="139" spans="1:59">
      <c r="A139" s="510" t="str">
        <f>VLOOKUP(F139,'Tenement Lookup'!A:BH,60,FALSE)</f>
        <v>M 80/269</v>
      </c>
      <c r="B139" t="str">
        <f>VLOOKUP(F139,Purpose!$A$2:$B$334,2,FALSE)</f>
        <v>Infill</v>
      </c>
      <c r="C139" s="151" t="s">
        <v>8</v>
      </c>
      <c r="D139" s="1">
        <f t="shared" si="62"/>
        <v>45887.71</v>
      </c>
      <c r="E139" t="s">
        <v>172</v>
      </c>
      <c r="F139" s="501" t="s">
        <v>468</v>
      </c>
      <c r="H139" s="4" t="s">
        <v>394</v>
      </c>
      <c r="I139" s="4">
        <v>3</v>
      </c>
      <c r="J139" s="122">
        <f t="shared" si="59"/>
        <v>390</v>
      </c>
      <c r="K139" s="21"/>
      <c r="L139" s="28"/>
      <c r="M139" s="22">
        <f t="shared" si="64"/>
        <v>0</v>
      </c>
      <c r="N139" s="30">
        <v>108.8</v>
      </c>
      <c r="O139" s="26">
        <v>144.80000000000001</v>
      </c>
      <c r="P139" s="31">
        <f t="shared" si="52"/>
        <v>36.000000000000014</v>
      </c>
      <c r="Q139" s="21"/>
      <c r="R139" s="28"/>
      <c r="S139" s="22">
        <f t="shared" si="55"/>
        <v>0</v>
      </c>
      <c r="T139" s="30"/>
      <c r="U139" s="26"/>
      <c r="V139" s="31">
        <f t="shared" si="53"/>
        <v>0</v>
      </c>
      <c r="W139" s="26">
        <f t="shared" si="75"/>
        <v>36.000000000000014</v>
      </c>
      <c r="X139" s="36">
        <f t="shared" si="57"/>
        <v>4860.0000000000018</v>
      </c>
      <c r="Y139" s="301">
        <f t="shared" si="65"/>
        <v>4860.0000000000018</v>
      </c>
      <c r="Z139" s="38">
        <v>1</v>
      </c>
      <c r="AA139" s="38"/>
      <c r="AB139" s="38"/>
      <c r="AC139" s="38"/>
      <c r="AD139" s="157">
        <f t="shared" si="76"/>
        <v>175</v>
      </c>
      <c r="AE139" s="29">
        <v>10.25</v>
      </c>
      <c r="AF139" s="29">
        <v>1</v>
      </c>
      <c r="AG139" s="40"/>
      <c r="AH139" s="44">
        <v>0.75</v>
      </c>
      <c r="AI139" s="13"/>
      <c r="AJ139" s="304"/>
      <c r="AK139" s="45"/>
      <c r="AL139" s="23"/>
      <c r="AM139" s="138"/>
      <c r="AN139" s="25">
        <f t="shared" ref="AN139:AN202" ca="1" si="78">IF(D139&gt;TODAY(),"",SUM(AE139:AF139,AH139:AL139))</f>
        <v>12</v>
      </c>
      <c r="AO139" s="50"/>
      <c r="AP139" s="53">
        <f t="shared" si="66"/>
        <v>730</v>
      </c>
      <c r="AQ139" s="322">
        <v>508.56</v>
      </c>
      <c r="AR139" s="324">
        <f t="shared" si="63"/>
        <v>118.56</v>
      </c>
      <c r="AS139" s="375">
        <f t="shared" si="67"/>
        <v>6273.5600000000022</v>
      </c>
      <c r="AT139" s="375">
        <v>6273.56</v>
      </c>
      <c r="AU139" s="344">
        <f t="shared" si="68"/>
        <v>6.2165660326831955E-2</v>
      </c>
      <c r="AV139" s="18">
        <f>IF(F139="","",(SUM($AS$6:AS139)))</f>
        <v>817508.12999999977</v>
      </c>
      <c r="AW139" s="18">
        <f>IF(AS139&lt;&gt;"", SUMIFS($AS$10:AS139, $BG$10:BG139, BG139), "")</f>
        <v>225180.91999999998</v>
      </c>
      <c r="AX139" s="123">
        <f t="shared" ref="AX139:AX165" ca="1" si="79">IFERROR(IF(AND(D139&gt;TODAY(),ISBLANK(H139)),"",IF(ISBLANK(AE139),"no drilling completed",AS139/(W139))),"")</f>
        <v>174.26555555555555</v>
      </c>
      <c r="AY139" s="124" t="str">
        <f t="shared" ca="1" si="69"/>
        <v>LINK</v>
      </c>
      <c r="AZ139" t="s">
        <v>473</v>
      </c>
      <c r="BA139" s="125" t="s">
        <v>332</v>
      </c>
      <c r="BB139" t="str">
        <f t="shared" si="70"/>
        <v>25</v>
      </c>
      <c r="BC139" t="str">
        <f t="shared" si="71"/>
        <v>08</v>
      </c>
      <c r="BD139">
        <f t="shared" si="72"/>
        <v>18</v>
      </c>
      <c r="BE139" t="str">
        <f t="shared" si="73"/>
        <v>N</v>
      </c>
      <c r="BF139" t="str">
        <f t="shared" si="77"/>
        <v>https://www.coreplan.io/app/ddh1-drilling/speewah-mining-speewah-fluorite-project-wa/plods/1665-250818N</v>
      </c>
      <c r="BG139" t="str">
        <f t="shared" si="74"/>
        <v>2025-08</v>
      </c>
    </row>
    <row r="140" spans="1:59">
      <c r="A140" s="510" t="str">
        <f>VLOOKUP(F140,'Tenement Lookup'!A:BH,60,FALSE)</f>
        <v>M 80/269</v>
      </c>
      <c r="B140" t="str">
        <f>VLOOKUP(F140,Purpose!$A$2:$B$334,2,FALSE)</f>
        <v>Infill</v>
      </c>
      <c r="C140" s="151" t="s">
        <v>8</v>
      </c>
      <c r="D140" s="1">
        <f t="shared" si="62"/>
        <v>45888.21</v>
      </c>
      <c r="E140" t="s">
        <v>171</v>
      </c>
      <c r="F140" s="501" t="s">
        <v>468</v>
      </c>
      <c r="H140" s="4" t="s">
        <v>392</v>
      </c>
      <c r="I140" s="4">
        <v>3</v>
      </c>
      <c r="J140" s="122">
        <f t="shared" si="59"/>
        <v>390</v>
      </c>
      <c r="K140" s="21"/>
      <c r="L140" s="28"/>
      <c r="M140" s="22">
        <f t="shared" si="64"/>
        <v>0</v>
      </c>
      <c r="N140" s="30">
        <v>144.80000000000001</v>
      </c>
      <c r="O140" s="26">
        <v>177.8</v>
      </c>
      <c r="P140" s="31">
        <f t="shared" si="52"/>
        <v>33</v>
      </c>
      <c r="Q140" s="21"/>
      <c r="R140" s="28"/>
      <c r="S140" s="22">
        <f t="shared" si="55"/>
        <v>0</v>
      </c>
      <c r="T140" s="30"/>
      <c r="U140" s="26"/>
      <c r="V140" s="31">
        <f t="shared" si="53"/>
        <v>0</v>
      </c>
      <c r="W140" s="26">
        <f t="shared" si="75"/>
        <v>33</v>
      </c>
      <c r="X140" s="36">
        <f t="shared" si="57"/>
        <v>4455</v>
      </c>
      <c r="Y140" s="301">
        <f t="shared" si="65"/>
        <v>4600</v>
      </c>
      <c r="Z140" s="38"/>
      <c r="AA140" s="38">
        <v>1</v>
      </c>
      <c r="AB140" s="38">
        <v>1</v>
      </c>
      <c r="AC140" s="38">
        <v>13122</v>
      </c>
      <c r="AD140" s="157">
        <f t="shared" si="76"/>
        <v>575</v>
      </c>
      <c r="AE140" s="29">
        <v>10</v>
      </c>
      <c r="AF140" s="29">
        <v>1.5</v>
      </c>
      <c r="AG140" s="40"/>
      <c r="AH140" s="44">
        <v>0.5</v>
      </c>
      <c r="AI140" s="13"/>
      <c r="AJ140" s="304"/>
      <c r="AK140" s="45"/>
      <c r="AL140" s="23"/>
      <c r="AM140" s="138"/>
      <c r="AN140" s="25">
        <f t="shared" ca="1" si="78"/>
        <v>12</v>
      </c>
      <c r="AO140" s="50"/>
      <c r="AP140" s="53">
        <f t="shared" si="66"/>
        <v>870</v>
      </c>
      <c r="AQ140" s="322">
        <v>507.93</v>
      </c>
      <c r="AR140" s="324">
        <f t="shared" si="63"/>
        <v>117.93</v>
      </c>
      <c r="AS140" s="375">
        <f t="shared" si="67"/>
        <v>6552.93</v>
      </c>
      <c r="AT140" s="375">
        <v>6552.93</v>
      </c>
      <c r="AU140" s="344">
        <f t="shared" si="68"/>
        <v>5.95153618305094E-2</v>
      </c>
      <c r="AV140" s="18">
        <f>IF(F140="","",(SUM($AS$6:AS140)))</f>
        <v>824061.05999999982</v>
      </c>
      <c r="AW140" s="18">
        <f>IF(AS140&lt;&gt;"", SUMIFS($AS$10:AS140, $BG$10:BG140, BG140), "")</f>
        <v>231733.84999999998</v>
      </c>
      <c r="AX140" s="123">
        <f t="shared" ca="1" si="79"/>
        <v>198.57363636363638</v>
      </c>
      <c r="AY140" s="124" t="str">
        <f t="shared" ca="1" si="69"/>
        <v>LINK</v>
      </c>
      <c r="AZ140" t="s">
        <v>474</v>
      </c>
      <c r="BA140" s="125" t="s">
        <v>332</v>
      </c>
      <c r="BB140" t="str">
        <f t="shared" si="70"/>
        <v>25</v>
      </c>
      <c r="BC140" t="str">
        <f t="shared" si="71"/>
        <v>08</v>
      </c>
      <c r="BD140">
        <f t="shared" si="72"/>
        <v>19</v>
      </c>
      <c r="BE140" t="str">
        <f t="shared" si="73"/>
        <v>D</v>
      </c>
      <c r="BF140" t="str">
        <f t="shared" si="77"/>
        <v>https://www.coreplan.io/app/ddh1-drilling/speewah-mining-speewah-fluorite-project-wa/plods/1665-250819D</v>
      </c>
      <c r="BG140" t="str">
        <f t="shared" si="74"/>
        <v>2025-08</v>
      </c>
    </row>
    <row r="141" spans="1:59">
      <c r="A141" s="510" t="str">
        <f>VLOOKUP(F141,'Tenement Lookup'!A:BH,60,FALSE)</f>
        <v>M 80/269</v>
      </c>
      <c r="B141" t="str">
        <f>VLOOKUP(F141,Purpose!$A$2:$B$334,2,FALSE)</f>
        <v>Infill</v>
      </c>
      <c r="C141" s="151" t="s">
        <v>8</v>
      </c>
      <c r="D141" s="1">
        <f t="shared" si="62"/>
        <v>45888.71</v>
      </c>
      <c r="E141" t="s">
        <v>172</v>
      </c>
      <c r="F141" s="501" t="s">
        <v>468</v>
      </c>
      <c r="H141" s="4" t="s">
        <v>394</v>
      </c>
      <c r="I141" s="4">
        <v>3</v>
      </c>
      <c r="J141" s="122">
        <f t="shared" si="59"/>
        <v>390</v>
      </c>
      <c r="K141" s="21"/>
      <c r="L141" s="28"/>
      <c r="M141" s="22">
        <f t="shared" si="64"/>
        <v>0</v>
      </c>
      <c r="N141" s="30">
        <v>177.8</v>
      </c>
      <c r="O141" s="26">
        <v>213.8</v>
      </c>
      <c r="P141" s="31">
        <f t="shared" si="52"/>
        <v>36</v>
      </c>
      <c r="Q141" s="21"/>
      <c r="R141" s="28"/>
      <c r="S141" s="22">
        <f t="shared" si="55"/>
        <v>0</v>
      </c>
      <c r="T141" s="30"/>
      <c r="U141" s="26"/>
      <c r="V141" s="31">
        <f t="shared" si="53"/>
        <v>0</v>
      </c>
      <c r="W141" s="26">
        <f t="shared" si="75"/>
        <v>36</v>
      </c>
      <c r="X141" s="36">
        <f>IFERROR((M141*$M$2)+(P141*$P$2)+(S141*$S$2)+(V141*$V$2),"")</f>
        <v>4860</v>
      </c>
      <c r="Y141" s="301">
        <v>5067</v>
      </c>
      <c r="Z141" s="38">
        <v>1</v>
      </c>
      <c r="AA141" s="38"/>
      <c r="AB141" s="38"/>
      <c r="AC141" s="38"/>
      <c r="AD141" s="157">
        <f t="shared" si="76"/>
        <v>175</v>
      </c>
      <c r="AE141" s="29">
        <v>10.25</v>
      </c>
      <c r="AF141" s="29">
        <v>1</v>
      </c>
      <c r="AG141" s="40"/>
      <c r="AH141" s="44">
        <v>0.75</v>
      </c>
      <c r="AI141" s="13"/>
      <c r="AJ141" s="304"/>
      <c r="AK141" s="45"/>
      <c r="AL141" s="23"/>
      <c r="AM141" s="138"/>
      <c r="AN141" s="25">
        <f t="shared" ca="1" si="78"/>
        <v>12</v>
      </c>
      <c r="AO141" s="50"/>
      <c r="AP141" s="53">
        <f t="shared" si="66"/>
        <v>730</v>
      </c>
      <c r="AQ141" s="322">
        <v>626.49</v>
      </c>
      <c r="AR141" s="324">
        <f t="shared" si="63"/>
        <v>236.49</v>
      </c>
      <c r="AS141" s="375">
        <f t="shared" si="67"/>
        <v>6598.49</v>
      </c>
      <c r="AT141" s="375">
        <v>6598.49</v>
      </c>
      <c r="AU141" s="344">
        <f t="shared" si="68"/>
        <v>5.9104431468411711E-2</v>
      </c>
      <c r="AV141" s="18">
        <f>IF(F141="","",(SUM($AS$6:AS141)))</f>
        <v>830659.54999999981</v>
      </c>
      <c r="AW141" s="18">
        <f>IF(AS141&lt;&gt;"", SUMIFS($AS$10:AS141, $BG$10:BG141, BG141), "")</f>
        <v>238332.33999999997</v>
      </c>
      <c r="AX141" s="123">
        <f t="shared" ca="1" si="79"/>
        <v>183.29138888888889</v>
      </c>
      <c r="AY141" s="124" t="str">
        <f t="shared" ca="1" si="69"/>
        <v>LINK</v>
      </c>
      <c r="AZ141" t="s">
        <v>473</v>
      </c>
      <c r="BA141" s="125" t="s">
        <v>332</v>
      </c>
      <c r="BB141" t="str">
        <f t="shared" si="70"/>
        <v>25</v>
      </c>
      <c r="BC141" t="str">
        <f t="shared" si="71"/>
        <v>08</v>
      </c>
      <c r="BD141">
        <f t="shared" si="72"/>
        <v>19</v>
      </c>
      <c r="BE141" t="str">
        <f t="shared" si="73"/>
        <v>N</v>
      </c>
      <c r="BF141" t="str">
        <f t="shared" si="77"/>
        <v>https://www.coreplan.io/app/ddh1-drilling/speewah-mining-speewah-fluorite-project-wa/plods/1665-250819N</v>
      </c>
      <c r="BG141" t="str">
        <f t="shared" si="74"/>
        <v>2025-08</v>
      </c>
    </row>
    <row r="142" spans="1:59">
      <c r="A142" s="510" t="str">
        <f>VLOOKUP(F142,'Tenement Lookup'!A:BH,60,FALSE)</f>
        <v>M 80/269</v>
      </c>
      <c r="B142" t="str">
        <f>VLOOKUP(F142,Purpose!$A$2:$B$334,2,FALSE)</f>
        <v>Infill</v>
      </c>
      <c r="C142" s="151" t="s">
        <v>8</v>
      </c>
      <c r="D142" s="1">
        <f t="shared" si="62"/>
        <v>45889.21</v>
      </c>
      <c r="E142" t="s">
        <v>171</v>
      </c>
      <c r="F142" s="501" t="s">
        <v>468</v>
      </c>
      <c r="H142" s="4" t="s">
        <v>392</v>
      </c>
      <c r="I142" s="4">
        <v>3</v>
      </c>
      <c r="J142" s="122">
        <f t="shared" si="59"/>
        <v>390</v>
      </c>
      <c r="K142" s="21"/>
      <c r="L142" s="28"/>
      <c r="M142" s="22">
        <f t="shared" si="64"/>
        <v>0</v>
      </c>
      <c r="N142" s="30">
        <v>213.8</v>
      </c>
      <c r="O142" s="26">
        <v>246.8</v>
      </c>
      <c r="P142" s="31">
        <f t="shared" si="52"/>
        <v>33</v>
      </c>
      <c r="Q142" s="21"/>
      <c r="R142" s="28"/>
      <c r="S142" s="22">
        <f t="shared" si="55"/>
        <v>0</v>
      </c>
      <c r="T142" s="30"/>
      <c r="U142" s="26"/>
      <c r="V142" s="31">
        <f t="shared" si="53"/>
        <v>0</v>
      </c>
      <c r="W142" s="26">
        <f t="shared" si="75"/>
        <v>33</v>
      </c>
      <c r="X142" s="36">
        <f t="shared" si="57"/>
        <v>4455</v>
      </c>
      <c r="Y142" s="301">
        <v>4950</v>
      </c>
      <c r="Z142" s="38"/>
      <c r="AA142" s="38">
        <v>1</v>
      </c>
      <c r="AB142" s="38">
        <v>1</v>
      </c>
      <c r="AC142" s="38">
        <v>13122</v>
      </c>
      <c r="AD142" s="157">
        <f t="shared" si="76"/>
        <v>575</v>
      </c>
      <c r="AE142" s="29">
        <v>10</v>
      </c>
      <c r="AF142" s="29">
        <v>1.5</v>
      </c>
      <c r="AG142" s="40"/>
      <c r="AH142" s="44">
        <v>0.5</v>
      </c>
      <c r="AI142" s="13"/>
      <c r="AJ142" s="304"/>
      <c r="AK142" s="45"/>
      <c r="AL142" s="23"/>
      <c r="AM142" s="138"/>
      <c r="AN142" s="25">
        <f t="shared" ca="1" si="78"/>
        <v>12</v>
      </c>
      <c r="AO142" s="50"/>
      <c r="AP142" s="53">
        <f t="shared" si="66"/>
        <v>870</v>
      </c>
      <c r="AQ142" s="322">
        <v>507.93</v>
      </c>
      <c r="AR142" s="324">
        <f t="shared" si="63"/>
        <v>117.93</v>
      </c>
      <c r="AS142" s="375">
        <f t="shared" si="67"/>
        <v>6902.93</v>
      </c>
      <c r="AT142" s="375">
        <v>6902.93</v>
      </c>
      <c r="AU142" s="344">
        <f t="shared" si="68"/>
        <v>5.6497748057708824E-2</v>
      </c>
      <c r="AV142" s="18">
        <f>IF(F142="","",(SUM($AS$6:AS142)))</f>
        <v>837562.47999999986</v>
      </c>
      <c r="AW142" s="18">
        <f>IF(AS142&lt;&gt;"", SUMIFS($AS$10:AS142, $BG$10:BG142, BG142), "")</f>
        <v>245235.26999999996</v>
      </c>
      <c r="AX142" s="123">
        <f t="shared" ca="1" si="79"/>
        <v>209.17969696969698</v>
      </c>
      <c r="AY142" s="124" t="str">
        <f t="shared" ca="1" si="69"/>
        <v>LINK</v>
      </c>
      <c r="AZ142" t="s">
        <v>475</v>
      </c>
      <c r="BA142" s="125" t="s">
        <v>332</v>
      </c>
      <c r="BB142" t="str">
        <f t="shared" si="70"/>
        <v>25</v>
      </c>
      <c r="BC142" t="str">
        <f t="shared" si="71"/>
        <v>08</v>
      </c>
      <c r="BD142">
        <f t="shared" si="72"/>
        <v>20</v>
      </c>
      <c r="BE142" t="str">
        <f t="shared" si="73"/>
        <v>D</v>
      </c>
      <c r="BF142" t="str">
        <f t="shared" si="77"/>
        <v>https://www.coreplan.io/app/ddh1-drilling/speewah-mining-speewah-fluorite-project-wa/plods/1665-250820D</v>
      </c>
      <c r="BG142" t="str">
        <f t="shared" si="74"/>
        <v>2025-08</v>
      </c>
    </row>
    <row r="143" spans="1:59">
      <c r="A143" s="510" t="str">
        <f>VLOOKUP(F143,'Tenement Lookup'!A:BH,60,FALSE)</f>
        <v>M 80/268</v>
      </c>
      <c r="B143" t="str">
        <f>VLOOKUP(F143,Purpose!$A$2:$B$334,2,FALSE)</f>
        <v>G Vein DD</v>
      </c>
      <c r="C143" s="151" t="s">
        <v>8</v>
      </c>
      <c r="D143" s="1">
        <f t="shared" si="62"/>
        <v>45889.71</v>
      </c>
      <c r="E143" t="s">
        <v>172</v>
      </c>
      <c r="F143" s="501" t="s">
        <v>476</v>
      </c>
      <c r="H143" s="4" t="s">
        <v>394</v>
      </c>
      <c r="I143" s="4">
        <v>3</v>
      </c>
      <c r="J143" s="122">
        <f t="shared" si="59"/>
        <v>390</v>
      </c>
      <c r="K143" s="21"/>
      <c r="L143" s="28"/>
      <c r="M143" s="22">
        <f t="shared" si="64"/>
        <v>0</v>
      </c>
      <c r="N143" s="30"/>
      <c r="O143" s="26"/>
      <c r="P143" s="31">
        <f t="shared" si="52"/>
        <v>0</v>
      </c>
      <c r="Q143" s="21"/>
      <c r="R143" s="28"/>
      <c r="S143" s="22">
        <f t="shared" si="55"/>
        <v>0</v>
      </c>
      <c r="T143" s="30"/>
      <c r="U143" s="26"/>
      <c r="V143" s="31">
        <f t="shared" si="53"/>
        <v>0</v>
      </c>
      <c r="W143" s="26">
        <f t="shared" si="75"/>
        <v>0</v>
      </c>
      <c r="X143" s="36">
        <f t="shared" si="57"/>
        <v>0</v>
      </c>
      <c r="Y143" s="301">
        <f t="shared" ref="Y143:Y154" si="80">IF(F143&lt;&gt;"",IF(X143&lt;(AE143*$AE$2),(AE143*$AE$2),X143),"")</f>
        <v>0</v>
      </c>
      <c r="Z143" s="38">
        <v>1</v>
      </c>
      <c r="AA143" s="38"/>
      <c r="AB143" s="38"/>
      <c r="AC143" s="38"/>
      <c r="AD143" s="157">
        <f t="shared" si="76"/>
        <v>175</v>
      </c>
      <c r="AE143" s="29"/>
      <c r="AF143" s="29">
        <v>11.25</v>
      </c>
      <c r="AG143" s="40"/>
      <c r="AH143" s="44">
        <v>0.75</v>
      </c>
      <c r="AI143" s="13"/>
      <c r="AJ143" s="304"/>
      <c r="AK143" s="45"/>
      <c r="AL143" s="23"/>
      <c r="AM143" s="138"/>
      <c r="AN143" s="25">
        <f t="shared" ca="1" si="78"/>
        <v>12</v>
      </c>
      <c r="AO143" s="50"/>
      <c r="AP143" s="53">
        <f t="shared" si="66"/>
        <v>5445</v>
      </c>
      <c r="AQ143" s="322">
        <v>1151</v>
      </c>
      <c r="AR143" s="324">
        <f t="shared" si="63"/>
        <v>761</v>
      </c>
      <c r="AS143" s="375">
        <f t="shared" si="67"/>
        <v>6771</v>
      </c>
      <c r="AT143" s="375">
        <v>6771</v>
      </c>
      <c r="AU143" s="344">
        <f t="shared" si="68"/>
        <v>5.7598582188746125E-2</v>
      </c>
      <c r="AV143" s="18">
        <f>IF(F143="","",(SUM($AS$6:AS143)))</f>
        <v>844333.47999999986</v>
      </c>
      <c r="AW143" s="18">
        <f>IF(AS143&lt;&gt;"", SUMIFS($AS$10:AS143, $BG$10:BG143, BG143), "")</f>
        <v>252006.26999999996</v>
      </c>
      <c r="AX143" s="123" t="str">
        <f t="shared" ca="1" si="79"/>
        <v>no drilling completed</v>
      </c>
      <c r="AY143" s="124" t="str">
        <f t="shared" ca="1" si="69"/>
        <v>LINK</v>
      </c>
      <c r="AZ143" t="s">
        <v>477</v>
      </c>
      <c r="BA143" s="125" t="s">
        <v>332</v>
      </c>
      <c r="BB143" t="str">
        <f t="shared" si="70"/>
        <v>25</v>
      </c>
      <c r="BC143" t="str">
        <f t="shared" si="71"/>
        <v>08</v>
      </c>
      <c r="BD143">
        <f t="shared" si="72"/>
        <v>20</v>
      </c>
      <c r="BE143" t="str">
        <f t="shared" si="73"/>
        <v>N</v>
      </c>
      <c r="BF143" t="str">
        <f t="shared" si="77"/>
        <v>https://www.coreplan.io/app/ddh1-drilling/speewah-mining-speewah-fluorite-project-wa/plods/1665-250820N</v>
      </c>
      <c r="BG143" t="str">
        <f t="shared" si="74"/>
        <v>2025-08</v>
      </c>
    </row>
    <row r="144" spans="1:59">
      <c r="A144" s="510" t="str">
        <f>VLOOKUP(F144,'Tenement Lookup'!A:BH,60,FALSE)</f>
        <v>M 80/268</v>
      </c>
      <c r="B144" t="str">
        <f>VLOOKUP(F144,Purpose!$A$2:$B$334,2,FALSE)</f>
        <v>G Vein DD</v>
      </c>
      <c r="C144" s="151" t="s">
        <v>8</v>
      </c>
      <c r="D144" s="1">
        <f t="shared" si="62"/>
        <v>45890.21</v>
      </c>
      <c r="E144" t="s">
        <v>171</v>
      </c>
      <c r="F144" s="501" t="s">
        <v>476</v>
      </c>
      <c r="H144" s="4" t="s">
        <v>392</v>
      </c>
      <c r="I144" s="4">
        <v>3</v>
      </c>
      <c r="J144" s="122">
        <f t="shared" si="59"/>
        <v>390</v>
      </c>
      <c r="K144" s="21"/>
      <c r="L144" s="28"/>
      <c r="M144" s="22">
        <f t="shared" si="64"/>
        <v>0</v>
      </c>
      <c r="N144" s="30">
        <v>0</v>
      </c>
      <c r="O144" s="26">
        <v>21.5</v>
      </c>
      <c r="P144" s="31">
        <f t="shared" ref="P144:P207" si="81">IF(ISBLANK(N144),,O144-N144)</f>
        <v>21.5</v>
      </c>
      <c r="Q144" s="21"/>
      <c r="R144" s="28"/>
      <c r="S144" s="22">
        <f t="shared" si="55"/>
        <v>0</v>
      </c>
      <c r="T144" s="30"/>
      <c r="U144" s="26"/>
      <c r="V144" s="31">
        <f t="shared" si="53"/>
        <v>0</v>
      </c>
      <c r="W144" s="26">
        <f t="shared" si="75"/>
        <v>21.5</v>
      </c>
      <c r="X144" s="36">
        <f t="shared" si="57"/>
        <v>2902.5</v>
      </c>
      <c r="Y144" s="301">
        <f t="shared" si="80"/>
        <v>4140</v>
      </c>
      <c r="Z144" s="38"/>
      <c r="AA144" s="38">
        <v>1</v>
      </c>
      <c r="AB144" s="38">
        <v>1</v>
      </c>
      <c r="AC144" s="38">
        <v>13122</v>
      </c>
      <c r="AD144" s="157">
        <f t="shared" si="76"/>
        <v>575</v>
      </c>
      <c r="AE144" s="29">
        <v>9</v>
      </c>
      <c r="AF144" s="29">
        <v>2.5</v>
      </c>
      <c r="AG144" s="40"/>
      <c r="AH144" s="44">
        <v>0.5</v>
      </c>
      <c r="AI144" s="13"/>
      <c r="AJ144" s="304"/>
      <c r="AK144" s="45"/>
      <c r="AL144" s="23"/>
      <c r="AM144" s="138"/>
      <c r="AN144" s="25">
        <f t="shared" ca="1" si="78"/>
        <v>12</v>
      </c>
      <c r="AO144" s="50"/>
      <c r="AP144" s="53">
        <f t="shared" si="66"/>
        <v>1330</v>
      </c>
      <c r="AQ144" s="322">
        <v>798.42</v>
      </c>
      <c r="AR144" s="324">
        <f t="shared" si="63"/>
        <v>408.41999999999996</v>
      </c>
      <c r="AS144" s="375">
        <f t="shared" si="67"/>
        <v>6843.42</v>
      </c>
      <c r="AT144" s="375">
        <v>6843.42</v>
      </c>
      <c r="AU144" s="344">
        <f t="shared" si="68"/>
        <v>5.6989049334981633E-2</v>
      </c>
      <c r="AV144" s="18">
        <f>IF(F144="","",(SUM($AS$6:AS144)))</f>
        <v>851176.89999999991</v>
      </c>
      <c r="AW144" s="18">
        <f>IF(AS144&lt;&gt;"", SUMIFS($AS$10:AS144, $BG$10:BG144, BG144), "")</f>
        <v>258849.68999999997</v>
      </c>
      <c r="AX144" s="123">
        <f t="shared" ca="1" si="79"/>
        <v>318.2986046511628</v>
      </c>
      <c r="AY144" s="124" t="str">
        <f t="shared" ca="1" si="69"/>
        <v>LINK</v>
      </c>
      <c r="AZ144" t="s">
        <v>478</v>
      </c>
      <c r="BA144" s="125" t="s">
        <v>332</v>
      </c>
      <c r="BB144" t="str">
        <f t="shared" si="70"/>
        <v>25</v>
      </c>
      <c r="BC144" t="str">
        <f t="shared" si="71"/>
        <v>08</v>
      </c>
      <c r="BD144">
        <f t="shared" si="72"/>
        <v>21</v>
      </c>
      <c r="BE144" t="str">
        <f t="shared" si="73"/>
        <v>D</v>
      </c>
      <c r="BF144" t="str">
        <f t="shared" si="77"/>
        <v>https://www.coreplan.io/app/ddh1-drilling/speewah-mining-speewah-fluorite-project-wa/plods/1665-250821D</v>
      </c>
      <c r="BG144" t="str">
        <f t="shared" si="74"/>
        <v>2025-08</v>
      </c>
    </row>
    <row r="145" spans="1:59">
      <c r="A145" s="510" t="str">
        <f>VLOOKUP(F145,'Tenement Lookup'!A:BH,60,FALSE)</f>
        <v>M 80/268</v>
      </c>
      <c r="B145" t="str">
        <f>VLOOKUP(F145,Purpose!$A$2:$B$334,2,FALSE)</f>
        <v>G Vein DD</v>
      </c>
      <c r="C145" s="151" t="s">
        <v>8</v>
      </c>
      <c r="D145" s="1">
        <f t="shared" si="62"/>
        <v>45890.71</v>
      </c>
      <c r="E145" t="s">
        <v>172</v>
      </c>
      <c r="F145" s="501" t="s">
        <v>476</v>
      </c>
      <c r="H145" s="4" t="s">
        <v>394</v>
      </c>
      <c r="I145" s="4">
        <v>3</v>
      </c>
      <c r="J145" s="122">
        <f t="shared" si="59"/>
        <v>390</v>
      </c>
      <c r="K145" s="21"/>
      <c r="L145" s="28"/>
      <c r="M145" s="22">
        <f t="shared" si="64"/>
        <v>0</v>
      </c>
      <c r="N145" s="30">
        <v>21.5</v>
      </c>
      <c r="O145" s="26">
        <v>57.5</v>
      </c>
      <c r="P145" s="31">
        <f t="shared" si="81"/>
        <v>36</v>
      </c>
      <c r="Q145" s="21"/>
      <c r="R145" s="28"/>
      <c r="S145" s="22">
        <f t="shared" si="55"/>
        <v>0</v>
      </c>
      <c r="T145" s="30"/>
      <c r="U145" s="26"/>
      <c r="V145" s="31">
        <f t="shared" si="53"/>
        <v>0</v>
      </c>
      <c r="W145" s="26">
        <f t="shared" si="75"/>
        <v>36</v>
      </c>
      <c r="X145" s="36">
        <f t="shared" si="57"/>
        <v>4860</v>
      </c>
      <c r="Y145" s="301">
        <f t="shared" si="80"/>
        <v>4860</v>
      </c>
      <c r="Z145" s="38">
        <v>1</v>
      </c>
      <c r="AA145" s="38"/>
      <c r="AB145" s="38"/>
      <c r="AC145" s="38"/>
      <c r="AD145" s="157">
        <f t="shared" si="76"/>
        <v>175</v>
      </c>
      <c r="AE145" s="29">
        <v>10</v>
      </c>
      <c r="AF145" s="29">
        <v>1.25</v>
      </c>
      <c r="AG145" s="40"/>
      <c r="AH145" s="44">
        <v>0.75</v>
      </c>
      <c r="AI145" s="13"/>
      <c r="AJ145" s="304"/>
      <c r="AK145" s="45"/>
      <c r="AL145" s="23"/>
      <c r="AM145" s="138"/>
      <c r="AN145" s="25">
        <f t="shared" ca="1" si="78"/>
        <v>12</v>
      </c>
      <c r="AO145" s="50"/>
      <c r="AP145" s="53">
        <f t="shared" si="66"/>
        <v>845</v>
      </c>
      <c r="AQ145" s="322">
        <v>541.79</v>
      </c>
      <c r="AR145" s="324">
        <f t="shared" si="63"/>
        <v>151.78999999999996</v>
      </c>
      <c r="AS145" s="375">
        <f t="shared" si="67"/>
        <v>6421.79</v>
      </c>
      <c r="AT145" s="375">
        <v>6421.79</v>
      </c>
      <c r="AU145" s="344">
        <f t="shared" si="68"/>
        <v>6.0730730839843719E-2</v>
      </c>
      <c r="AV145" s="18">
        <f>IF(F145="","",(SUM($AS$6:AS145)))</f>
        <v>857598.69</v>
      </c>
      <c r="AW145" s="18">
        <f>IF(AS145&lt;&gt;"", SUMIFS($AS$10:AS145, $BG$10:BG145, BG145), "")</f>
        <v>265271.48</v>
      </c>
      <c r="AX145" s="123">
        <f t="shared" ca="1" si="79"/>
        <v>178.38305555555556</v>
      </c>
      <c r="AY145" s="124" t="str">
        <f t="shared" ca="1" si="69"/>
        <v>LINK</v>
      </c>
      <c r="AZ145" t="s">
        <v>479</v>
      </c>
      <c r="BA145" s="125" t="s">
        <v>332</v>
      </c>
      <c r="BB145" t="str">
        <f t="shared" si="70"/>
        <v>25</v>
      </c>
      <c r="BC145" t="str">
        <f t="shared" si="71"/>
        <v>08</v>
      </c>
      <c r="BD145">
        <f t="shared" si="72"/>
        <v>21</v>
      </c>
      <c r="BE145" t="str">
        <f t="shared" si="73"/>
        <v>N</v>
      </c>
      <c r="BF145" t="str">
        <f t="shared" si="77"/>
        <v>https://www.coreplan.io/app/ddh1-drilling/speewah-mining-speewah-fluorite-project-wa/plods/1665-250821N</v>
      </c>
      <c r="BG145" t="str">
        <f t="shared" si="74"/>
        <v>2025-08</v>
      </c>
    </row>
    <row r="146" spans="1:59">
      <c r="A146" s="510" t="str">
        <f>VLOOKUP(F146,'Tenement Lookup'!A:BH,60,FALSE)</f>
        <v>M 80/268</v>
      </c>
      <c r="B146" t="str">
        <f>VLOOKUP(F146,Purpose!$A$2:$B$334,2,FALSE)</f>
        <v>G Vein DD</v>
      </c>
      <c r="C146" s="151" t="s">
        <v>8</v>
      </c>
      <c r="D146" s="1">
        <f t="shared" si="62"/>
        <v>45891.21</v>
      </c>
      <c r="E146" t="s">
        <v>171</v>
      </c>
      <c r="F146" s="501" t="s">
        <v>476</v>
      </c>
      <c r="H146" s="4" t="s">
        <v>392</v>
      </c>
      <c r="I146" s="4">
        <v>3</v>
      </c>
      <c r="J146" s="122">
        <f t="shared" si="59"/>
        <v>390</v>
      </c>
      <c r="K146" s="21"/>
      <c r="L146" s="28"/>
      <c r="M146" s="22">
        <f t="shared" si="64"/>
        <v>0</v>
      </c>
      <c r="N146" s="30">
        <v>57.5</v>
      </c>
      <c r="O146" s="26">
        <v>93.5</v>
      </c>
      <c r="P146" s="31">
        <f t="shared" si="81"/>
        <v>36</v>
      </c>
      <c r="Q146" s="21"/>
      <c r="R146" s="28"/>
      <c r="S146" s="22">
        <f t="shared" si="55"/>
        <v>0</v>
      </c>
      <c r="T146" s="30"/>
      <c r="U146" s="26"/>
      <c r="V146" s="31">
        <f t="shared" si="53"/>
        <v>0</v>
      </c>
      <c r="W146" s="26">
        <f t="shared" si="75"/>
        <v>36</v>
      </c>
      <c r="X146" s="36">
        <f t="shared" si="57"/>
        <v>4860</v>
      </c>
      <c r="Y146" s="301">
        <f t="shared" si="80"/>
        <v>4860</v>
      </c>
      <c r="Z146" s="38"/>
      <c r="AA146" s="38">
        <v>1</v>
      </c>
      <c r="AB146" s="38">
        <v>1</v>
      </c>
      <c r="AC146" s="38">
        <v>13122</v>
      </c>
      <c r="AD146" s="157">
        <f t="shared" si="76"/>
        <v>575</v>
      </c>
      <c r="AE146" s="29">
        <v>10</v>
      </c>
      <c r="AF146" s="29">
        <v>1.5</v>
      </c>
      <c r="AG146" s="40"/>
      <c r="AH146" s="44">
        <v>0.5</v>
      </c>
      <c r="AI146" s="13"/>
      <c r="AJ146" s="304"/>
      <c r="AK146" s="45"/>
      <c r="AL146" s="23"/>
      <c r="AM146" s="138"/>
      <c r="AN146" s="25">
        <f t="shared" ca="1" si="78"/>
        <v>12</v>
      </c>
      <c r="AO146" s="50"/>
      <c r="AP146" s="53">
        <f t="shared" si="66"/>
        <v>870</v>
      </c>
      <c r="AQ146" s="322">
        <v>507.93</v>
      </c>
      <c r="AR146" s="324">
        <f t="shared" si="63"/>
        <v>117.93</v>
      </c>
      <c r="AS146" s="375">
        <f t="shared" si="67"/>
        <v>6812.93</v>
      </c>
      <c r="AT146" s="375">
        <v>6812.93</v>
      </c>
      <c r="AU146" s="344">
        <f t="shared" si="68"/>
        <v>5.7244093216868512E-2</v>
      </c>
      <c r="AV146" s="18">
        <f>IF(F146="","",(SUM($AS$6:AS146)))</f>
        <v>864411.62</v>
      </c>
      <c r="AW146" s="18">
        <f>IF(AS146&lt;&gt;"", SUMIFS($AS$10:AS146, $BG$10:BG146, BG146), "")</f>
        <v>272084.40999999997</v>
      </c>
      <c r="AX146" s="123">
        <f t="shared" ca="1" si="79"/>
        <v>189.24805555555557</v>
      </c>
      <c r="AY146" s="124" t="str">
        <f t="shared" ca="1" si="69"/>
        <v>LINK</v>
      </c>
      <c r="AZ146" s="10" t="s">
        <v>480</v>
      </c>
      <c r="BA146" s="125" t="s">
        <v>332</v>
      </c>
      <c r="BB146" t="str">
        <f t="shared" si="70"/>
        <v>25</v>
      </c>
      <c r="BC146" t="str">
        <f t="shared" si="71"/>
        <v>08</v>
      </c>
      <c r="BD146">
        <f t="shared" si="72"/>
        <v>22</v>
      </c>
      <c r="BE146" t="str">
        <f t="shared" si="73"/>
        <v>D</v>
      </c>
      <c r="BF146" t="str">
        <f t="shared" si="77"/>
        <v>https://www.coreplan.io/app/ddh1-drilling/speewah-mining-speewah-fluorite-project-wa/plods/1665-250822D</v>
      </c>
      <c r="BG146" t="str">
        <f t="shared" si="74"/>
        <v>2025-08</v>
      </c>
    </row>
    <row r="147" spans="1:59">
      <c r="A147" s="510" t="str">
        <f>VLOOKUP(F147,'Tenement Lookup'!A:BH,60,FALSE)</f>
        <v>M 80/268</v>
      </c>
      <c r="B147" t="str">
        <f>VLOOKUP(F147,Purpose!$A$2:$B$334,2,FALSE)</f>
        <v>G Vein DD</v>
      </c>
      <c r="C147" s="151" t="s">
        <v>8</v>
      </c>
      <c r="D147" s="1">
        <f t="shared" si="62"/>
        <v>45891.71</v>
      </c>
      <c r="E147" t="s">
        <v>172</v>
      </c>
      <c r="F147" s="501" t="s">
        <v>476</v>
      </c>
      <c r="H147" s="4" t="s">
        <v>394</v>
      </c>
      <c r="I147" s="4">
        <v>3</v>
      </c>
      <c r="J147" s="122">
        <f t="shared" si="59"/>
        <v>390</v>
      </c>
      <c r="K147" s="21"/>
      <c r="L147" s="28"/>
      <c r="M147" s="22">
        <f t="shared" si="64"/>
        <v>0</v>
      </c>
      <c r="N147" s="30">
        <v>93.5</v>
      </c>
      <c r="O147" s="26">
        <v>110</v>
      </c>
      <c r="P147" s="31">
        <f t="shared" si="81"/>
        <v>16.5</v>
      </c>
      <c r="Q147" s="21"/>
      <c r="R147" s="28"/>
      <c r="S147" s="22">
        <f t="shared" si="55"/>
        <v>0</v>
      </c>
      <c r="T147" s="30"/>
      <c r="U147" s="26"/>
      <c r="V147" s="31">
        <f t="shared" si="53"/>
        <v>0</v>
      </c>
      <c r="W147" s="26">
        <f t="shared" si="75"/>
        <v>16.5</v>
      </c>
      <c r="X147" s="36">
        <f t="shared" si="57"/>
        <v>2227.5</v>
      </c>
      <c r="Y147" s="301">
        <f t="shared" si="80"/>
        <v>2300</v>
      </c>
      <c r="Z147" s="38">
        <v>1</v>
      </c>
      <c r="AA147" s="38"/>
      <c r="AB147" s="38"/>
      <c r="AC147" s="38"/>
      <c r="AD147" s="157">
        <f t="shared" si="76"/>
        <v>175</v>
      </c>
      <c r="AE147" s="29">
        <v>5</v>
      </c>
      <c r="AF147" s="29">
        <v>6.25</v>
      </c>
      <c r="AG147" s="40" t="s">
        <v>397</v>
      </c>
      <c r="AH147" s="44">
        <v>0.75</v>
      </c>
      <c r="AI147" s="13"/>
      <c r="AJ147" s="304"/>
      <c r="AK147" s="45"/>
      <c r="AL147" s="23"/>
      <c r="AM147" s="138"/>
      <c r="AN147" s="25">
        <f t="shared" ca="1" si="78"/>
        <v>12</v>
      </c>
      <c r="AO147" s="50"/>
      <c r="AP147" s="53">
        <f t="shared" si="66"/>
        <v>3145</v>
      </c>
      <c r="AQ147" s="322">
        <v>691</v>
      </c>
      <c r="AR147" s="324">
        <f t="shared" si="63"/>
        <v>301</v>
      </c>
      <c r="AS147" s="375">
        <f t="shared" si="67"/>
        <v>6311</v>
      </c>
      <c r="AT147" s="375">
        <v>6311</v>
      </c>
      <c r="AU147" s="344">
        <f t="shared" si="68"/>
        <v>6.1796862620820792E-2</v>
      </c>
      <c r="AV147" s="18">
        <f>IF(F147="","",(SUM($AS$6:AS147)))</f>
        <v>870722.62</v>
      </c>
      <c r="AW147" s="18">
        <f>IF(AS147&lt;&gt;"", SUMIFS($AS$10:AS147, $BG$10:BG147, BG147), "")</f>
        <v>278395.40999999997</v>
      </c>
      <c r="AX147" s="123">
        <f t="shared" ca="1" si="79"/>
        <v>382.4848484848485</v>
      </c>
      <c r="AY147" s="124" t="str">
        <f t="shared" ca="1" si="69"/>
        <v>LINK</v>
      </c>
      <c r="AZ147" s="10" t="s">
        <v>481</v>
      </c>
      <c r="BA147" s="125" t="s">
        <v>332</v>
      </c>
      <c r="BB147" t="str">
        <f t="shared" si="70"/>
        <v>25</v>
      </c>
      <c r="BC147" t="str">
        <f t="shared" si="71"/>
        <v>08</v>
      </c>
      <c r="BD147">
        <f t="shared" si="72"/>
        <v>22</v>
      </c>
      <c r="BE147" t="str">
        <f t="shared" si="73"/>
        <v>N</v>
      </c>
      <c r="BF147" t="str">
        <f t="shared" si="77"/>
        <v>https://www.coreplan.io/app/ddh1-drilling/speewah-mining-speewah-fluorite-project-wa/plods/1665-250822N</v>
      </c>
      <c r="BG147" t="str">
        <f t="shared" si="74"/>
        <v>2025-08</v>
      </c>
    </row>
    <row r="148" spans="1:59">
      <c r="A148" s="510" t="str">
        <f>VLOOKUP(F148,'Tenement Lookup'!A:BH,60,FALSE)</f>
        <v>M 80/269</v>
      </c>
      <c r="B148" t="str">
        <f>VLOOKUP(F148,Purpose!$A$2:$B$334,2,FALSE)</f>
        <v>G Vein DD</v>
      </c>
      <c r="C148" s="151" t="s">
        <v>8</v>
      </c>
      <c r="D148" s="1">
        <f t="shared" si="62"/>
        <v>45892.21</v>
      </c>
      <c r="E148" t="s">
        <v>171</v>
      </c>
      <c r="F148" s="501" t="s">
        <v>482</v>
      </c>
      <c r="H148" s="4" t="s">
        <v>392</v>
      </c>
      <c r="I148" s="4">
        <v>3</v>
      </c>
      <c r="J148" s="122">
        <f t="shared" si="59"/>
        <v>390</v>
      </c>
      <c r="K148" s="21"/>
      <c r="L148" s="28"/>
      <c r="M148" s="22">
        <f t="shared" si="64"/>
        <v>0</v>
      </c>
      <c r="N148" s="30">
        <v>0</v>
      </c>
      <c r="O148" s="26">
        <v>36.700000000000003</v>
      </c>
      <c r="P148" s="31">
        <f t="shared" si="81"/>
        <v>36.700000000000003</v>
      </c>
      <c r="Q148" s="21"/>
      <c r="R148" s="28"/>
      <c r="S148" s="22">
        <f t="shared" si="55"/>
        <v>0</v>
      </c>
      <c r="T148" s="30"/>
      <c r="U148" s="26"/>
      <c r="V148" s="31">
        <f t="shared" si="53"/>
        <v>0</v>
      </c>
      <c r="W148" s="26">
        <f t="shared" si="75"/>
        <v>36.700000000000003</v>
      </c>
      <c r="X148" s="36">
        <f t="shared" si="57"/>
        <v>4954.5</v>
      </c>
      <c r="Y148" s="301">
        <f t="shared" si="80"/>
        <v>4954.5</v>
      </c>
      <c r="Z148" s="38"/>
      <c r="AA148" s="38">
        <v>1</v>
      </c>
      <c r="AB148" s="38">
        <v>1</v>
      </c>
      <c r="AC148" s="38">
        <v>13122</v>
      </c>
      <c r="AD148" s="157">
        <f t="shared" si="76"/>
        <v>575</v>
      </c>
      <c r="AE148" s="29">
        <v>9.5</v>
      </c>
      <c r="AF148" s="29">
        <v>2</v>
      </c>
      <c r="AG148" s="40"/>
      <c r="AH148" s="44">
        <v>0.5</v>
      </c>
      <c r="AI148" s="13"/>
      <c r="AJ148" s="304"/>
      <c r="AK148" s="45"/>
      <c r="AL148" s="23"/>
      <c r="AM148" s="138"/>
      <c r="AN148" s="25">
        <f t="shared" ca="1" si="78"/>
        <v>12</v>
      </c>
      <c r="AO148" s="50"/>
      <c r="AP148" s="53">
        <f t="shared" si="66"/>
        <v>1100</v>
      </c>
      <c r="AQ148" s="322">
        <v>507.93</v>
      </c>
      <c r="AR148" s="324">
        <f t="shared" si="63"/>
        <v>117.93</v>
      </c>
      <c r="AS148" s="375">
        <f t="shared" si="67"/>
        <v>7137.43</v>
      </c>
      <c r="AT148" s="375">
        <v>7137.43</v>
      </c>
      <c r="AU148" s="344">
        <f t="shared" si="68"/>
        <v>5.4641516624331164E-2</v>
      </c>
      <c r="AV148" s="18">
        <f>IF(F148="","",(SUM($AS$6:AS148)))</f>
        <v>877860.05</v>
      </c>
      <c r="AW148" s="18">
        <f>IF(AS148&lt;&gt;"", SUMIFS($AS$10:AS148, $BG$10:BG148, BG148), "")</f>
        <v>285532.83999999997</v>
      </c>
      <c r="AX148" s="123">
        <f t="shared" ca="1" si="79"/>
        <v>194.48038147138965</v>
      </c>
      <c r="AY148" s="124" t="str">
        <f t="shared" ca="1" si="69"/>
        <v>LINK</v>
      </c>
      <c r="AZ148" t="s">
        <v>483</v>
      </c>
      <c r="BA148" s="125" t="s">
        <v>332</v>
      </c>
      <c r="BB148" t="str">
        <f t="shared" si="70"/>
        <v>25</v>
      </c>
      <c r="BC148" t="str">
        <f t="shared" si="71"/>
        <v>08</v>
      </c>
      <c r="BD148">
        <f t="shared" si="72"/>
        <v>23</v>
      </c>
      <c r="BE148" t="str">
        <f t="shared" si="73"/>
        <v>D</v>
      </c>
      <c r="BF148" t="str">
        <f t="shared" si="77"/>
        <v>https://www.coreplan.io/app/ddh1-drilling/speewah-mining-speewah-fluorite-project-wa/plods/1665-250823D</v>
      </c>
      <c r="BG148" t="str">
        <f t="shared" si="74"/>
        <v>2025-08</v>
      </c>
    </row>
    <row r="149" spans="1:59">
      <c r="A149" s="510" t="str">
        <f>VLOOKUP(F149,'Tenement Lookup'!A:BH,60,FALSE)</f>
        <v>M 80/269</v>
      </c>
      <c r="B149" t="str">
        <f>VLOOKUP(F149,Purpose!$A$2:$B$334,2,FALSE)</f>
        <v>G Vein DD</v>
      </c>
      <c r="C149" s="151" t="s">
        <v>8</v>
      </c>
      <c r="D149" s="1">
        <f t="shared" si="62"/>
        <v>45892.71</v>
      </c>
      <c r="E149" t="s">
        <v>172</v>
      </c>
      <c r="F149" s="501" t="s">
        <v>482</v>
      </c>
      <c r="H149" s="4" t="s">
        <v>394</v>
      </c>
      <c r="I149" s="4">
        <v>3</v>
      </c>
      <c r="J149" s="122">
        <f t="shared" si="59"/>
        <v>390</v>
      </c>
      <c r="K149" s="21"/>
      <c r="L149" s="28"/>
      <c r="M149" s="22">
        <f t="shared" si="64"/>
        <v>0</v>
      </c>
      <c r="N149" s="30">
        <v>36.700000000000003</v>
      </c>
      <c r="O149" s="26">
        <v>72.7</v>
      </c>
      <c r="P149" s="31">
        <f t="shared" si="81"/>
        <v>36</v>
      </c>
      <c r="Q149" s="21"/>
      <c r="R149" s="28"/>
      <c r="S149" s="22">
        <f t="shared" si="55"/>
        <v>0</v>
      </c>
      <c r="T149" s="30"/>
      <c r="U149" s="26"/>
      <c r="V149" s="31">
        <f t="shared" si="53"/>
        <v>0</v>
      </c>
      <c r="W149" s="26">
        <f t="shared" si="75"/>
        <v>36</v>
      </c>
      <c r="X149" s="36">
        <f t="shared" si="57"/>
        <v>4860</v>
      </c>
      <c r="Y149" s="301">
        <f t="shared" si="80"/>
        <v>4860</v>
      </c>
      <c r="Z149" s="38">
        <v>1</v>
      </c>
      <c r="AA149" s="38"/>
      <c r="AB149" s="38"/>
      <c r="AC149" s="38"/>
      <c r="AD149" s="157">
        <f t="shared" si="76"/>
        <v>175</v>
      </c>
      <c r="AE149" s="29">
        <v>10.25</v>
      </c>
      <c r="AF149" s="29">
        <v>1</v>
      </c>
      <c r="AG149" s="40"/>
      <c r="AH149" s="44">
        <v>0.75</v>
      </c>
      <c r="AI149" s="13"/>
      <c r="AJ149" s="304"/>
      <c r="AK149" s="45"/>
      <c r="AL149" s="23"/>
      <c r="AM149" s="138"/>
      <c r="AN149" s="25">
        <f t="shared" ca="1" si="78"/>
        <v>12</v>
      </c>
      <c r="AO149" s="50"/>
      <c r="AP149" s="53">
        <f t="shared" si="66"/>
        <v>730</v>
      </c>
      <c r="AQ149" s="322">
        <v>528.70000000000005</v>
      </c>
      <c r="AR149" s="324">
        <f t="shared" si="63"/>
        <v>138.70000000000005</v>
      </c>
      <c r="AS149" s="375">
        <f t="shared" si="67"/>
        <v>6293.7</v>
      </c>
      <c r="AT149" s="375">
        <v>6293.7</v>
      </c>
      <c r="AU149" s="344">
        <f t="shared" si="68"/>
        <v>6.19667286333953E-2</v>
      </c>
      <c r="AV149" s="18">
        <f>IF(F149="","",(SUM($AS$6:AS149)))</f>
        <v>884153.75</v>
      </c>
      <c r="AW149" s="18">
        <f>IF(AS149&lt;&gt;"", SUMIFS($AS$10:AS149, $BG$10:BG149, BG149), "")</f>
        <v>291826.53999999998</v>
      </c>
      <c r="AX149" s="123">
        <f t="shared" ca="1" si="79"/>
        <v>174.82499999999999</v>
      </c>
      <c r="AY149" s="124" t="str">
        <f t="shared" ca="1" si="69"/>
        <v>LINK</v>
      </c>
      <c r="AZ149" t="s">
        <v>484</v>
      </c>
      <c r="BA149" s="125" t="s">
        <v>332</v>
      </c>
      <c r="BB149" t="str">
        <f t="shared" si="70"/>
        <v>25</v>
      </c>
      <c r="BC149" t="str">
        <f t="shared" si="71"/>
        <v>08</v>
      </c>
      <c r="BD149">
        <f t="shared" si="72"/>
        <v>23</v>
      </c>
      <c r="BE149" t="str">
        <f t="shared" si="73"/>
        <v>N</v>
      </c>
      <c r="BF149" t="str">
        <f t="shared" si="77"/>
        <v>https://www.coreplan.io/app/ddh1-drilling/speewah-mining-speewah-fluorite-project-wa/plods/1665-250823N</v>
      </c>
      <c r="BG149" t="str">
        <f t="shared" si="74"/>
        <v>2025-08</v>
      </c>
    </row>
    <row r="150" spans="1:59">
      <c r="A150" s="510" t="str">
        <f>VLOOKUP(F150,'Tenement Lookup'!A:BH,60,FALSE)</f>
        <v>M 80/269</v>
      </c>
      <c r="B150" t="str">
        <f>VLOOKUP(F150,Purpose!$A$2:$B$334,2,FALSE)</f>
        <v>G Vein DD</v>
      </c>
      <c r="C150" s="151" t="s">
        <v>8</v>
      </c>
      <c r="D150" s="1">
        <f t="shared" si="62"/>
        <v>45893.21</v>
      </c>
      <c r="E150" t="s">
        <v>171</v>
      </c>
      <c r="F150" s="501" t="s">
        <v>482</v>
      </c>
      <c r="H150" s="4" t="s">
        <v>392</v>
      </c>
      <c r="I150" s="4">
        <v>3</v>
      </c>
      <c r="J150" s="122">
        <f t="shared" si="59"/>
        <v>390</v>
      </c>
      <c r="K150" s="21"/>
      <c r="L150" s="28"/>
      <c r="M150" s="22">
        <f t="shared" si="64"/>
        <v>0</v>
      </c>
      <c r="N150" s="30">
        <v>72.7</v>
      </c>
      <c r="O150" s="26">
        <v>96.7</v>
      </c>
      <c r="P150" s="31">
        <f t="shared" si="81"/>
        <v>24</v>
      </c>
      <c r="Q150" s="21"/>
      <c r="R150" s="28"/>
      <c r="S150" s="22">
        <f t="shared" si="55"/>
        <v>0</v>
      </c>
      <c r="T150" s="30"/>
      <c r="U150" s="26"/>
      <c r="V150" s="31">
        <f t="shared" ref="V150:V213" si="82">IF(ISBLANK(T150),,U150-T150)</f>
        <v>0</v>
      </c>
      <c r="W150" s="26">
        <f t="shared" si="75"/>
        <v>24</v>
      </c>
      <c r="X150" s="36">
        <f t="shared" si="57"/>
        <v>3240</v>
      </c>
      <c r="Y150" s="301">
        <f t="shared" si="80"/>
        <v>3240</v>
      </c>
      <c r="Z150" s="38"/>
      <c r="AA150" s="38">
        <v>1</v>
      </c>
      <c r="AB150" s="38">
        <v>1</v>
      </c>
      <c r="AC150" s="38">
        <v>13122</v>
      </c>
      <c r="AD150" s="157">
        <f t="shared" si="76"/>
        <v>575</v>
      </c>
      <c r="AE150" s="29">
        <v>6</v>
      </c>
      <c r="AF150" s="29">
        <v>5</v>
      </c>
      <c r="AG150" s="40"/>
      <c r="AH150" s="44">
        <v>0.5</v>
      </c>
      <c r="AI150" s="13"/>
      <c r="AJ150" s="304"/>
      <c r="AK150" s="45">
        <v>0.5</v>
      </c>
      <c r="AL150" s="23"/>
      <c r="AM150" s="138" t="s">
        <v>275</v>
      </c>
      <c r="AN150" s="25">
        <f t="shared" ca="1" si="78"/>
        <v>12</v>
      </c>
      <c r="AO150" s="50"/>
      <c r="AP150" s="53">
        <f t="shared" si="66"/>
        <v>2480</v>
      </c>
      <c r="AQ150" s="322">
        <v>507.93</v>
      </c>
      <c r="AR150" s="324">
        <f t="shared" si="63"/>
        <v>117.93</v>
      </c>
      <c r="AS150" s="375">
        <f t="shared" si="67"/>
        <v>6802.93</v>
      </c>
      <c r="AT150" s="375">
        <v>6802.93</v>
      </c>
      <c r="AU150" s="344">
        <f t="shared" si="68"/>
        <v>5.7328239449766498E-2</v>
      </c>
      <c r="AV150" s="18">
        <f>IF(F150="","",(SUM($AS$6:AS150)))</f>
        <v>890956.68</v>
      </c>
      <c r="AW150" s="18">
        <f>IF(AS150&lt;&gt;"", SUMIFS($AS$10:AS150, $BG$10:BG150, BG150), "")</f>
        <v>298629.46999999997</v>
      </c>
      <c r="AX150" s="123">
        <f t="shared" ca="1" si="79"/>
        <v>283.45541666666668</v>
      </c>
      <c r="AY150" s="124" t="str">
        <f t="shared" ca="1" si="69"/>
        <v>LINK</v>
      </c>
      <c r="AZ150" t="s">
        <v>485</v>
      </c>
      <c r="BA150" s="125" t="s">
        <v>332</v>
      </c>
      <c r="BB150" t="str">
        <f t="shared" si="70"/>
        <v>25</v>
      </c>
      <c r="BC150" t="str">
        <f t="shared" si="71"/>
        <v>08</v>
      </c>
      <c r="BD150">
        <f t="shared" si="72"/>
        <v>24</v>
      </c>
      <c r="BE150" t="str">
        <f t="shared" si="73"/>
        <v>D</v>
      </c>
      <c r="BF150" t="str">
        <f t="shared" si="77"/>
        <v>https://www.coreplan.io/app/ddh1-drilling/speewah-mining-speewah-fluorite-project-wa/plods/1665-250824D</v>
      </c>
      <c r="BG150" t="str">
        <f t="shared" si="74"/>
        <v>2025-08</v>
      </c>
    </row>
    <row r="151" spans="1:59">
      <c r="A151" s="510" t="str">
        <f>VLOOKUP(F151,'Tenement Lookup'!A:BH,60,FALSE)</f>
        <v>M 80/269</v>
      </c>
      <c r="B151" t="str">
        <f>VLOOKUP(F151,Purpose!$A$2:$B$334,2,FALSE)</f>
        <v>G Vein DD</v>
      </c>
      <c r="C151" s="151" t="s">
        <v>8</v>
      </c>
      <c r="D151" s="1">
        <f t="shared" si="62"/>
        <v>45893.71</v>
      </c>
      <c r="E151" t="s">
        <v>172</v>
      </c>
      <c r="F151" s="501" t="s">
        <v>486</v>
      </c>
      <c r="H151" s="4" t="s">
        <v>394</v>
      </c>
      <c r="I151" s="4">
        <v>3</v>
      </c>
      <c r="J151" s="122">
        <f t="shared" si="59"/>
        <v>390</v>
      </c>
      <c r="K151" s="21"/>
      <c r="L151" s="28"/>
      <c r="M151" s="22">
        <f t="shared" si="64"/>
        <v>0</v>
      </c>
      <c r="N151" s="30">
        <v>0</v>
      </c>
      <c r="O151" s="26">
        <v>22.8</v>
      </c>
      <c r="P151" s="31">
        <f t="shared" si="81"/>
        <v>22.8</v>
      </c>
      <c r="Q151" s="21"/>
      <c r="R151" s="28"/>
      <c r="S151" s="22">
        <f t="shared" si="55"/>
        <v>0</v>
      </c>
      <c r="T151" s="30"/>
      <c r="U151" s="26"/>
      <c r="V151" s="31">
        <f t="shared" si="82"/>
        <v>0</v>
      </c>
      <c r="W151" s="26">
        <f t="shared" si="75"/>
        <v>22.8</v>
      </c>
      <c r="X151" s="36">
        <f t="shared" si="57"/>
        <v>3078</v>
      </c>
      <c r="Y151" s="301">
        <f t="shared" si="80"/>
        <v>3335</v>
      </c>
      <c r="Z151" s="38">
        <v>1</v>
      </c>
      <c r="AA151" s="38"/>
      <c r="AB151" s="38"/>
      <c r="AC151" s="38"/>
      <c r="AD151" s="157">
        <f t="shared" si="76"/>
        <v>175</v>
      </c>
      <c r="AE151" s="29">
        <v>7.25</v>
      </c>
      <c r="AF151" s="29">
        <v>3.5</v>
      </c>
      <c r="AG151" s="40"/>
      <c r="AH151" s="44">
        <v>0.75</v>
      </c>
      <c r="AI151" s="13"/>
      <c r="AJ151" s="304"/>
      <c r="AK151" s="45">
        <v>0.5</v>
      </c>
      <c r="AL151" s="23"/>
      <c r="AM151" s="138" t="s">
        <v>275</v>
      </c>
      <c r="AN151" s="25">
        <f t="shared" ca="1" si="78"/>
        <v>12</v>
      </c>
      <c r="AO151" s="50"/>
      <c r="AP151" s="53">
        <f t="shared" si="66"/>
        <v>1880</v>
      </c>
      <c r="AQ151" s="322">
        <v>680.49</v>
      </c>
      <c r="AR151" s="324">
        <f t="shared" si="63"/>
        <v>290.49</v>
      </c>
      <c r="AS151" s="375">
        <f t="shared" si="67"/>
        <v>6070.49</v>
      </c>
      <c r="AT151" s="375">
        <v>6070.49</v>
      </c>
      <c r="AU151" s="344">
        <f t="shared" si="68"/>
        <v>6.4245225673710035E-2</v>
      </c>
      <c r="AV151" s="18">
        <f>IF(F151="","",(SUM($AS$6:AS151)))</f>
        <v>897027.17</v>
      </c>
      <c r="AW151" s="18">
        <f>IF(AS151&lt;&gt;"", SUMIFS($AS$10:AS151, $BG$10:BG151, BG151), "")</f>
        <v>304699.95999999996</v>
      </c>
      <c r="AX151" s="123">
        <f t="shared" ca="1" si="79"/>
        <v>266.24956140350878</v>
      </c>
      <c r="AY151" s="124" t="str">
        <f t="shared" ca="1" si="69"/>
        <v>LINK</v>
      </c>
      <c r="AZ151" s="10" t="s">
        <v>487</v>
      </c>
      <c r="BA151" s="125" t="s">
        <v>332</v>
      </c>
      <c r="BB151" t="str">
        <f t="shared" si="70"/>
        <v>25</v>
      </c>
      <c r="BC151" t="str">
        <f t="shared" si="71"/>
        <v>08</v>
      </c>
      <c r="BD151">
        <f t="shared" si="72"/>
        <v>24</v>
      </c>
      <c r="BE151" t="str">
        <f t="shared" si="73"/>
        <v>N</v>
      </c>
      <c r="BF151" t="str">
        <f t="shared" si="77"/>
        <v>https://www.coreplan.io/app/ddh1-drilling/speewah-mining-speewah-fluorite-project-wa/plods/1665-250824N</v>
      </c>
      <c r="BG151" t="str">
        <f t="shared" si="74"/>
        <v>2025-08</v>
      </c>
    </row>
    <row r="152" spans="1:59">
      <c r="A152" s="510" t="str">
        <f>VLOOKUP(F152,'Tenement Lookup'!A:BH,60,FALSE)</f>
        <v>M 80/269</v>
      </c>
      <c r="B152" t="str">
        <f>VLOOKUP(F152,Purpose!$A$2:$B$334,2,FALSE)</f>
        <v>G Vein DD</v>
      </c>
      <c r="C152" s="151" t="s">
        <v>8</v>
      </c>
      <c r="D152" s="1">
        <f t="shared" si="62"/>
        <v>45894.21</v>
      </c>
      <c r="E152" t="s">
        <v>171</v>
      </c>
      <c r="F152" s="501" t="s">
        <v>486</v>
      </c>
      <c r="H152" s="4" t="s">
        <v>392</v>
      </c>
      <c r="I152" s="4">
        <v>3</v>
      </c>
      <c r="J152" s="122">
        <f t="shared" si="59"/>
        <v>390</v>
      </c>
      <c r="K152" s="21"/>
      <c r="L152" s="28"/>
      <c r="M152" s="22">
        <f t="shared" si="64"/>
        <v>0</v>
      </c>
      <c r="N152" s="30">
        <v>22.8</v>
      </c>
      <c r="O152" s="26">
        <v>54.8</v>
      </c>
      <c r="P152" s="31">
        <f t="shared" si="81"/>
        <v>31.999999999999996</v>
      </c>
      <c r="Q152" s="21"/>
      <c r="R152" s="28"/>
      <c r="S152" s="22">
        <f t="shared" si="55"/>
        <v>0</v>
      </c>
      <c r="T152" s="30"/>
      <c r="U152" s="26"/>
      <c r="V152" s="31">
        <f t="shared" si="82"/>
        <v>0</v>
      </c>
      <c r="W152" s="26">
        <f t="shared" si="75"/>
        <v>31.999999999999996</v>
      </c>
      <c r="X152" s="36">
        <f t="shared" si="57"/>
        <v>4319.9999999999991</v>
      </c>
      <c r="Y152" s="301">
        <f t="shared" si="80"/>
        <v>4370</v>
      </c>
      <c r="Z152" s="38"/>
      <c r="AA152" s="38">
        <v>1</v>
      </c>
      <c r="AB152" s="38">
        <v>1</v>
      </c>
      <c r="AC152" s="38">
        <v>13122</v>
      </c>
      <c r="AD152" s="157">
        <f t="shared" si="76"/>
        <v>575</v>
      </c>
      <c r="AE152" s="29">
        <v>9.5</v>
      </c>
      <c r="AF152" s="29">
        <v>2</v>
      </c>
      <c r="AG152" s="40"/>
      <c r="AH152" s="44">
        <v>0.5</v>
      </c>
      <c r="AI152" s="13"/>
      <c r="AJ152" s="304"/>
      <c r="AK152" s="45"/>
      <c r="AL152" s="23"/>
      <c r="AM152" s="138"/>
      <c r="AN152" s="25">
        <f t="shared" ca="1" si="78"/>
        <v>12</v>
      </c>
      <c r="AO152" s="50"/>
      <c r="AP152" s="53">
        <f t="shared" si="66"/>
        <v>1100</v>
      </c>
      <c r="AQ152" s="322">
        <v>507.93</v>
      </c>
      <c r="AR152" s="324">
        <f t="shared" si="63"/>
        <v>117.93</v>
      </c>
      <c r="AS152" s="375">
        <f t="shared" ref="AS152:AS176" si="83">IF(F152="","",(SUM(Y152,AP152,AR152,AD152,J152)))</f>
        <v>6552.93</v>
      </c>
      <c r="AT152" s="375">
        <v>6552.93</v>
      </c>
      <c r="AU152" s="344">
        <f t="shared" si="68"/>
        <v>5.95153618305094E-2</v>
      </c>
      <c r="AV152" s="18">
        <f>IF(F152="","",(SUM($AS$6:AS152)))</f>
        <v>903580.10000000009</v>
      </c>
      <c r="AW152" s="18">
        <f>IF(AS152&lt;&gt;"", SUMIFS($AS$10:AS152, $BG$10:BG152, BG152), "")</f>
        <v>311252.88999999996</v>
      </c>
      <c r="AX152" s="123">
        <f t="shared" ca="1" si="79"/>
        <v>204.77906250000004</v>
      </c>
      <c r="AY152" s="124" t="str">
        <f t="shared" ca="1" si="69"/>
        <v>LINK</v>
      </c>
      <c r="AZ152" t="s">
        <v>488</v>
      </c>
      <c r="BA152" s="125" t="s">
        <v>332</v>
      </c>
      <c r="BB152" t="str">
        <f t="shared" si="70"/>
        <v>25</v>
      </c>
      <c r="BC152" t="str">
        <f t="shared" si="71"/>
        <v>08</v>
      </c>
      <c r="BD152">
        <f t="shared" si="72"/>
        <v>25</v>
      </c>
      <c r="BE152" t="str">
        <f t="shared" si="73"/>
        <v>D</v>
      </c>
      <c r="BF152" t="str">
        <f t="shared" si="77"/>
        <v>https://www.coreplan.io/app/ddh1-drilling/speewah-mining-speewah-fluorite-project-wa/plods/1665-250825D</v>
      </c>
      <c r="BG152" t="str">
        <f t="shared" si="74"/>
        <v>2025-08</v>
      </c>
    </row>
    <row r="153" spans="1:59">
      <c r="A153" s="510" t="str">
        <f>VLOOKUP(F153,'Tenement Lookup'!A:BH,60,FALSE)</f>
        <v>M 80/269</v>
      </c>
      <c r="B153" t="str">
        <f>VLOOKUP(F153,Purpose!$A$2:$B$334,2,FALSE)</f>
        <v>G Vein DD</v>
      </c>
      <c r="C153" s="151" t="s">
        <v>8</v>
      </c>
      <c r="D153" s="1">
        <f t="shared" si="62"/>
        <v>45894.71</v>
      </c>
      <c r="E153" t="s">
        <v>172</v>
      </c>
      <c r="F153" s="501" t="s">
        <v>486</v>
      </c>
      <c r="H153" s="4" t="s">
        <v>394</v>
      </c>
      <c r="I153" s="4">
        <v>3</v>
      </c>
      <c r="J153" s="122">
        <f t="shared" si="59"/>
        <v>390</v>
      </c>
      <c r="K153" s="21"/>
      <c r="L153" s="28"/>
      <c r="M153" s="22">
        <f t="shared" si="64"/>
        <v>0</v>
      </c>
      <c r="N153" s="30">
        <v>54.8</v>
      </c>
      <c r="O153" s="26">
        <v>90.8</v>
      </c>
      <c r="P153" s="31">
        <f t="shared" si="81"/>
        <v>36</v>
      </c>
      <c r="Q153" s="21"/>
      <c r="R153" s="28"/>
      <c r="S153" s="22">
        <f t="shared" si="55"/>
        <v>0</v>
      </c>
      <c r="T153" s="30"/>
      <c r="U153" s="26"/>
      <c r="V153" s="31">
        <f t="shared" si="82"/>
        <v>0</v>
      </c>
      <c r="W153" s="26">
        <f t="shared" si="75"/>
        <v>36</v>
      </c>
      <c r="X153" s="36">
        <f t="shared" si="57"/>
        <v>4860</v>
      </c>
      <c r="Y153" s="301">
        <f t="shared" si="80"/>
        <v>4945</v>
      </c>
      <c r="Z153" s="38">
        <v>1</v>
      </c>
      <c r="AA153" s="38"/>
      <c r="AB153" s="38"/>
      <c r="AC153" s="38"/>
      <c r="AD153" s="157">
        <f t="shared" si="76"/>
        <v>175</v>
      </c>
      <c r="AE153" s="29">
        <v>10.75</v>
      </c>
      <c r="AF153" s="29">
        <v>0.5</v>
      </c>
      <c r="AG153" s="40"/>
      <c r="AH153" s="44">
        <v>0.75</v>
      </c>
      <c r="AI153" s="13"/>
      <c r="AJ153" s="304"/>
      <c r="AK153" s="45"/>
      <c r="AL153" s="23"/>
      <c r="AM153" s="138"/>
      <c r="AN153" s="25">
        <f t="shared" ca="1" si="78"/>
        <v>12</v>
      </c>
      <c r="AO153" s="50"/>
      <c r="AP153" s="53">
        <f t="shared" si="66"/>
        <v>500</v>
      </c>
      <c r="AQ153" s="322">
        <v>507.93</v>
      </c>
      <c r="AR153" s="324">
        <f t="shared" si="63"/>
        <v>117.93</v>
      </c>
      <c r="AS153" s="375">
        <f t="shared" si="83"/>
        <v>6127.93</v>
      </c>
      <c r="AT153" s="375">
        <v>6127.93</v>
      </c>
      <c r="AU153" s="344">
        <f t="shared" si="68"/>
        <v>6.3643024642905513E-2</v>
      </c>
      <c r="AV153" s="18">
        <f>IF(F153="","",(SUM($AS$6:AS153)))</f>
        <v>909708.03000000014</v>
      </c>
      <c r="AW153" s="18">
        <f>IF(AS153&lt;&gt;"", SUMIFS($AS$10:AS153, $BG$10:BG153, BG153), "")</f>
        <v>317380.81999999995</v>
      </c>
      <c r="AX153" s="123">
        <f t="shared" ca="1" si="79"/>
        <v>170.2202777777778</v>
      </c>
      <c r="AY153" s="124" t="str">
        <f t="shared" ca="1" si="69"/>
        <v>LINK</v>
      </c>
      <c r="AZ153" t="s">
        <v>489</v>
      </c>
      <c r="BA153" s="125" t="s">
        <v>332</v>
      </c>
      <c r="BB153" t="str">
        <f t="shared" si="70"/>
        <v>25</v>
      </c>
      <c r="BC153" t="str">
        <f t="shared" si="71"/>
        <v>08</v>
      </c>
      <c r="BD153">
        <f t="shared" si="72"/>
        <v>25</v>
      </c>
      <c r="BE153" t="str">
        <f t="shared" si="73"/>
        <v>N</v>
      </c>
      <c r="BF153" t="str">
        <f t="shared" si="77"/>
        <v>https://www.coreplan.io/app/ddh1-drilling/speewah-mining-speewah-fluorite-project-wa/plods/1665-250825N</v>
      </c>
      <c r="BG153" t="str">
        <f t="shared" si="74"/>
        <v>2025-08</v>
      </c>
    </row>
    <row r="154" spans="1:59">
      <c r="A154" s="510" t="str">
        <f>VLOOKUP(F154,'Tenement Lookup'!A:BH,60,FALSE)</f>
        <v>M 80/269</v>
      </c>
      <c r="B154" t="str">
        <f>VLOOKUP(F154,Purpose!$A$2:$B$334,2,FALSE)</f>
        <v>G Vein DD</v>
      </c>
      <c r="C154" s="151" t="s">
        <v>8</v>
      </c>
      <c r="D154" s="1">
        <f t="shared" si="62"/>
        <v>45895.21</v>
      </c>
      <c r="E154" t="s">
        <v>171</v>
      </c>
      <c r="F154" s="501" t="s">
        <v>486</v>
      </c>
      <c r="H154" s="4" t="s">
        <v>392</v>
      </c>
      <c r="I154" s="4">
        <v>3</v>
      </c>
      <c r="J154" s="122">
        <f t="shared" si="59"/>
        <v>390</v>
      </c>
      <c r="K154" s="21"/>
      <c r="L154" s="28"/>
      <c r="M154" s="22">
        <f t="shared" si="64"/>
        <v>0</v>
      </c>
      <c r="N154" s="30">
        <v>90.8</v>
      </c>
      <c r="O154" s="26">
        <v>126.6</v>
      </c>
      <c r="P154" s="31">
        <f t="shared" si="81"/>
        <v>35.799999999999997</v>
      </c>
      <c r="Q154" s="21"/>
      <c r="R154" s="28"/>
      <c r="S154" s="22">
        <f t="shared" si="55"/>
        <v>0</v>
      </c>
      <c r="T154" s="30"/>
      <c r="U154" s="26"/>
      <c r="V154" s="31">
        <f t="shared" si="82"/>
        <v>0</v>
      </c>
      <c r="W154" s="26">
        <f t="shared" si="75"/>
        <v>35.799999999999997</v>
      </c>
      <c r="X154" s="36">
        <f t="shared" si="57"/>
        <v>4833</v>
      </c>
      <c r="Y154" s="301">
        <f t="shared" si="80"/>
        <v>4833</v>
      </c>
      <c r="Z154" s="38"/>
      <c r="AA154" s="38">
        <v>1</v>
      </c>
      <c r="AB154" s="38">
        <v>1</v>
      </c>
      <c r="AC154" s="38">
        <v>13122</v>
      </c>
      <c r="AD154" s="157">
        <f t="shared" si="76"/>
        <v>575</v>
      </c>
      <c r="AE154" s="29">
        <v>9.5</v>
      </c>
      <c r="AF154" s="29">
        <v>2</v>
      </c>
      <c r="AG154" s="40"/>
      <c r="AH154" s="44">
        <v>0.5</v>
      </c>
      <c r="AI154" s="13"/>
      <c r="AJ154" s="304"/>
      <c r="AK154" s="45"/>
      <c r="AL154" s="23"/>
      <c r="AM154" s="138"/>
      <c r="AN154" s="25">
        <f t="shared" ca="1" si="78"/>
        <v>12</v>
      </c>
      <c r="AO154" s="50"/>
      <c r="AP154" s="53">
        <f t="shared" si="66"/>
        <v>1100</v>
      </c>
      <c r="AQ154" s="322">
        <v>507.93</v>
      </c>
      <c r="AR154" s="324">
        <f t="shared" si="63"/>
        <v>117.93</v>
      </c>
      <c r="AS154" s="375">
        <f t="shared" si="83"/>
        <v>7015.93</v>
      </c>
      <c r="AT154" s="375">
        <v>7015.93</v>
      </c>
      <c r="AU154" s="344">
        <f t="shared" si="68"/>
        <v>5.5587783800579535E-2</v>
      </c>
      <c r="AV154" s="18">
        <f>IF(F154="","",(SUM($AS$6:AS154)))</f>
        <v>916723.9600000002</v>
      </c>
      <c r="AW154" s="18">
        <f>IF(AS154&lt;&gt;"", SUMIFS($AS$10:AS154, $BG$10:BG154, BG154), "")</f>
        <v>324396.74999999994</v>
      </c>
      <c r="AX154" s="123">
        <f t="shared" ca="1" si="79"/>
        <v>195.97569832402237</v>
      </c>
      <c r="AY154" s="124" t="str">
        <f t="shared" ca="1" si="69"/>
        <v>LINK</v>
      </c>
      <c r="AZ154" s="141" t="s">
        <v>490</v>
      </c>
      <c r="BA154" s="125" t="s">
        <v>332</v>
      </c>
      <c r="BB154" t="str">
        <f t="shared" si="70"/>
        <v>25</v>
      </c>
      <c r="BC154" t="str">
        <f t="shared" si="71"/>
        <v>08</v>
      </c>
      <c r="BD154">
        <f t="shared" si="72"/>
        <v>26</v>
      </c>
      <c r="BE154" t="str">
        <f t="shared" si="73"/>
        <v>D</v>
      </c>
      <c r="BF154" t="str">
        <f t="shared" si="77"/>
        <v>https://www.coreplan.io/app/ddh1-drilling/speewah-mining-speewah-fluorite-project-wa/plods/1665-250826D</v>
      </c>
      <c r="BG154" t="str">
        <f t="shared" si="74"/>
        <v>2025-08</v>
      </c>
    </row>
    <row r="155" spans="1:59">
      <c r="A155" s="510" t="str">
        <f>VLOOKUP(F155,'Tenement Lookup'!A:BH,60,FALSE)</f>
        <v>M 80/269</v>
      </c>
      <c r="B155" t="str">
        <f>VLOOKUP(F155,Purpose!$A$2:$B$334,2,FALSE)</f>
        <v>G Vein DD</v>
      </c>
      <c r="C155" s="151" t="s">
        <v>8</v>
      </c>
      <c r="D155" s="1">
        <f t="shared" si="62"/>
        <v>45895.71</v>
      </c>
      <c r="E155" t="s">
        <v>172</v>
      </c>
      <c r="F155" s="501" t="s">
        <v>486</v>
      </c>
      <c r="H155" s="4" t="s">
        <v>394</v>
      </c>
      <c r="I155" s="4">
        <v>3</v>
      </c>
      <c r="J155" s="122">
        <f t="shared" si="59"/>
        <v>390</v>
      </c>
      <c r="K155" s="21"/>
      <c r="L155" s="28"/>
      <c r="M155" s="22">
        <f t="shared" si="64"/>
        <v>0</v>
      </c>
      <c r="N155" s="30">
        <v>126.6</v>
      </c>
      <c r="O155" s="26">
        <v>141.80000000000001</v>
      </c>
      <c r="P155" s="31">
        <f t="shared" si="81"/>
        <v>15.200000000000017</v>
      </c>
      <c r="Q155" s="21"/>
      <c r="R155" s="28"/>
      <c r="S155" s="22">
        <f t="shared" si="55"/>
        <v>0</v>
      </c>
      <c r="T155" s="30"/>
      <c r="U155" s="26"/>
      <c r="V155" s="31">
        <f t="shared" si="82"/>
        <v>0</v>
      </c>
      <c r="W155" s="26">
        <f t="shared" si="75"/>
        <v>15.200000000000017</v>
      </c>
      <c r="X155" s="36">
        <f t="shared" si="57"/>
        <v>2052.0000000000023</v>
      </c>
      <c r="Y155" s="301">
        <v>2645</v>
      </c>
      <c r="Z155" s="38">
        <v>1</v>
      </c>
      <c r="AA155" s="38"/>
      <c r="AB155" s="38"/>
      <c r="AC155" s="38"/>
      <c r="AD155" s="157">
        <f t="shared" si="76"/>
        <v>175</v>
      </c>
      <c r="AE155" s="29">
        <v>5.75</v>
      </c>
      <c r="AF155" s="29">
        <v>1.5</v>
      </c>
      <c r="AG155" s="40" t="s">
        <v>491</v>
      </c>
      <c r="AH155" s="44">
        <v>0.75</v>
      </c>
      <c r="AI155" s="13"/>
      <c r="AJ155" s="304"/>
      <c r="AK155" s="45">
        <v>4</v>
      </c>
      <c r="AL155" s="23"/>
      <c r="AM155" s="138" t="s">
        <v>492</v>
      </c>
      <c r="AN155" s="25">
        <f t="shared" ca="1" si="78"/>
        <v>12</v>
      </c>
      <c r="AO155" s="50"/>
      <c r="AP155" s="53">
        <f t="shared" si="66"/>
        <v>960</v>
      </c>
      <c r="AQ155" s="322">
        <v>390</v>
      </c>
      <c r="AR155" s="324">
        <f>AQ155-J155</f>
        <v>0</v>
      </c>
      <c r="AS155" s="375">
        <f t="shared" si="83"/>
        <v>4170</v>
      </c>
      <c r="AT155" s="375">
        <v>4170</v>
      </c>
      <c r="AU155" s="344">
        <f t="shared" si="68"/>
        <v>9.3525179856115109E-2</v>
      </c>
      <c r="AV155" s="18">
        <f>IF(F155="","",(SUM($AS$6:AS155)))</f>
        <v>920893.9600000002</v>
      </c>
      <c r="AW155" s="18">
        <f>IF(AS155&lt;&gt;"", SUMIFS($AS$10:AS155, $BG$10:BG155, BG155), "")</f>
        <v>328566.74999999994</v>
      </c>
      <c r="AX155" s="123">
        <f t="shared" ca="1" si="79"/>
        <v>274.34210526315758</v>
      </c>
      <c r="AY155" s="124" t="str">
        <f t="shared" ca="1" si="69"/>
        <v>LINK</v>
      </c>
      <c r="AZ155" t="s">
        <v>493</v>
      </c>
      <c r="BA155" s="125" t="s">
        <v>332</v>
      </c>
      <c r="BB155" t="str">
        <f t="shared" si="70"/>
        <v>25</v>
      </c>
      <c r="BC155" t="str">
        <f t="shared" si="71"/>
        <v>08</v>
      </c>
      <c r="BD155">
        <f t="shared" si="72"/>
        <v>26</v>
      </c>
      <c r="BE155" t="str">
        <f t="shared" si="73"/>
        <v>N</v>
      </c>
      <c r="BF155" t="str">
        <f t="shared" si="77"/>
        <v>https://www.coreplan.io/app/ddh1-drilling/speewah-mining-speewah-fluorite-project-wa/plods/1665-250826N</v>
      </c>
      <c r="BG155" t="str">
        <f t="shared" si="74"/>
        <v>2025-08</v>
      </c>
    </row>
    <row r="156" spans="1:59">
      <c r="A156" s="510" t="str">
        <f>VLOOKUP(F156,'Tenement Lookup'!A:BH,60,FALSE)</f>
        <v>M 80/269</v>
      </c>
      <c r="B156" t="str">
        <f>VLOOKUP(F156,Purpose!$A$2:$B$334,2,FALSE)</f>
        <v>G Vein DD</v>
      </c>
      <c r="C156" s="151" t="s">
        <v>8</v>
      </c>
      <c r="D156" s="1">
        <f t="shared" si="62"/>
        <v>45896.21</v>
      </c>
      <c r="E156" t="s">
        <v>171</v>
      </c>
      <c r="F156" s="501" t="s">
        <v>486</v>
      </c>
      <c r="H156" s="4" t="s">
        <v>494</v>
      </c>
      <c r="I156" s="4">
        <v>3</v>
      </c>
      <c r="J156" s="122">
        <f t="shared" si="59"/>
        <v>390</v>
      </c>
      <c r="K156" s="21"/>
      <c r="L156" s="28"/>
      <c r="M156" s="22">
        <f t="shared" si="64"/>
        <v>0</v>
      </c>
      <c r="N156" s="30">
        <v>141.80000000000001</v>
      </c>
      <c r="O156" s="26">
        <v>141.80000000000001</v>
      </c>
      <c r="P156" s="31">
        <f t="shared" si="81"/>
        <v>0</v>
      </c>
      <c r="Q156" s="21"/>
      <c r="R156" s="28"/>
      <c r="S156" s="22">
        <f t="shared" ref="S156:S219" si="84">IF(ISBLANK(Q156),,R156-Q156)</f>
        <v>0</v>
      </c>
      <c r="T156" s="30"/>
      <c r="U156" s="26"/>
      <c r="V156" s="31">
        <f t="shared" si="82"/>
        <v>0</v>
      </c>
      <c r="W156" s="26">
        <f t="shared" si="75"/>
        <v>0</v>
      </c>
      <c r="X156" s="36">
        <f t="shared" si="57"/>
        <v>0</v>
      </c>
      <c r="Y156" s="301">
        <f t="shared" ref="Y156:Y187" si="85">IF(F156&lt;&gt;"",IF(X156&lt;(AE156*$AE$2),(AE156*$AE$2),X156),"")</f>
        <v>0</v>
      </c>
      <c r="Z156" s="38"/>
      <c r="AA156" s="38">
        <v>1</v>
      </c>
      <c r="AB156" s="38">
        <v>1</v>
      </c>
      <c r="AC156" s="38">
        <v>13122</v>
      </c>
      <c r="AD156" s="157">
        <f t="shared" si="76"/>
        <v>575</v>
      </c>
      <c r="AE156" s="29">
        <v>0</v>
      </c>
      <c r="AF156" s="29">
        <v>0</v>
      </c>
      <c r="AG156" s="40"/>
      <c r="AH156" s="44">
        <v>0.5</v>
      </c>
      <c r="AI156" s="13"/>
      <c r="AJ156" s="304"/>
      <c r="AK156" s="45">
        <v>11.5</v>
      </c>
      <c r="AL156" s="23"/>
      <c r="AM156" s="138" t="s">
        <v>495</v>
      </c>
      <c r="AN156" s="25">
        <f t="shared" ca="1" si="78"/>
        <v>12</v>
      </c>
      <c r="AO156" s="50"/>
      <c r="AP156" s="53">
        <f t="shared" si="66"/>
        <v>180</v>
      </c>
      <c r="AQ156" s="322">
        <v>390</v>
      </c>
      <c r="AR156" s="324">
        <f t="shared" si="63"/>
        <v>0</v>
      </c>
      <c r="AS156" s="375">
        <f t="shared" si="83"/>
        <v>1145</v>
      </c>
      <c r="AT156" s="375">
        <v>1145</v>
      </c>
      <c r="AU156" s="344">
        <f t="shared" si="68"/>
        <v>0.34061135371179041</v>
      </c>
      <c r="AV156" s="18">
        <f>IF(F156="","",(SUM($AS$6:AS156)))</f>
        <v>922038.9600000002</v>
      </c>
      <c r="AW156" s="18">
        <f>IF(AS156&lt;&gt;"", SUMIFS($AS$10:AS156, $BG$10:BG156, BG156), "")</f>
        <v>329711.74999999994</v>
      </c>
      <c r="AX156" s="123" t="str">
        <f t="shared" ca="1" si="79"/>
        <v/>
      </c>
      <c r="AY156" s="124" t="str">
        <f t="shared" ca="1" si="69"/>
        <v>LINK</v>
      </c>
      <c r="AZ156" t="s">
        <v>496</v>
      </c>
      <c r="BA156" s="125" t="s">
        <v>332</v>
      </c>
      <c r="BB156" t="str">
        <f t="shared" si="70"/>
        <v>25</v>
      </c>
      <c r="BC156" t="str">
        <f t="shared" si="71"/>
        <v>08</v>
      </c>
      <c r="BD156">
        <f t="shared" si="72"/>
        <v>27</v>
      </c>
      <c r="BE156" t="str">
        <f t="shared" si="73"/>
        <v>D</v>
      </c>
      <c r="BF156" t="str">
        <f t="shared" si="77"/>
        <v>https://www.coreplan.io/app/ddh1-drilling/speewah-mining-speewah-fluorite-project-wa/plods/1665-250827D</v>
      </c>
      <c r="BG156" t="str">
        <f t="shared" si="74"/>
        <v>2025-08</v>
      </c>
    </row>
    <row r="157" spans="1:59">
      <c r="A157" s="510" t="str">
        <f>VLOOKUP(F157,'Tenement Lookup'!A:BH,60,FALSE)</f>
        <v>M 80/269</v>
      </c>
      <c r="B157" t="str">
        <f>VLOOKUP(F157,Purpose!$A$2:$B$334,2,FALSE)</f>
        <v>G Vein DD</v>
      </c>
      <c r="C157" s="151" t="s">
        <v>8</v>
      </c>
      <c r="D157" s="1">
        <f t="shared" si="62"/>
        <v>45896.71</v>
      </c>
      <c r="E157" t="s">
        <v>172</v>
      </c>
      <c r="F157" s="501" t="s">
        <v>486</v>
      </c>
      <c r="H157" s="4" t="s">
        <v>392</v>
      </c>
      <c r="I157" s="4">
        <v>3</v>
      </c>
      <c r="J157" s="122">
        <f t="shared" si="59"/>
        <v>390</v>
      </c>
      <c r="K157" s="21"/>
      <c r="L157" s="28"/>
      <c r="M157" s="22">
        <f t="shared" si="64"/>
        <v>0</v>
      </c>
      <c r="N157" s="30">
        <v>141.80000000000001</v>
      </c>
      <c r="O157" s="26">
        <v>171.8</v>
      </c>
      <c r="P157" s="31">
        <f t="shared" si="81"/>
        <v>30</v>
      </c>
      <c r="Q157" s="21"/>
      <c r="R157" s="28"/>
      <c r="S157" s="22">
        <f t="shared" si="84"/>
        <v>0</v>
      </c>
      <c r="T157" s="30"/>
      <c r="U157" s="26"/>
      <c r="V157" s="31">
        <f t="shared" si="82"/>
        <v>0</v>
      </c>
      <c r="W157" s="26">
        <f t="shared" si="75"/>
        <v>30</v>
      </c>
      <c r="X157" s="36">
        <f t="shared" si="57"/>
        <v>4050</v>
      </c>
      <c r="Y157" s="301">
        <f t="shared" si="85"/>
        <v>4050</v>
      </c>
      <c r="Z157" s="38"/>
      <c r="AA157" s="38"/>
      <c r="AB157" s="38"/>
      <c r="AC157" s="38"/>
      <c r="AD157" s="157">
        <f t="shared" si="76"/>
        <v>0</v>
      </c>
      <c r="AE157" s="29">
        <v>8.5</v>
      </c>
      <c r="AF157" s="29">
        <v>3</v>
      </c>
      <c r="AG157" s="40"/>
      <c r="AH157" s="44">
        <v>0.5</v>
      </c>
      <c r="AI157" s="13"/>
      <c r="AJ157" s="304"/>
      <c r="AK157" s="45"/>
      <c r="AL157" s="23"/>
      <c r="AM157" s="138"/>
      <c r="AN157" s="25">
        <f t="shared" ca="1" si="78"/>
        <v>12</v>
      </c>
      <c r="AO157" s="50"/>
      <c r="AP157" s="53">
        <f t="shared" si="66"/>
        <v>1560</v>
      </c>
      <c r="AQ157" s="322">
        <v>507.93</v>
      </c>
      <c r="AR157" s="324">
        <f t="shared" si="63"/>
        <v>117.93</v>
      </c>
      <c r="AS157" s="375">
        <f t="shared" si="83"/>
        <v>6117.93</v>
      </c>
      <c r="AT157" s="375">
        <v>6117.93</v>
      </c>
      <c r="AU157" s="344">
        <f t="shared" si="68"/>
        <v>6.3747051698858928E-2</v>
      </c>
      <c r="AV157" s="18">
        <f>IF(F157="","",(SUM($AS$6:AS157)))</f>
        <v>928156.89000000025</v>
      </c>
      <c r="AW157" s="18">
        <f>IF(AS157&lt;&gt;"", SUMIFS($AS$10:AS157, $BG$10:BG157, BG157), "")</f>
        <v>335829.67999999993</v>
      </c>
      <c r="AX157" s="123">
        <f t="shared" ca="1" si="79"/>
        <v>203.93100000000001</v>
      </c>
      <c r="AY157" s="124" t="str">
        <f t="shared" ca="1" si="69"/>
        <v>LINK</v>
      </c>
      <c r="AZ157" t="s">
        <v>497</v>
      </c>
      <c r="BA157" s="125" t="s">
        <v>332</v>
      </c>
      <c r="BB157" t="str">
        <f t="shared" si="70"/>
        <v>25</v>
      </c>
      <c r="BC157" t="str">
        <f t="shared" si="71"/>
        <v>08</v>
      </c>
      <c r="BD157">
        <f t="shared" si="72"/>
        <v>27</v>
      </c>
      <c r="BE157" t="str">
        <f t="shared" si="73"/>
        <v>N</v>
      </c>
      <c r="BF157" t="str">
        <f t="shared" si="77"/>
        <v>https://www.coreplan.io/app/ddh1-drilling/speewah-mining-speewah-fluorite-project-wa/plods/1665-250827N</v>
      </c>
      <c r="BG157" t="str">
        <f t="shared" si="74"/>
        <v>2025-08</v>
      </c>
    </row>
    <row r="158" spans="1:59">
      <c r="A158" s="510" t="str">
        <f>VLOOKUP(F158,'Tenement Lookup'!A:BH,60,FALSE)</f>
        <v>M 80/269</v>
      </c>
      <c r="B158" t="str">
        <f>VLOOKUP(F158,Purpose!$A$2:$B$334,2,FALSE)</f>
        <v>Infill</v>
      </c>
      <c r="C158" s="151" t="s">
        <v>8</v>
      </c>
      <c r="D158" s="1">
        <f t="shared" si="62"/>
        <v>45897.21</v>
      </c>
      <c r="E158" t="s">
        <v>171</v>
      </c>
      <c r="F158" s="501" t="s">
        <v>498</v>
      </c>
      <c r="H158" s="4" t="s">
        <v>494</v>
      </c>
      <c r="I158" s="4">
        <v>3</v>
      </c>
      <c r="J158" s="122">
        <f t="shared" si="59"/>
        <v>390</v>
      </c>
      <c r="K158" s="21"/>
      <c r="L158" s="28"/>
      <c r="M158" s="22">
        <f t="shared" si="64"/>
        <v>0</v>
      </c>
      <c r="N158" s="30">
        <v>0</v>
      </c>
      <c r="O158" s="26">
        <v>4.7</v>
      </c>
      <c r="P158" s="31">
        <f t="shared" si="81"/>
        <v>4.7</v>
      </c>
      <c r="Q158" s="21"/>
      <c r="R158" s="28"/>
      <c r="S158" s="22">
        <f t="shared" si="84"/>
        <v>0</v>
      </c>
      <c r="T158" s="30"/>
      <c r="U158" s="26"/>
      <c r="V158" s="31">
        <f t="shared" si="82"/>
        <v>0</v>
      </c>
      <c r="W158" s="26">
        <f t="shared" si="75"/>
        <v>4.7</v>
      </c>
      <c r="X158" s="36">
        <f>IFERROR((M158*$M$2)+(P158*$P$2)+(S158*$S$2)+(V158*$V$2),"")</f>
        <v>634.5</v>
      </c>
      <c r="Y158" s="301">
        <f t="shared" si="85"/>
        <v>634.5</v>
      </c>
      <c r="Z158" s="38"/>
      <c r="AA158" s="38">
        <v>1</v>
      </c>
      <c r="AB158" s="38">
        <v>1</v>
      </c>
      <c r="AC158" s="38">
        <v>13122</v>
      </c>
      <c r="AD158" s="157">
        <f t="shared" si="76"/>
        <v>575</v>
      </c>
      <c r="AE158" s="29">
        <v>1</v>
      </c>
      <c r="AF158" s="29">
        <v>9</v>
      </c>
      <c r="AG158" s="40"/>
      <c r="AH158" s="44">
        <v>0.5</v>
      </c>
      <c r="AI158" s="13">
        <v>1.5</v>
      </c>
      <c r="AJ158" s="304" t="s">
        <v>499</v>
      </c>
      <c r="AK158" s="45"/>
      <c r="AL158" s="23"/>
      <c r="AM158" s="138"/>
      <c r="AN158" s="25">
        <f t="shared" ca="1" si="78"/>
        <v>12</v>
      </c>
      <c r="AO158" s="50"/>
      <c r="AP158" s="53">
        <f t="shared" si="66"/>
        <v>4860</v>
      </c>
      <c r="AQ158" s="322">
        <v>390</v>
      </c>
      <c r="AR158" s="324">
        <f t="shared" si="63"/>
        <v>0</v>
      </c>
      <c r="AS158" s="375">
        <f t="shared" si="83"/>
        <v>6459.5</v>
      </c>
      <c r="AT158" s="375">
        <v>6459.5</v>
      </c>
      <c r="AU158" s="344">
        <f t="shared" si="68"/>
        <v>6.0376190107593465E-2</v>
      </c>
      <c r="AV158" s="18">
        <f>IF(F158="","",(SUM($AS$6:AS158)))</f>
        <v>934616.39000000025</v>
      </c>
      <c r="AW158" s="18">
        <f>IF(AS158&lt;&gt;"", SUMIFS($AS$10:AS158, $BG$10:BG158, BG158), "")</f>
        <v>342289.17999999993</v>
      </c>
      <c r="AX158" s="123">
        <f t="shared" ca="1" si="79"/>
        <v>1374.3617021276596</v>
      </c>
      <c r="AY158" s="124" t="str">
        <f t="shared" ca="1" si="69"/>
        <v>LINK</v>
      </c>
      <c r="AZ158" t="s">
        <v>500</v>
      </c>
      <c r="BA158" s="125" t="s">
        <v>332</v>
      </c>
      <c r="BB158" t="str">
        <f t="shared" si="70"/>
        <v>25</v>
      </c>
      <c r="BC158" t="str">
        <f t="shared" si="71"/>
        <v>08</v>
      </c>
      <c r="BD158">
        <f t="shared" si="72"/>
        <v>28</v>
      </c>
      <c r="BE158" t="str">
        <f t="shared" si="73"/>
        <v>D</v>
      </c>
      <c r="BF158" t="str">
        <f t="shared" si="77"/>
        <v>https://www.coreplan.io/app/ddh1-drilling/speewah-mining-speewah-fluorite-project-wa/plods/1665-250828D</v>
      </c>
      <c r="BG158" t="str">
        <f t="shared" si="74"/>
        <v>2025-08</v>
      </c>
    </row>
    <row r="159" spans="1:59">
      <c r="A159" s="510" t="str">
        <f>VLOOKUP(F159,'Tenement Lookup'!A:BH,60,FALSE)</f>
        <v>M 80/269</v>
      </c>
      <c r="B159" t="str">
        <f>VLOOKUP(F159,Purpose!$A$2:$B$334,2,FALSE)</f>
        <v>Infill</v>
      </c>
      <c r="C159" s="151" t="s">
        <v>8</v>
      </c>
      <c r="D159" s="1">
        <f t="shared" si="62"/>
        <v>45897.71</v>
      </c>
      <c r="E159" t="s">
        <v>172</v>
      </c>
      <c r="F159" s="501" t="s">
        <v>498</v>
      </c>
      <c r="H159" s="4" t="s">
        <v>392</v>
      </c>
      <c r="I159" s="4">
        <v>3</v>
      </c>
      <c r="J159" s="122">
        <f t="shared" si="59"/>
        <v>390</v>
      </c>
      <c r="K159" s="21"/>
      <c r="L159" s="28"/>
      <c r="M159" s="22">
        <f t="shared" si="64"/>
        <v>0</v>
      </c>
      <c r="N159" s="30">
        <v>4.7</v>
      </c>
      <c r="O159" s="26">
        <v>35.9</v>
      </c>
      <c r="P159" s="31">
        <f t="shared" si="81"/>
        <v>31.2</v>
      </c>
      <c r="Q159" s="21"/>
      <c r="R159" s="28"/>
      <c r="S159" s="22">
        <f t="shared" si="84"/>
        <v>0</v>
      </c>
      <c r="T159" s="30"/>
      <c r="U159" s="26"/>
      <c r="V159" s="31">
        <f t="shared" si="82"/>
        <v>0</v>
      </c>
      <c r="W159" s="26">
        <f t="shared" si="75"/>
        <v>31.2</v>
      </c>
      <c r="X159" s="36">
        <f t="shared" si="57"/>
        <v>4212</v>
      </c>
      <c r="Y159" s="301">
        <f t="shared" si="85"/>
        <v>4370</v>
      </c>
      <c r="Z159" s="38"/>
      <c r="AA159" s="38"/>
      <c r="AB159" s="38"/>
      <c r="AC159" s="38"/>
      <c r="AD159" s="157">
        <f t="shared" si="76"/>
        <v>0</v>
      </c>
      <c r="AE159" s="29">
        <v>9.5</v>
      </c>
      <c r="AF159" s="29">
        <v>2</v>
      </c>
      <c r="AG159" s="40"/>
      <c r="AH159" s="44">
        <v>0.5</v>
      </c>
      <c r="AI159" s="13"/>
      <c r="AJ159" s="304"/>
      <c r="AK159" s="45"/>
      <c r="AL159" s="23"/>
      <c r="AM159" s="138"/>
      <c r="AN159" s="25">
        <f t="shared" ca="1" si="78"/>
        <v>12</v>
      </c>
      <c r="AO159" s="50"/>
      <c r="AP159" s="53">
        <f t="shared" si="66"/>
        <v>1100</v>
      </c>
      <c r="AQ159" s="322">
        <v>680.49</v>
      </c>
      <c r="AR159" s="324">
        <f t="shared" si="63"/>
        <v>290.49</v>
      </c>
      <c r="AS159" s="375">
        <f t="shared" si="83"/>
        <v>6150.49</v>
      </c>
      <c r="AT159" s="375">
        <v>6150.49</v>
      </c>
      <c r="AU159" s="344">
        <f t="shared" si="68"/>
        <v>6.3409582000783685E-2</v>
      </c>
      <c r="AV159" s="18">
        <f>IF(F159="","",(SUM($AS$6:AS159)))</f>
        <v>940766.88000000024</v>
      </c>
      <c r="AW159" s="18">
        <f>IF(AS159&lt;&gt;"", SUMIFS($AS$10:AS159, $BG$10:BG159, BG159), "")</f>
        <v>348439.66999999993</v>
      </c>
      <c r="AX159" s="123">
        <f t="shared" ca="1" si="79"/>
        <v>197.13108974358974</v>
      </c>
      <c r="AY159" s="124" t="str">
        <f t="shared" ca="1" si="69"/>
        <v>LINK</v>
      </c>
      <c r="AZ159" t="s">
        <v>501</v>
      </c>
      <c r="BA159" s="125" t="s">
        <v>332</v>
      </c>
      <c r="BB159" t="str">
        <f t="shared" si="70"/>
        <v>25</v>
      </c>
      <c r="BC159" t="str">
        <f t="shared" si="71"/>
        <v>08</v>
      </c>
      <c r="BD159">
        <f t="shared" si="72"/>
        <v>28</v>
      </c>
      <c r="BE159" t="str">
        <f t="shared" si="73"/>
        <v>N</v>
      </c>
      <c r="BF159" t="str">
        <f t="shared" si="77"/>
        <v>https://www.coreplan.io/app/ddh1-drilling/speewah-mining-speewah-fluorite-project-wa/plods/1665-250828N</v>
      </c>
      <c r="BG159" t="str">
        <f t="shared" si="74"/>
        <v>2025-08</v>
      </c>
    </row>
    <row r="160" spans="1:59">
      <c r="A160" s="510" t="str">
        <f>VLOOKUP(F160,'Tenement Lookup'!A:BH,60,FALSE)</f>
        <v>M 80/269</v>
      </c>
      <c r="B160" t="str">
        <f>VLOOKUP(F160,Purpose!$A$2:$B$334,2,FALSE)</f>
        <v>Infill</v>
      </c>
      <c r="C160" s="151" t="s">
        <v>8</v>
      </c>
      <c r="D160" s="1">
        <f t="shared" si="62"/>
        <v>45898.21</v>
      </c>
      <c r="E160" t="s">
        <v>171</v>
      </c>
      <c r="F160" s="501" t="s">
        <v>498</v>
      </c>
      <c r="H160" s="4" t="s">
        <v>494</v>
      </c>
      <c r="I160" s="4">
        <v>3</v>
      </c>
      <c r="J160" s="122">
        <f t="shared" si="59"/>
        <v>390</v>
      </c>
      <c r="K160" s="21"/>
      <c r="L160" s="28"/>
      <c r="M160" s="22">
        <f t="shared" si="64"/>
        <v>0</v>
      </c>
      <c r="N160" s="30">
        <v>35.9</v>
      </c>
      <c r="O160" s="26">
        <v>72.400000000000006</v>
      </c>
      <c r="P160" s="31">
        <f t="shared" si="81"/>
        <v>36.500000000000007</v>
      </c>
      <c r="Q160" s="21"/>
      <c r="R160" s="28"/>
      <c r="S160" s="22">
        <f t="shared" si="84"/>
        <v>0</v>
      </c>
      <c r="T160" s="30"/>
      <c r="U160" s="26"/>
      <c r="V160" s="31">
        <f t="shared" si="82"/>
        <v>0</v>
      </c>
      <c r="W160" s="26">
        <f t="shared" si="75"/>
        <v>36.500000000000007</v>
      </c>
      <c r="X160" s="36">
        <f t="shared" si="57"/>
        <v>4927.5000000000009</v>
      </c>
      <c r="Y160" s="301">
        <f t="shared" si="85"/>
        <v>4927.5000000000009</v>
      </c>
      <c r="Z160" s="38"/>
      <c r="AA160" s="38">
        <v>1</v>
      </c>
      <c r="AB160" s="38">
        <v>1</v>
      </c>
      <c r="AC160" s="38">
        <v>13122</v>
      </c>
      <c r="AD160" s="157">
        <f t="shared" si="76"/>
        <v>575</v>
      </c>
      <c r="AE160" s="29">
        <v>9.25</v>
      </c>
      <c r="AF160" s="29">
        <v>1.25</v>
      </c>
      <c r="AG160" s="40"/>
      <c r="AH160" s="44">
        <v>0.5</v>
      </c>
      <c r="AI160" s="13">
        <v>1</v>
      </c>
      <c r="AJ160" s="304" t="s">
        <v>502</v>
      </c>
      <c r="AK160" s="45"/>
      <c r="AL160" s="23"/>
      <c r="AM160" s="138"/>
      <c r="AN160" s="25">
        <f t="shared" ca="1" si="78"/>
        <v>12</v>
      </c>
      <c r="AO160" s="50"/>
      <c r="AP160" s="53">
        <f t="shared" si="66"/>
        <v>1115</v>
      </c>
      <c r="AQ160" s="322">
        <v>527.5</v>
      </c>
      <c r="AR160" s="324">
        <f t="shared" si="63"/>
        <v>137.5</v>
      </c>
      <c r="AS160" s="375">
        <f t="shared" si="83"/>
        <v>7145.0000000000009</v>
      </c>
      <c r="AT160" s="375">
        <v>7145</v>
      </c>
      <c r="AU160" s="344">
        <f t="shared" si="68"/>
        <v>5.4583624912526232E-2</v>
      </c>
      <c r="AV160" s="18">
        <f>IF(F160="","",(SUM($AS$6:AS160)))</f>
        <v>947911.88000000024</v>
      </c>
      <c r="AW160" s="18">
        <f>IF(AS160&lt;&gt;"", SUMIFS($AS$10:AS160, $BG$10:BG160, BG160), "")</f>
        <v>355584.66999999993</v>
      </c>
      <c r="AX160" s="123">
        <f t="shared" ca="1" si="79"/>
        <v>195.75342465753423</v>
      </c>
      <c r="AY160" s="124" t="str">
        <f t="shared" ca="1" si="69"/>
        <v>LINK</v>
      </c>
      <c r="AZ160" t="s">
        <v>503</v>
      </c>
      <c r="BA160" s="125" t="s">
        <v>332</v>
      </c>
      <c r="BB160" t="str">
        <f t="shared" si="70"/>
        <v>25</v>
      </c>
      <c r="BC160" t="str">
        <f t="shared" si="71"/>
        <v>08</v>
      </c>
      <c r="BD160">
        <f t="shared" si="72"/>
        <v>29</v>
      </c>
      <c r="BE160" t="str">
        <f t="shared" si="73"/>
        <v>D</v>
      </c>
      <c r="BF160" t="str">
        <f t="shared" si="77"/>
        <v>https://www.coreplan.io/app/ddh1-drilling/speewah-mining-speewah-fluorite-project-wa/plods/1665-250829D</v>
      </c>
      <c r="BG160" t="str">
        <f t="shared" si="74"/>
        <v>2025-08</v>
      </c>
    </row>
    <row r="161" spans="1:59">
      <c r="A161" s="510" t="str">
        <f>VLOOKUP(F161,'Tenement Lookup'!A:BH,60,FALSE)</f>
        <v>M 80/269</v>
      </c>
      <c r="B161" t="str">
        <f>VLOOKUP(F161,Purpose!$A$2:$B$334,2,FALSE)</f>
        <v>Infill</v>
      </c>
      <c r="C161" s="151" t="s">
        <v>8</v>
      </c>
      <c r="D161" s="1">
        <f t="shared" si="62"/>
        <v>45898.71</v>
      </c>
      <c r="E161" t="s">
        <v>172</v>
      </c>
      <c r="F161" s="501" t="s">
        <v>498</v>
      </c>
      <c r="H161" s="4" t="s">
        <v>392</v>
      </c>
      <c r="I161" s="4">
        <v>3</v>
      </c>
      <c r="J161" s="122">
        <f t="shared" si="59"/>
        <v>390</v>
      </c>
      <c r="K161" s="21"/>
      <c r="L161" s="28"/>
      <c r="M161" s="22">
        <f t="shared" si="64"/>
        <v>0</v>
      </c>
      <c r="N161" s="30">
        <v>72.400000000000006</v>
      </c>
      <c r="O161" s="26">
        <v>108.6</v>
      </c>
      <c r="P161" s="31">
        <f t="shared" si="81"/>
        <v>36.199999999999989</v>
      </c>
      <c r="Q161" s="21"/>
      <c r="R161" s="28"/>
      <c r="S161" s="22">
        <f t="shared" si="84"/>
        <v>0</v>
      </c>
      <c r="T161" s="30"/>
      <c r="U161" s="26"/>
      <c r="V161" s="31">
        <f t="shared" si="82"/>
        <v>0</v>
      </c>
      <c r="W161" s="26">
        <f t="shared" si="75"/>
        <v>36.199999999999989</v>
      </c>
      <c r="X161" s="36">
        <f t="shared" si="57"/>
        <v>4886.9999999999982</v>
      </c>
      <c r="Y161" s="301">
        <f t="shared" si="85"/>
        <v>4886.9999999999982</v>
      </c>
      <c r="Z161" s="38"/>
      <c r="AA161" s="38"/>
      <c r="AB161" s="38"/>
      <c r="AC161" s="38"/>
      <c r="AD161" s="157">
        <f t="shared" si="76"/>
        <v>0</v>
      </c>
      <c r="AE161" s="29">
        <v>10.5</v>
      </c>
      <c r="AF161" s="29">
        <v>1</v>
      </c>
      <c r="AG161" s="40"/>
      <c r="AH161" s="44">
        <v>0.5</v>
      </c>
      <c r="AI161" s="13"/>
      <c r="AJ161" s="304"/>
      <c r="AK161" s="45"/>
      <c r="AL161" s="23"/>
      <c r="AM161" s="138"/>
      <c r="AN161" s="25">
        <f t="shared" ca="1" si="78"/>
        <v>12</v>
      </c>
      <c r="AO161" s="50"/>
      <c r="AP161" s="53">
        <f t="shared" si="66"/>
        <v>640</v>
      </c>
      <c r="AQ161" s="322">
        <v>507.93</v>
      </c>
      <c r="AR161" s="324">
        <f t="shared" si="63"/>
        <v>117.93</v>
      </c>
      <c r="AS161" s="375">
        <f t="shared" si="83"/>
        <v>6034.9299999999985</v>
      </c>
      <c r="AT161" s="375">
        <v>6034.93</v>
      </c>
      <c r="AU161" s="344">
        <f t="shared" si="68"/>
        <v>6.4623781883137027E-2</v>
      </c>
      <c r="AV161" s="18">
        <f>IF(F161="","",(SUM($AS$6:AS161)))</f>
        <v>953946.81000000029</v>
      </c>
      <c r="AW161" s="18">
        <f>IF(AS161&lt;&gt;"", SUMIFS($AS$10:AS161, $BG$10:BG161, BG161), "")</f>
        <v>361619.59999999992</v>
      </c>
      <c r="AX161" s="123">
        <f t="shared" ca="1" si="79"/>
        <v>166.71077348066299</v>
      </c>
      <c r="AY161" s="124" t="str">
        <f t="shared" ca="1" si="69"/>
        <v>LINK</v>
      </c>
      <c r="AZ161" t="s">
        <v>504</v>
      </c>
      <c r="BA161" s="125" t="s">
        <v>332</v>
      </c>
      <c r="BB161" t="str">
        <f t="shared" si="70"/>
        <v>25</v>
      </c>
      <c r="BC161" t="str">
        <f t="shared" si="71"/>
        <v>08</v>
      </c>
      <c r="BD161">
        <f t="shared" si="72"/>
        <v>29</v>
      </c>
      <c r="BE161" t="str">
        <f t="shared" si="73"/>
        <v>N</v>
      </c>
      <c r="BF161" t="str">
        <f t="shared" si="77"/>
        <v>https://www.coreplan.io/app/ddh1-drilling/speewah-mining-speewah-fluorite-project-wa/plods/1665-250829N</v>
      </c>
      <c r="BG161" t="str">
        <f t="shared" si="74"/>
        <v>2025-08</v>
      </c>
    </row>
    <row r="162" spans="1:59">
      <c r="A162" s="510" t="str">
        <f>VLOOKUP(F162,'Tenement Lookup'!A:BH,60,FALSE)</f>
        <v>M 80/269</v>
      </c>
      <c r="B162" t="str">
        <f>VLOOKUP(F162,Purpose!$A$2:$B$334,2,FALSE)</f>
        <v>Infill</v>
      </c>
      <c r="C162" s="151" t="s">
        <v>8</v>
      </c>
      <c r="D162" s="1">
        <f t="shared" si="62"/>
        <v>45899.21</v>
      </c>
      <c r="E162" t="s">
        <v>171</v>
      </c>
      <c r="F162" s="501" t="s">
        <v>498</v>
      </c>
      <c r="H162" s="4" t="s">
        <v>494</v>
      </c>
      <c r="I162" s="4">
        <v>3</v>
      </c>
      <c r="J162" s="122">
        <f t="shared" si="59"/>
        <v>390</v>
      </c>
      <c r="K162" s="21"/>
      <c r="L162" s="28"/>
      <c r="M162" s="22">
        <f t="shared" si="64"/>
        <v>0</v>
      </c>
      <c r="N162" s="30">
        <v>108.6</v>
      </c>
      <c r="O162" s="26">
        <v>130</v>
      </c>
      <c r="P162" s="31">
        <f t="shared" si="81"/>
        <v>21.400000000000006</v>
      </c>
      <c r="Q162" s="21"/>
      <c r="R162" s="28"/>
      <c r="S162" s="22">
        <f t="shared" si="84"/>
        <v>0</v>
      </c>
      <c r="T162" s="30"/>
      <c r="U162" s="26"/>
      <c r="V162" s="31">
        <f t="shared" si="82"/>
        <v>0</v>
      </c>
      <c r="W162" s="26">
        <f t="shared" si="75"/>
        <v>21.400000000000006</v>
      </c>
      <c r="X162" s="36">
        <f t="shared" si="57"/>
        <v>2889.0000000000009</v>
      </c>
      <c r="Y162" s="301">
        <f t="shared" si="85"/>
        <v>2889.0000000000009</v>
      </c>
      <c r="Z162" s="38"/>
      <c r="AA162" s="38">
        <v>1</v>
      </c>
      <c r="AB162" s="38">
        <v>1</v>
      </c>
      <c r="AC162" s="38">
        <v>13122</v>
      </c>
      <c r="AD162" s="157">
        <f t="shared" si="76"/>
        <v>575</v>
      </c>
      <c r="AE162" s="29">
        <v>5</v>
      </c>
      <c r="AF162" s="29">
        <v>4.5</v>
      </c>
      <c r="AG162" s="40"/>
      <c r="AH162" s="44">
        <v>0.5</v>
      </c>
      <c r="AI162" s="13">
        <v>2</v>
      </c>
      <c r="AJ162" s="304" t="s">
        <v>505</v>
      </c>
      <c r="AK162" s="45"/>
      <c r="AL162" s="23"/>
      <c r="AM162" s="138"/>
      <c r="AN162" s="25">
        <f t="shared" ca="1" si="78"/>
        <v>12</v>
      </c>
      <c r="AO162" s="50"/>
      <c r="AP162" s="53">
        <f t="shared" si="66"/>
        <v>2970</v>
      </c>
      <c r="AQ162" s="322">
        <v>390</v>
      </c>
      <c r="AR162" s="324">
        <f t="shared" si="63"/>
        <v>0</v>
      </c>
      <c r="AS162" s="375">
        <f t="shared" si="83"/>
        <v>6824.0000000000009</v>
      </c>
      <c r="AT162" s="375">
        <v>6824</v>
      </c>
      <c r="AU162" s="344">
        <f t="shared" si="68"/>
        <v>5.7151230949589675E-2</v>
      </c>
      <c r="AV162" s="18">
        <f>IF(F162="","",(SUM($AS$6:AS162)))</f>
        <v>960770.81000000029</v>
      </c>
      <c r="AW162" s="18">
        <f>IF(AS162&lt;&gt;"", SUMIFS($AS$10:AS162, $BG$10:BG162, BG162), "")</f>
        <v>368443.59999999992</v>
      </c>
      <c r="AX162" s="123">
        <f t="shared" ca="1" si="79"/>
        <v>318.87850467289718</v>
      </c>
      <c r="AY162" s="124" t="str">
        <f t="shared" ca="1" si="69"/>
        <v>LINK</v>
      </c>
      <c r="AZ162" t="s">
        <v>506</v>
      </c>
      <c r="BA162" s="125" t="s">
        <v>332</v>
      </c>
      <c r="BB162" t="str">
        <f t="shared" si="70"/>
        <v>25</v>
      </c>
      <c r="BC162" t="str">
        <f t="shared" si="71"/>
        <v>08</v>
      </c>
      <c r="BD162">
        <f t="shared" si="72"/>
        <v>30</v>
      </c>
      <c r="BE162" t="str">
        <f t="shared" si="73"/>
        <v>D</v>
      </c>
      <c r="BF162" t="str">
        <f t="shared" si="77"/>
        <v>https://www.coreplan.io/app/ddh1-drilling/speewah-mining-speewah-fluorite-project-wa/plods/1665-250830D</v>
      </c>
      <c r="BG162" t="str">
        <f t="shared" si="74"/>
        <v>2025-08</v>
      </c>
    </row>
    <row r="163" spans="1:59">
      <c r="A163" s="510" t="str">
        <f>VLOOKUP(F163,'Tenement Lookup'!A:BH,60,FALSE)</f>
        <v>M 80/268</v>
      </c>
      <c r="B163" t="s">
        <v>507</v>
      </c>
      <c r="C163" s="151" t="s">
        <v>508</v>
      </c>
      <c r="D163" s="1">
        <f t="shared" si="62"/>
        <v>45899.71</v>
      </c>
      <c r="E163" t="s">
        <v>172</v>
      </c>
      <c r="F163" s="501" t="s">
        <v>509</v>
      </c>
      <c r="H163" s="4" t="s">
        <v>392</v>
      </c>
      <c r="I163" s="4">
        <v>3</v>
      </c>
      <c r="J163" s="122">
        <f t="shared" si="59"/>
        <v>390</v>
      </c>
      <c r="K163" s="21">
        <v>0</v>
      </c>
      <c r="L163" s="28">
        <v>0</v>
      </c>
      <c r="M163" s="22">
        <f t="shared" si="64"/>
        <v>0</v>
      </c>
      <c r="N163" s="30"/>
      <c r="O163" s="26"/>
      <c r="P163" s="31">
        <f t="shared" si="81"/>
        <v>0</v>
      </c>
      <c r="Q163" s="21"/>
      <c r="R163" s="28"/>
      <c r="S163" s="22">
        <f t="shared" si="84"/>
        <v>0</v>
      </c>
      <c r="T163" s="30"/>
      <c r="U163" s="26"/>
      <c r="V163" s="31">
        <f t="shared" si="82"/>
        <v>0</v>
      </c>
      <c r="W163" s="26">
        <f t="shared" si="75"/>
        <v>0</v>
      </c>
      <c r="X163" s="36">
        <f t="shared" si="57"/>
        <v>0</v>
      </c>
      <c r="Y163" s="301">
        <f t="shared" si="85"/>
        <v>0</v>
      </c>
      <c r="Z163" s="38"/>
      <c r="AA163" s="38"/>
      <c r="AB163" s="38"/>
      <c r="AC163" s="38"/>
      <c r="AD163" s="157">
        <f t="shared" si="76"/>
        <v>0</v>
      </c>
      <c r="AE163" s="29">
        <v>0</v>
      </c>
      <c r="AF163" s="29">
        <v>11.5</v>
      </c>
      <c r="AG163" s="40" t="s">
        <v>510</v>
      </c>
      <c r="AH163" s="44">
        <v>0.5</v>
      </c>
      <c r="AI163" s="13"/>
      <c r="AJ163" s="304"/>
      <c r="AK163" s="45"/>
      <c r="AL163" s="23"/>
      <c r="AM163" s="138"/>
      <c r="AN163" s="25">
        <f t="shared" ca="1" si="78"/>
        <v>12</v>
      </c>
      <c r="AO163" s="50"/>
      <c r="AP163" s="53">
        <f t="shared" si="66"/>
        <v>5470</v>
      </c>
      <c r="AQ163" s="322">
        <v>1151</v>
      </c>
      <c r="AR163" s="324">
        <f t="shared" si="63"/>
        <v>761</v>
      </c>
      <c r="AS163" s="375">
        <f t="shared" si="83"/>
        <v>6621</v>
      </c>
      <c r="AT163" s="375">
        <v>6621</v>
      </c>
      <c r="AU163" s="344">
        <f t="shared" si="68"/>
        <v>5.8903488898957863E-2</v>
      </c>
      <c r="AV163" s="18">
        <f>IF(F163="","",(SUM($AS$6:AS163)))</f>
        <v>967391.81000000029</v>
      </c>
      <c r="AW163" s="18">
        <f>IF(AS163&lt;&gt;"", SUMIFS($AS$10:AS163, $BG$10:BG163, BG163), "")</f>
        <v>375064.59999999992</v>
      </c>
      <c r="AX163" s="123" t="str">
        <f t="shared" ca="1" si="79"/>
        <v/>
      </c>
      <c r="AY163" s="124" t="str">
        <f t="shared" ca="1" si="69"/>
        <v>LINK</v>
      </c>
      <c r="AZ163" t="s">
        <v>511</v>
      </c>
      <c r="BA163" s="125" t="s">
        <v>332</v>
      </c>
      <c r="BB163" t="str">
        <f t="shared" si="70"/>
        <v>25</v>
      </c>
      <c r="BC163" t="str">
        <f t="shared" si="71"/>
        <v>08</v>
      </c>
      <c r="BD163">
        <f t="shared" si="72"/>
        <v>30</v>
      </c>
      <c r="BE163" t="str">
        <f t="shared" si="73"/>
        <v>N</v>
      </c>
      <c r="BF163" t="str">
        <f t="shared" si="77"/>
        <v>https://www.coreplan.io/app/ddh1-drilling/speewah-mining-speewah-fluorite-project-wa/plods/1665-250830N</v>
      </c>
      <c r="BG163" t="str">
        <f t="shared" si="74"/>
        <v>2025-08</v>
      </c>
    </row>
    <row r="164" spans="1:59">
      <c r="A164" s="510" t="str">
        <f>VLOOKUP(F164,'Tenement Lookup'!A:BH,60,FALSE)</f>
        <v>M 80/268</v>
      </c>
      <c r="B164" t="s">
        <v>507</v>
      </c>
      <c r="C164" s="151" t="s">
        <v>508</v>
      </c>
      <c r="D164" s="1">
        <f t="shared" si="62"/>
        <v>45900.21</v>
      </c>
      <c r="E164" t="s">
        <v>171</v>
      </c>
      <c r="F164" s="501" t="s">
        <v>509</v>
      </c>
      <c r="H164" s="4" t="s">
        <v>494</v>
      </c>
      <c r="I164" s="4">
        <v>3</v>
      </c>
      <c r="J164" s="122">
        <f t="shared" si="59"/>
        <v>390</v>
      </c>
      <c r="K164" s="21">
        <v>0</v>
      </c>
      <c r="L164" s="28">
        <v>12</v>
      </c>
      <c r="M164" s="22">
        <f t="shared" si="64"/>
        <v>12</v>
      </c>
      <c r="N164" s="30"/>
      <c r="O164" s="26"/>
      <c r="P164" s="31">
        <f t="shared" si="81"/>
        <v>0</v>
      </c>
      <c r="Q164" s="21"/>
      <c r="R164" s="28"/>
      <c r="S164" s="22">
        <f t="shared" si="84"/>
        <v>0</v>
      </c>
      <c r="T164" s="30"/>
      <c r="U164" s="26"/>
      <c r="V164" s="31">
        <f t="shared" si="82"/>
        <v>0</v>
      </c>
      <c r="W164" s="26">
        <f t="shared" si="75"/>
        <v>12</v>
      </c>
      <c r="X164" s="36">
        <f t="shared" si="57"/>
        <v>2100</v>
      </c>
      <c r="Y164" s="301">
        <f t="shared" si="85"/>
        <v>2530</v>
      </c>
      <c r="Z164" s="38"/>
      <c r="AA164" s="38">
        <v>1</v>
      </c>
      <c r="AB164" s="38">
        <v>1</v>
      </c>
      <c r="AC164" s="38">
        <v>13122</v>
      </c>
      <c r="AD164" s="157">
        <f t="shared" si="76"/>
        <v>575</v>
      </c>
      <c r="AE164" s="29">
        <v>5.5</v>
      </c>
      <c r="AF164" s="29">
        <v>5.5</v>
      </c>
      <c r="AG164" s="40"/>
      <c r="AH164" s="44">
        <v>0.5</v>
      </c>
      <c r="AI164" s="13"/>
      <c r="AJ164" s="304"/>
      <c r="AK164" s="45">
        <v>0.5</v>
      </c>
      <c r="AL164" s="23"/>
      <c r="AM164" s="138"/>
      <c r="AN164" s="25">
        <f t="shared" ca="1" si="78"/>
        <v>12</v>
      </c>
      <c r="AO164" s="50"/>
      <c r="AP164" s="53">
        <f t="shared" si="66"/>
        <v>2710</v>
      </c>
      <c r="AQ164" s="322">
        <v>484.85</v>
      </c>
      <c r="AR164" s="324">
        <f t="shared" si="63"/>
        <v>94.850000000000023</v>
      </c>
      <c r="AS164" s="375">
        <f t="shared" si="83"/>
        <v>6299.85</v>
      </c>
      <c r="AT164" s="375">
        <v>6299.85</v>
      </c>
      <c r="AU164" s="344">
        <f t="shared" si="68"/>
        <v>6.1906235862758632E-2</v>
      </c>
      <c r="AV164" s="18">
        <f>IF(F164="","",(SUM($AS$6:AS164)))</f>
        <v>973691.66000000027</v>
      </c>
      <c r="AW164" s="18">
        <f>IF(AS164&lt;&gt;"", SUMIFS($AS$10:AS164, $BG$10:BG164, BG164), "")</f>
        <v>381364.4499999999</v>
      </c>
      <c r="AX164" s="123">
        <f t="shared" ca="1" si="79"/>
        <v>524.98750000000007</v>
      </c>
      <c r="AY164" s="124" t="str">
        <f t="shared" ca="1" si="69"/>
        <v>LINK</v>
      </c>
      <c r="BA164" s="125" t="s">
        <v>332</v>
      </c>
      <c r="BB164" t="str">
        <f t="shared" si="70"/>
        <v>25</v>
      </c>
      <c r="BC164" t="str">
        <f t="shared" si="71"/>
        <v>08</v>
      </c>
      <c r="BD164">
        <f t="shared" si="72"/>
        <v>31</v>
      </c>
      <c r="BE164" t="str">
        <f t="shared" si="73"/>
        <v>D</v>
      </c>
      <c r="BF164" t="str">
        <f t="shared" si="77"/>
        <v>https://www.coreplan.io/app/ddh1-drilling/speewah-mining-speewah-fluorite-project-wa/plods/1665-250831D</v>
      </c>
      <c r="BG164" t="str">
        <f t="shared" si="74"/>
        <v>2025-08</v>
      </c>
    </row>
    <row r="165" spans="1:59">
      <c r="A165" s="510" t="str">
        <f>VLOOKUP(F165,'Tenement Lookup'!A:BH,60,FALSE)</f>
        <v>M 80/268</v>
      </c>
      <c r="B165" t="s">
        <v>507</v>
      </c>
      <c r="C165" s="151" t="s">
        <v>508</v>
      </c>
      <c r="D165" s="1">
        <f t="shared" si="62"/>
        <v>45900.71</v>
      </c>
      <c r="E165" t="s">
        <v>172</v>
      </c>
      <c r="F165" s="501" t="s">
        <v>509</v>
      </c>
      <c r="H165" s="4" t="s">
        <v>392</v>
      </c>
      <c r="I165" s="4">
        <v>3</v>
      </c>
      <c r="J165" s="122">
        <f t="shared" si="59"/>
        <v>390</v>
      </c>
      <c r="K165" s="21">
        <v>12.6</v>
      </c>
      <c r="L165" s="28">
        <v>42.6</v>
      </c>
      <c r="M165" s="22">
        <f t="shared" si="64"/>
        <v>30</v>
      </c>
      <c r="N165" s="30"/>
      <c r="O165" s="26"/>
      <c r="P165" s="31">
        <f t="shared" si="81"/>
        <v>0</v>
      </c>
      <c r="Q165" s="21"/>
      <c r="R165" s="28"/>
      <c r="S165" s="22">
        <f t="shared" si="84"/>
        <v>0</v>
      </c>
      <c r="T165" s="30"/>
      <c r="U165" s="26"/>
      <c r="V165" s="31">
        <f t="shared" si="82"/>
        <v>0</v>
      </c>
      <c r="W165" s="26">
        <f t="shared" si="75"/>
        <v>30</v>
      </c>
      <c r="X165" s="36">
        <f t="shared" si="57"/>
        <v>5250</v>
      </c>
      <c r="Y165" s="301">
        <f t="shared" si="85"/>
        <v>5250</v>
      </c>
      <c r="Z165" s="38"/>
      <c r="AA165" s="38"/>
      <c r="AB165" s="38"/>
      <c r="AC165" s="38"/>
      <c r="AD165" s="157">
        <f t="shared" si="76"/>
        <v>0</v>
      </c>
      <c r="AE165" s="29">
        <v>10</v>
      </c>
      <c r="AF165" s="29">
        <v>1</v>
      </c>
      <c r="AG165" s="40"/>
      <c r="AH165" s="44">
        <v>0.5</v>
      </c>
      <c r="AI165" s="13"/>
      <c r="AJ165" s="304"/>
      <c r="AK165" s="45">
        <v>0.5</v>
      </c>
      <c r="AL165" s="23"/>
      <c r="AM165" s="138"/>
      <c r="AN165" s="25">
        <f t="shared" ca="1" si="78"/>
        <v>12</v>
      </c>
      <c r="AO165" s="50"/>
      <c r="AP165" s="53">
        <f t="shared" si="66"/>
        <v>640</v>
      </c>
      <c r="AQ165" s="322">
        <v>8935.43</v>
      </c>
      <c r="AR165" s="324">
        <f t="shared" si="63"/>
        <v>8545.43</v>
      </c>
      <c r="AS165" s="375">
        <f t="shared" si="83"/>
        <v>14825.43</v>
      </c>
      <c r="AT165" s="375">
        <v>14825.43</v>
      </c>
      <c r="AU165" s="344">
        <f t="shared" si="68"/>
        <v>2.6306150985165352E-2</v>
      </c>
      <c r="AV165" s="18">
        <f>IF(F165="","",(SUM($AS$6:AS165)))</f>
        <v>988517.09000000032</v>
      </c>
      <c r="AW165" s="18">
        <f>IF(AS165&lt;&gt;"", SUMIFS($AS$10:AS165, $BG$10:BG165, BG165), "")</f>
        <v>396189.87999999989</v>
      </c>
      <c r="AX165" s="123">
        <f t="shared" ca="1" si="79"/>
        <v>494.18099999999998</v>
      </c>
      <c r="AY165" s="124" t="str">
        <f t="shared" ca="1" si="69"/>
        <v>LINK</v>
      </c>
      <c r="BA165" s="125" t="s">
        <v>332</v>
      </c>
      <c r="BB165" t="str">
        <f t="shared" si="70"/>
        <v>25</v>
      </c>
      <c r="BC165" t="str">
        <f t="shared" si="71"/>
        <v>08</v>
      </c>
      <c r="BD165">
        <f t="shared" si="72"/>
        <v>31</v>
      </c>
      <c r="BE165" t="str">
        <f t="shared" si="73"/>
        <v>N</v>
      </c>
      <c r="BF165" t="str">
        <f t="shared" si="77"/>
        <v>https://www.coreplan.io/app/ddh1-drilling/speewah-mining-speewah-fluorite-project-wa/plods/1665-250831N</v>
      </c>
      <c r="BG165" t="str">
        <f t="shared" si="74"/>
        <v>2025-08</v>
      </c>
    </row>
    <row r="166" spans="1:59">
      <c r="A166" s="510" t="str">
        <f>VLOOKUP(F166,'Tenement Lookup'!A:BH,60,FALSE)</f>
        <v>M 80/268</v>
      </c>
      <c r="B166" t="s">
        <v>507</v>
      </c>
      <c r="C166" s="151" t="s">
        <v>508</v>
      </c>
      <c r="D166" s="1">
        <f t="shared" si="62"/>
        <v>45901.21</v>
      </c>
      <c r="E166" t="s">
        <v>171</v>
      </c>
      <c r="F166" s="501" t="s">
        <v>509</v>
      </c>
      <c r="H166" s="4" t="s">
        <v>494</v>
      </c>
      <c r="I166" s="4">
        <v>3</v>
      </c>
      <c r="J166" s="122">
        <f t="shared" si="59"/>
        <v>390</v>
      </c>
      <c r="K166" s="21">
        <v>42.6</v>
      </c>
      <c r="L166" s="28">
        <v>50</v>
      </c>
      <c r="M166" s="22">
        <f t="shared" si="64"/>
        <v>7.3999999999999986</v>
      </c>
      <c r="N166" s="30"/>
      <c r="O166" s="26"/>
      <c r="P166" s="31">
        <f t="shared" si="81"/>
        <v>0</v>
      </c>
      <c r="Q166" s="21"/>
      <c r="R166" s="28"/>
      <c r="S166" s="22">
        <f t="shared" si="84"/>
        <v>0</v>
      </c>
      <c r="T166" s="30"/>
      <c r="U166" s="26"/>
      <c r="V166" s="31">
        <f t="shared" si="82"/>
        <v>0</v>
      </c>
      <c r="W166" s="26">
        <f t="shared" si="75"/>
        <v>7.3999999999999986</v>
      </c>
      <c r="X166" s="36">
        <f t="shared" si="57"/>
        <v>1294.9999999999998</v>
      </c>
      <c r="Y166" s="301">
        <f t="shared" si="85"/>
        <v>1840</v>
      </c>
      <c r="Z166" s="38"/>
      <c r="AA166" s="38">
        <v>1</v>
      </c>
      <c r="AB166" s="38">
        <v>1</v>
      </c>
      <c r="AC166" s="38">
        <v>13122</v>
      </c>
      <c r="AD166" s="157">
        <f t="shared" si="76"/>
        <v>575</v>
      </c>
      <c r="AE166" s="29">
        <v>4</v>
      </c>
      <c r="AF166" s="29">
        <v>6.5</v>
      </c>
      <c r="AG166" s="40"/>
      <c r="AH166" s="44">
        <v>1.5</v>
      </c>
      <c r="AI166" s="13"/>
      <c r="AJ166" s="304"/>
      <c r="AK166" s="45"/>
      <c r="AL166" s="23"/>
      <c r="AM166" s="138"/>
      <c r="AN166" s="25">
        <f t="shared" ca="1" si="78"/>
        <v>12</v>
      </c>
      <c r="AO166" s="50"/>
      <c r="AP166" s="53">
        <f t="shared" si="66"/>
        <v>3530</v>
      </c>
      <c r="AQ166" s="322">
        <v>390</v>
      </c>
      <c r="AR166" s="324">
        <f t="shared" si="63"/>
        <v>0</v>
      </c>
      <c r="AS166" s="375">
        <f t="shared" si="83"/>
        <v>6335</v>
      </c>
      <c r="AT166" s="375">
        <v>6335</v>
      </c>
      <c r="AU166" s="344">
        <f t="shared" si="68"/>
        <v>6.1562746645619573E-2</v>
      </c>
      <c r="AV166" s="18">
        <f>IF(F166="","",(SUM($AS$6:AS166)))</f>
        <v>994852.09000000032</v>
      </c>
      <c r="AW166" s="18">
        <f>IF(AS166&lt;&gt;"", SUMIFS($AS$10:AS166, $BG$10:BG166, BG166), "")</f>
        <v>6335</v>
      </c>
      <c r="AX166" s="123">
        <f t="shared" ref="AX166:AX197" ca="1" si="86">IF(AND(D166&gt;TODAY(),ISBLANK(H166)),"",IF(ISBLANK(AE166),"no drilling completed",AS166/(W166)))</f>
        <v>856.08108108108127</v>
      </c>
      <c r="AY166" s="124" t="str">
        <f t="shared" ca="1" si="69"/>
        <v>LINK</v>
      </c>
      <c r="BA166" s="125" t="s">
        <v>332</v>
      </c>
      <c r="BB166" t="str">
        <f t="shared" si="70"/>
        <v>25</v>
      </c>
      <c r="BC166" t="str">
        <f t="shared" si="71"/>
        <v>09</v>
      </c>
      <c r="BD166" t="str">
        <f t="shared" si="72"/>
        <v>01</v>
      </c>
      <c r="BE166" t="str">
        <f t="shared" si="73"/>
        <v>D</v>
      </c>
      <c r="BF166" t="str">
        <f t="shared" si="77"/>
        <v>https://www.coreplan.io/app/ddh1-drilling/speewah-mining-speewah-fluorite-project-wa/plods/1665-250901D</v>
      </c>
      <c r="BG166" t="str">
        <f t="shared" si="74"/>
        <v>2025-09</v>
      </c>
    </row>
    <row r="167" spans="1:59">
      <c r="A167" s="510" t="str">
        <f>VLOOKUP(F167,'Tenement Lookup'!A:BH,60,FALSE)</f>
        <v>M 80/269</v>
      </c>
      <c r="B167" t="s">
        <v>507</v>
      </c>
      <c r="C167" s="151" t="s">
        <v>508</v>
      </c>
      <c r="D167" s="1">
        <f t="shared" si="62"/>
        <v>45901.71</v>
      </c>
      <c r="E167" t="s">
        <v>172</v>
      </c>
      <c r="F167" s="501" t="s">
        <v>512</v>
      </c>
      <c r="H167" s="4" t="s">
        <v>392</v>
      </c>
      <c r="I167" s="4">
        <v>3</v>
      </c>
      <c r="J167" s="122">
        <f t="shared" si="59"/>
        <v>390</v>
      </c>
      <c r="K167" s="21">
        <v>0</v>
      </c>
      <c r="L167" s="28">
        <v>7.7</v>
      </c>
      <c r="M167" s="22">
        <f t="shared" si="64"/>
        <v>7.7</v>
      </c>
      <c r="N167" s="30"/>
      <c r="O167" s="26"/>
      <c r="P167" s="31">
        <f t="shared" si="81"/>
        <v>0</v>
      </c>
      <c r="Q167" s="21"/>
      <c r="R167" s="28"/>
      <c r="S167" s="22">
        <f t="shared" si="84"/>
        <v>0</v>
      </c>
      <c r="T167" s="30"/>
      <c r="U167" s="26"/>
      <c r="V167" s="31">
        <f t="shared" si="82"/>
        <v>0</v>
      </c>
      <c r="W167" s="26">
        <f t="shared" si="75"/>
        <v>7.7</v>
      </c>
      <c r="X167" s="36">
        <f t="shared" si="57"/>
        <v>1347.5</v>
      </c>
      <c r="Y167" s="301">
        <f t="shared" si="85"/>
        <v>1347.5</v>
      </c>
      <c r="Z167" s="38"/>
      <c r="AA167" s="38"/>
      <c r="AB167" s="38"/>
      <c r="AC167" s="38"/>
      <c r="AD167" s="157">
        <f t="shared" si="76"/>
        <v>0</v>
      </c>
      <c r="AE167" s="29">
        <v>2.5</v>
      </c>
      <c r="AF167" s="29">
        <v>9</v>
      </c>
      <c r="AG167" s="40"/>
      <c r="AH167" s="44">
        <v>0.5</v>
      </c>
      <c r="AI167" s="13"/>
      <c r="AJ167" s="304"/>
      <c r="AK167" s="45"/>
      <c r="AL167" s="23"/>
      <c r="AM167" s="138"/>
      <c r="AN167" s="25">
        <f t="shared" ca="1" si="78"/>
        <v>12</v>
      </c>
      <c r="AO167" s="50"/>
      <c r="AP167" s="53">
        <f t="shared" si="66"/>
        <v>4320</v>
      </c>
      <c r="AQ167" s="322">
        <v>1123.6300000000001</v>
      </c>
      <c r="AR167" s="324">
        <f t="shared" si="63"/>
        <v>733.63000000000011</v>
      </c>
      <c r="AS167" s="375">
        <f t="shared" si="83"/>
        <v>6791.13</v>
      </c>
      <c r="AT167" s="375">
        <v>6791.13</v>
      </c>
      <c r="AU167" s="344">
        <f t="shared" si="68"/>
        <v>5.7427850740598398E-2</v>
      </c>
      <c r="AV167" s="18">
        <f>IF(F167="","",(SUM($AS$6:AS167)))</f>
        <v>1001643.2200000003</v>
      </c>
      <c r="AW167" s="18">
        <f>IF(AS167&lt;&gt;"", SUMIFS($AS$10:AS167, $BG$10:BG167, BG167), "")</f>
        <v>13126.130000000001</v>
      </c>
      <c r="AX167" s="123">
        <f t="shared" ca="1" si="86"/>
        <v>881.96493506493505</v>
      </c>
      <c r="AY167" s="124" t="str">
        <f t="shared" ca="1" si="69"/>
        <v>LINK</v>
      </c>
      <c r="BA167" s="125" t="s">
        <v>332</v>
      </c>
      <c r="BB167" t="str">
        <f t="shared" si="70"/>
        <v>25</v>
      </c>
      <c r="BC167" t="str">
        <f t="shared" si="71"/>
        <v>09</v>
      </c>
      <c r="BD167" t="str">
        <f t="shared" si="72"/>
        <v>01</v>
      </c>
      <c r="BE167" t="str">
        <f t="shared" si="73"/>
        <v>N</v>
      </c>
      <c r="BF167" t="str">
        <f t="shared" si="77"/>
        <v>https://www.coreplan.io/app/ddh1-drilling/speewah-mining-speewah-fluorite-project-wa/plods/1665-250901N</v>
      </c>
      <c r="BG167" t="str">
        <f t="shared" si="74"/>
        <v>2025-09</v>
      </c>
    </row>
    <row r="168" spans="1:59">
      <c r="A168" s="510" t="str">
        <f>VLOOKUP(F168,'Tenement Lookup'!A:BH,60,FALSE)</f>
        <v>M 80/269</v>
      </c>
      <c r="B168" t="s">
        <v>507</v>
      </c>
      <c r="C168" s="151" t="s">
        <v>508</v>
      </c>
      <c r="D168" s="1">
        <f t="shared" si="62"/>
        <v>45902.21</v>
      </c>
      <c r="E168" t="s">
        <v>171</v>
      </c>
      <c r="F168" s="501" t="s">
        <v>512</v>
      </c>
      <c r="H168" s="4" t="s">
        <v>494</v>
      </c>
      <c r="I168" s="4">
        <v>3</v>
      </c>
      <c r="J168" s="122">
        <f t="shared" ref="J168:J231" si="87">IF(ISBLANK(I168),"",I168*$J$2)</f>
        <v>390</v>
      </c>
      <c r="K168" s="21">
        <v>7.7</v>
      </c>
      <c r="L168" s="28">
        <v>28.8</v>
      </c>
      <c r="M168" s="22">
        <f t="shared" si="64"/>
        <v>21.1</v>
      </c>
      <c r="N168" s="30"/>
      <c r="O168" s="26"/>
      <c r="P168" s="31">
        <f t="shared" si="81"/>
        <v>0</v>
      </c>
      <c r="Q168" s="21"/>
      <c r="R168" s="28"/>
      <c r="S168" s="22">
        <f t="shared" si="84"/>
        <v>0</v>
      </c>
      <c r="T168" s="30"/>
      <c r="U168" s="26"/>
      <c r="V168" s="31">
        <f t="shared" si="82"/>
        <v>0</v>
      </c>
      <c r="W168" s="26">
        <f t="shared" si="75"/>
        <v>21.1</v>
      </c>
      <c r="X168" s="36">
        <f t="shared" ref="X168:X174" si="88">IFERROR((M168*$M$2)+(P168*$P$2)+(S168*$S$2)+(V168*$V$2),"")</f>
        <v>3692.5000000000005</v>
      </c>
      <c r="Y168" s="301">
        <f t="shared" si="85"/>
        <v>3692.5000000000005</v>
      </c>
      <c r="Z168" s="38"/>
      <c r="AA168" s="38">
        <v>1</v>
      </c>
      <c r="AB168" s="38">
        <v>1</v>
      </c>
      <c r="AC168" s="38">
        <v>13122</v>
      </c>
      <c r="AD168" s="157">
        <f t="shared" si="76"/>
        <v>575</v>
      </c>
      <c r="AE168" s="29">
        <v>7.75</v>
      </c>
      <c r="AF168" s="29">
        <v>3.75</v>
      </c>
      <c r="AG168" s="40"/>
      <c r="AH168" s="44">
        <v>0.5</v>
      </c>
      <c r="AI168" s="13"/>
      <c r="AJ168" s="304"/>
      <c r="AK168" s="45"/>
      <c r="AL168" s="23"/>
      <c r="AM168" s="138"/>
      <c r="AN168" s="25">
        <f t="shared" ca="1" si="78"/>
        <v>12</v>
      </c>
      <c r="AO168" s="50"/>
      <c r="AP168" s="53">
        <f t="shared" si="66"/>
        <v>1905</v>
      </c>
      <c r="AQ168" s="322">
        <v>817.99</v>
      </c>
      <c r="AR168" s="324">
        <f t="shared" si="63"/>
        <v>427.99</v>
      </c>
      <c r="AS168" s="375">
        <f t="shared" si="83"/>
        <v>6990.49</v>
      </c>
      <c r="AT168" s="375">
        <v>6990.49</v>
      </c>
      <c r="AU168" s="344">
        <f t="shared" si="68"/>
        <v>5.5790080523682888E-2</v>
      </c>
      <c r="AV168" s="18">
        <f>IF(F168="","",(SUM($AS$6:AS168)))</f>
        <v>1008633.7100000003</v>
      </c>
      <c r="AW168" s="18">
        <f>IF(AS168&lt;&gt;"", SUMIFS($AS$10:AS168, $BG$10:BG168, BG168), "")</f>
        <v>20116.620000000003</v>
      </c>
      <c r="AX168" s="123">
        <f t="shared" ca="1" si="86"/>
        <v>331.30284360189569</v>
      </c>
      <c r="AY168" s="124" t="str">
        <f t="shared" ca="1" si="69"/>
        <v>LINK</v>
      </c>
      <c r="AZ168" s="10" t="s">
        <v>513</v>
      </c>
      <c r="BA168" s="125" t="s">
        <v>332</v>
      </c>
      <c r="BB168" t="str">
        <f t="shared" si="70"/>
        <v>25</v>
      </c>
      <c r="BC168" t="str">
        <f t="shared" si="71"/>
        <v>09</v>
      </c>
      <c r="BD168" t="str">
        <f t="shared" si="72"/>
        <v>02</v>
      </c>
      <c r="BE168" t="str">
        <f t="shared" si="73"/>
        <v>D</v>
      </c>
      <c r="BF168" t="str">
        <f t="shared" si="77"/>
        <v>https://www.coreplan.io/app/ddh1-drilling/speewah-mining-speewah-fluorite-project-wa/plods/1665-250902D</v>
      </c>
      <c r="BG168" t="str">
        <f t="shared" si="74"/>
        <v>2025-09</v>
      </c>
    </row>
    <row r="169" spans="1:59">
      <c r="A169" s="510" t="str">
        <f>VLOOKUP(F169,'Tenement Lookup'!A:BH,60,FALSE)</f>
        <v>M 80/269</v>
      </c>
      <c r="B169" t="s">
        <v>507</v>
      </c>
      <c r="C169" s="151" t="s">
        <v>508</v>
      </c>
      <c r="D169" s="1">
        <f t="shared" si="62"/>
        <v>45902.71</v>
      </c>
      <c r="E169" t="s">
        <v>172</v>
      </c>
      <c r="F169" s="501" t="s">
        <v>512</v>
      </c>
      <c r="H169" s="4" t="s">
        <v>392</v>
      </c>
      <c r="I169" s="4">
        <v>3</v>
      </c>
      <c r="J169" s="122">
        <f t="shared" si="87"/>
        <v>390</v>
      </c>
      <c r="K169" s="21">
        <v>28.8</v>
      </c>
      <c r="L169" s="28">
        <v>35.9</v>
      </c>
      <c r="M169" s="22">
        <f t="shared" si="64"/>
        <v>7.0999999999999979</v>
      </c>
      <c r="N169" s="30"/>
      <c r="O169" s="26"/>
      <c r="P169" s="31">
        <f t="shared" si="81"/>
        <v>0</v>
      </c>
      <c r="Q169" s="21"/>
      <c r="R169" s="28"/>
      <c r="S169" s="22">
        <f t="shared" si="84"/>
        <v>0</v>
      </c>
      <c r="T169" s="30"/>
      <c r="U169" s="26"/>
      <c r="V169" s="31">
        <f t="shared" si="82"/>
        <v>0</v>
      </c>
      <c r="W169" s="26">
        <f t="shared" si="75"/>
        <v>7.0999999999999979</v>
      </c>
      <c r="X169" s="36">
        <f t="shared" si="88"/>
        <v>1242.4999999999995</v>
      </c>
      <c r="Y169" s="301">
        <f t="shared" si="85"/>
        <v>2990</v>
      </c>
      <c r="Z169" s="38"/>
      <c r="AA169" s="38"/>
      <c r="AB169" s="38"/>
      <c r="AC169" s="38"/>
      <c r="AD169" s="157">
        <f t="shared" si="76"/>
        <v>0</v>
      </c>
      <c r="AE169" s="29">
        <v>6.5</v>
      </c>
      <c r="AF169" s="29">
        <v>5</v>
      </c>
      <c r="AG169" s="40" t="s">
        <v>514</v>
      </c>
      <c r="AH169" s="44">
        <v>0.5</v>
      </c>
      <c r="AI169" s="13"/>
      <c r="AJ169" s="304"/>
      <c r="AK169" s="45"/>
      <c r="AL169" s="23"/>
      <c r="AM169" s="138"/>
      <c r="AN169" s="25">
        <f t="shared" ca="1" si="78"/>
        <v>12</v>
      </c>
      <c r="AO169" s="50"/>
      <c r="AP169" s="53">
        <f t="shared" si="66"/>
        <v>2480</v>
      </c>
      <c r="AQ169" s="322">
        <v>507.93</v>
      </c>
      <c r="AR169" s="324">
        <f t="shared" si="63"/>
        <v>117.93</v>
      </c>
      <c r="AS169" s="375">
        <f t="shared" si="83"/>
        <v>5977.93</v>
      </c>
      <c r="AT169" s="375">
        <v>5977.93</v>
      </c>
      <c r="AU169" s="344">
        <f t="shared" si="68"/>
        <v>6.5239974372399812E-2</v>
      </c>
      <c r="AV169" s="18">
        <f>IF(F169="","",(SUM($AS$6:AS169)))</f>
        <v>1014611.6400000004</v>
      </c>
      <c r="AW169" s="18">
        <f>IF(AS169&lt;&gt;"", SUMIFS($AS$10:AS169, $BG$10:BG169, BG169), "")</f>
        <v>26094.550000000003</v>
      </c>
      <c r="AX169" s="123">
        <f t="shared" ca="1" si="86"/>
        <v>841.96197183098616</v>
      </c>
      <c r="AY169" s="124" t="str">
        <f t="shared" ca="1" si="69"/>
        <v>LINK</v>
      </c>
      <c r="BA169" s="125" t="s">
        <v>332</v>
      </c>
      <c r="BB169" t="str">
        <f t="shared" si="70"/>
        <v>25</v>
      </c>
      <c r="BC169" t="str">
        <f t="shared" si="71"/>
        <v>09</v>
      </c>
      <c r="BD169" t="str">
        <f t="shared" si="72"/>
        <v>02</v>
      </c>
      <c r="BE169" t="str">
        <f t="shared" si="73"/>
        <v>N</v>
      </c>
      <c r="BF169" t="str">
        <f t="shared" si="77"/>
        <v>https://www.coreplan.io/app/ddh1-drilling/speewah-mining-speewah-fluorite-project-wa/plods/1665-250902N</v>
      </c>
      <c r="BG169" t="str">
        <f t="shared" si="74"/>
        <v>2025-09</v>
      </c>
    </row>
    <row r="170" spans="1:59">
      <c r="A170" s="510" t="str">
        <f>VLOOKUP(F170,'Tenement Lookup'!A:BH,60,FALSE)</f>
        <v>M 80/269</v>
      </c>
      <c r="B170" t="s">
        <v>507</v>
      </c>
      <c r="C170" s="151" t="s">
        <v>508</v>
      </c>
      <c r="D170" s="1">
        <f t="shared" si="62"/>
        <v>45903.21</v>
      </c>
      <c r="E170" t="s">
        <v>171</v>
      </c>
      <c r="F170" s="501" t="s">
        <v>512</v>
      </c>
      <c r="H170" s="4" t="s">
        <v>494</v>
      </c>
      <c r="I170" s="4">
        <v>3</v>
      </c>
      <c r="J170" s="122">
        <f t="shared" si="87"/>
        <v>390</v>
      </c>
      <c r="K170" s="21">
        <v>35.9</v>
      </c>
      <c r="L170" s="28">
        <v>41.8</v>
      </c>
      <c r="M170" s="22">
        <f t="shared" si="64"/>
        <v>5.8999999999999986</v>
      </c>
      <c r="N170" s="30"/>
      <c r="O170" s="26"/>
      <c r="P170" s="31">
        <f t="shared" si="81"/>
        <v>0</v>
      </c>
      <c r="Q170" s="21"/>
      <c r="R170" s="28"/>
      <c r="S170" s="22">
        <f t="shared" si="84"/>
        <v>0</v>
      </c>
      <c r="T170" s="30"/>
      <c r="U170" s="26"/>
      <c r="V170" s="31">
        <f t="shared" si="82"/>
        <v>0</v>
      </c>
      <c r="W170" s="26">
        <f t="shared" si="75"/>
        <v>5.8999999999999986</v>
      </c>
      <c r="X170" s="36">
        <f t="shared" si="88"/>
        <v>1032.4999999999998</v>
      </c>
      <c r="Y170" s="301">
        <f t="shared" si="85"/>
        <v>1380</v>
      </c>
      <c r="Z170" s="38"/>
      <c r="AA170" s="38">
        <v>1</v>
      </c>
      <c r="AB170" s="38">
        <v>1</v>
      </c>
      <c r="AC170" s="38">
        <v>13122</v>
      </c>
      <c r="AD170" s="157">
        <f t="shared" si="76"/>
        <v>575</v>
      </c>
      <c r="AE170" s="29">
        <v>3</v>
      </c>
      <c r="AF170" s="29">
        <v>7.5</v>
      </c>
      <c r="AG170" s="40" t="s">
        <v>515</v>
      </c>
      <c r="AH170" s="44">
        <v>1.5</v>
      </c>
      <c r="AI170" s="13"/>
      <c r="AJ170" s="304"/>
      <c r="AK170" s="45"/>
      <c r="AL170" s="23"/>
      <c r="AM170" s="138"/>
      <c r="AN170" s="25">
        <f t="shared" ca="1" si="78"/>
        <v>12</v>
      </c>
      <c r="AO170" s="50"/>
      <c r="AP170" s="53">
        <f t="shared" si="66"/>
        <v>3990</v>
      </c>
      <c r="AQ170" s="322">
        <v>390</v>
      </c>
      <c r="AR170" s="324">
        <f t="shared" si="63"/>
        <v>0</v>
      </c>
      <c r="AS170" s="375">
        <f t="shared" si="83"/>
        <v>6335</v>
      </c>
      <c r="AT170" s="375">
        <v>6335</v>
      </c>
      <c r="AU170" s="344">
        <f t="shared" si="68"/>
        <v>6.1562746645619573E-2</v>
      </c>
      <c r="AV170" s="18">
        <f>IF(F170="","",(SUM($AS$6:AS170)))</f>
        <v>1020946.6400000004</v>
      </c>
      <c r="AW170" s="18">
        <f>IF(AS170&lt;&gt;"", SUMIFS($AS$10:AS170, $BG$10:BG170, BG170), "")</f>
        <v>32429.550000000003</v>
      </c>
      <c r="AX170" s="123">
        <f t="shared" ca="1" si="86"/>
        <v>1073.7288135593224</v>
      </c>
      <c r="AY170" s="124" t="str">
        <f t="shared" ca="1" si="69"/>
        <v>LINK</v>
      </c>
      <c r="BA170" s="125" t="s">
        <v>332</v>
      </c>
      <c r="BB170" t="str">
        <f t="shared" si="70"/>
        <v>25</v>
      </c>
      <c r="BC170" t="str">
        <f t="shared" si="71"/>
        <v>09</v>
      </c>
      <c r="BD170" t="str">
        <f t="shared" si="72"/>
        <v>03</v>
      </c>
      <c r="BE170" t="str">
        <f t="shared" si="73"/>
        <v>D</v>
      </c>
      <c r="BF170" t="str">
        <f t="shared" si="77"/>
        <v>https://www.coreplan.io/app/ddh1-drilling/speewah-mining-speewah-fluorite-project-wa/plods/1665-250903D</v>
      </c>
      <c r="BG170" t="str">
        <f t="shared" si="74"/>
        <v>2025-09</v>
      </c>
    </row>
    <row r="171" spans="1:59">
      <c r="A171" s="510" t="str">
        <f>VLOOKUP(F171,'Tenement Lookup'!A:BH,60,FALSE)</f>
        <v>M 80/269</v>
      </c>
      <c r="B171" t="s">
        <v>507</v>
      </c>
      <c r="C171" s="151" t="s">
        <v>508</v>
      </c>
      <c r="D171" s="1">
        <f t="shared" si="62"/>
        <v>45903.71</v>
      </c>
      <c r="E171" t="s">
        <v>172</v>
      </c>
      <c r="F171" s="501" t="s">
        <v>512</v>
      </c>
      <c r="G171" s="7" t="s">
        <v>516</v>
      </c>
      <c r="H171" s="4" t="s">
        <v>392</v>
      </c>
      <c r="I171" s="4">
        <v>3</v>
      </c>
      <c r="J171" s="122">
        <f t="shared" si="87"/>
        <v>390</v>
      </c>
      <c r="K171" s="21">
        <v>41.8</v>
      </c>
      <c r="L171" s="28">
        <v>45.5</v>
      </c>
      <c r="M171" s="22">
        <f t="shared" si="64"/>
        <v>3.7000000000000028</v>
      </c>
      <c r="N171" s="30"/>
      <c r="O171" s="26"/>
      <c r="P171" s="31">
        <f t="shared" si="81"/>
        <v>0</v>
      </c>
      <c r="Q171" s="21">
        <v>0</v>
      </c>
      <c r="R171" s="28">
        <v>6.1</v>
      </c>
      <c r="S171" s="22">
        <f t="shared" si="84"/>
        <v>6.1</v>
      </c>
      <c r="T171" s="30"/>
      <c r="U171" s="26"/>
      <c r="V171" s="31">
        <f t="shared" si="82"/>
        <v>0</v>
      </c>
      <c r="W171" s="26">
        <f t="shared" si="75"/>
        <v>9.8000000000000025</v>
      </c>
      <c r="X171" s="36">
        <f t="shared" si="88"/>
        <v>1715.0000000000005</v>
      </c>
      <c r="Y171" s="301">
        <f t="shared" si="85"/>
        <v>2530</v>
      </c>
      <c r="Z171" s="38"/>
      <c r="AA171" s="38"/>
      <c r="AB171" s="38"/>
      <c r="AC171" s="38"/>
      <c r="AD171" s="157">
        <f t="shared" si="76"/>
        <v>0</v>
      </c>
      <c r="AE171" s="29">
        <v>5.5</v>
      </c>
      <c r="AF171" s="29">
        <v>6</v>
      </c>
      <c r="AG171" s="40" t="s">
        <v>397</v>
      </c>
      <c r="AH171" s="44">
        <v>0.5</v>
      </c>
      <c r="AI171" s="13"/>
      <c r="AJ171" s="304"/>
      <c r="AK171" s="45"/>
      <c r="AL171" s="23"/>
      <c r="AM171" s="138"/>
      <c r="AN171" s="25">
        <f t="shared" ca="1" si="78"/>
        <v>12</v>
      </c>
      <c r="AO171" s="50"/>
      <c r="AP171" s="53">
        <f t="shared" si="66"/>
        <v>2940</v>
      </c>
      <c r="AQ171" s="322">
        <v>1241.83</v>
      </c>
      <c r="AR171" s="324">
        <f t="shared" si="63"/>
        <v>851.82999999999993</v>
      </c>
      <c r="AS171" s="375">
        <f t="shared" si="83"/>
        <v>6711.83</v>
      </c>
      <c r="AT171" s="375">
        <v>6711.83</v>
      </c>
      <c r="AU171" s="344">
        <f t="shared" si="68"/>
        <v>5.8106358474514404E-2</v>
      </c>
      <c r="AV171" s="18">
        <f>IF(F171="","",(SUM($AS$6:AS171)))</f>
        <v>1027658.4700000003</v>
      </c>
      <c r="AW171" s="18">
        <f>IF(AS171&lt;&gt;"", SUMIFS($AS$10:AS171, $BG$10:BG171, BG171), "")</f>
        <v>39141.380000000005</v>
      </c>
      <c r="AX171" s="123">
        <f t="shared" ca="1" si="86"/>
        <v>684.88061224489775</v>
      </c>
      <c r="AY171" s="124" t="str">
        <f t="shared" ca="1" si="69"/>
        <v>LINK</v>
      </c>
      <c r="AZ171" s="10" t="s">
        <v>517</v>
      </c>
      <c r="BA171" s="125" t="s">
        <v>332</v>
      </c>
      <c r="BB171" t="str">
        <f t="shared" si="70"/>
        <v>25</v>
      </c>
      <c r="BC171" t="str">
        <f t="shared" si="71"/>
        <v>09</v>
      </c>
      <c r="BD171" t="str">
        <f t="shared" si="72"/>
        <v>03</v>
      </c>
      <c r="BE171" t="str">
        <f t="shared" si="73"/>
        <v>N</v>
      </c>
      <c r="BF171" t="str">
        <f t="shared" si="77"/>
        <v>https://www.coreplan.io/app/ddh1-drilling/speewah-mining-speewah-fluorite-project-wa/plods/1665-250903N</v>
      </c>
      <c r="BG171" t="str">
        <f t="shared" si="74"/>
        <v>2025-09</v>
      </c>
    </row>
    <row r="172" spans="1:59">
      <c r="A172" s="510" t="str">
        <f>VLOOKUP(F172,'Tenement Lookup'!A:BH,60,FALSE)</f>
        <v>M 80/269</v>
      </c>
      <c r="B172" t="s">
        <v>507</v>
      </c>
      <c r="C172" s="151" t="s">
        <v>508</v>
      </c>
      <c r="D172" s="1">
        <f t="shared" si="62"/>
        <v>45904.21</v>
      </c>
      <c r="E172" t="s">
        <v>171</v>
      </c>
      <c r="F172" s="501" t="s">
        <v>516</v>
      </c>
      <c r="H172" s="4" t="s">
        <v>494</v>
      </c>
      <c r="I172" s="4">
        <v>3</v>
      </c>
      <c r="J172" s="122">
        <f t="shared" si="87"/>
        <v>390</v>
      </c>
      <c r="K172" s="21">
        <v>6.1</v>
      </c>
      <c r="L172" s="28">
        <v>18.5</v>
      </c>
      <c r="M172" s="22">
        <f t="shared" si="64"/>
        <v>12.4</v>
      </c>
      <c r="N172" s="30"/>
      <c r="O172" s="26"/>
      <c r="P172" s="31">
        <f t="shared" si="81"/>
        <v>0</v>
      </c>
      <c r="Q172" s="21"/>
      <c r="R172" s="28"/>
      <c r="S172" s="22">
        <f t="shared" si="84"/>
        <v>0</v>
      </c>
      <c r="T172" s="30"/>
      <c r="U172" s="26"/>
      <c r="V172" s="31">
        <f t="shared" si="82"/>
        <v>0</v>
      </c>
      <c r="W172" s="26">
        <f t="shared" si="75"/>
        <v>12.4</v>
      </c>
      <c r="X172" s="36">
        <f t="shared" si="88"/>
        <v>2170</v>
      </c>
      <c r="Y172" s="301">
        <f t="shared" si="85"/>
        <v>4370</v>
      </c>
      <c r="Z172" s="38"/>
      <c r="AA172" s="38">
        <v>1</v>
      </c>
      <c r="AB172" s="38">
        <v>1</v>
      </c>
      <c r="AC172" s="38">
        <v>13122</v>
      </c>
      <c r="AD172" s="157">
        <f t="shared" si="76"/>
        <v>575</v>
      </c>
      <c r="AE172" s="29">
        <v>9.5</v>
      </c>
      <c r="AF172" s="29">
        <v>2</v>
      </c>
      <c r="AG172" s="40"/>
      <c r="AH172" s="44">
        <v>0.5</v>
      </c>
      <c r="AI172" s="13"/>
      <c r="AJ172" s="304"/>
      <c r="AK172" s="45"/>
      <c r="AL172" s="23"/>
      <c r="AM172" s="138"/>
      <c r="AN172" s="25">
        <f t="shared" ca="1" si="78"/>
        <v>12</v>
      </c>
      <c r="AO172" s="50"/>
      <c r="AP172" s="53">
        <f t="shared" si="66"/>
        <v>1100</v>
      </c>
      <c r="AQ172" s="322">
        <v>390</v>
      </c>
      <c r="AR172" s="324">
        <f t="shared" si="63"/>
        <v>0</v>
      </c>
      <c r="AS172" s="375">
        <f t="shared" si="83"/>
        <v>6435</v>
      </c>
      <c r="AT172" s="375">
        <v>6435</v>
      </c>
      <c r="AU172" s="344">
        <f t="shared" si="68"/>
        <v>6.0606060606060608E-2</v>
      </c>
      <c r="AV172" s="18">
        <f>IF(F172="","",(SUM($AS$6:AS172)))</f>
        <v>1034093.4700000003</v>
      </c>
      <c r="AW172" s="18">
        <f>IF(AS172&lt;&gt;"", SUMIFS($AS$10:AS172, $BG$10:BG172, BG172), "")</f>
        <v>45576.380000000005</v>
      </c>
      <c r="AX172" s="123">
        <f t="shared" ca="1" si="86"/>
        <v>518.95161290322574</v>
      </c>
      <c r="AY172" s="124" t="str">
        <f t="shared" ca="1" si="69"/>
        <v>LINK</v>
      </c>
      <c r="AZ172" s="10" t="s">
        <v>518</v>
      </c>
      <c r="BA172" s="125" t="s">
        <v>332</v>
      </c>
      <c r="BB172" t="str">
        <f t="shared" si="70"/>
        <v>25</v>
      </c>
      <c r="BC172" t="str">
        <f t="shared" si="71"/>
        <v>09</v>
      </c>
      <c r="BD172" t="str">
        <f t="shared" si="72"/>
        <v>04</v>
      </c>
      <c r="BE172" t="str">
        <f t="shared" si="73"/>
        <v>D</v>
      </c>
      <c r="BF172" t="str">
        <f t="shared" si="77"/>
        <v>https://www.coreplan.io/app/ddh1-drilling/speewah-mining-speewah-fluorite-project-wa/plods/1665-250904D</v>
      </c>
      <c r="BG172" t="str">
        <f t="shared" si="74"/>
        <v>2025-09</v>
      </c>
    </row>
    <row r="173" spans="1:59">
      <c r="A173" s="510" t="str">
        <f>VLOOKUP(F173,'Tenement Lookup'!A:BH,60,FALSE)</f>
        <v>M 80/269</v>
      </c>
      <c r="B173" t="s">
        <v>507</v>
      </c>
      <c r="C173" s="151" t="s">
        <v>508</v>
      </c>
      <c r="D173" s="1">
        <f t="shared" si="62"/>
        <v>45904.71</v>
      </c>
      <c r="E173" t="s">
        <v>172</v>
      </c>
      <c r="F173" s="501" t="s">
        <v>516</v>
      </c>
      <c r="H173" s="4" t="s">
        <v>392</v>
      </c>
      <c r="I173" s="4">
        <v>3</v>
      </c>
      <c r="J173" s="122">
        <f t="shared" si="87"/>
        <v>390</v>
      </c>
      <c r="K173" s="21">
        <v>18.5</v>
      </c>
      <c r="L173" s="28">
        <v>26.5</v>
      </c>
      <c r="M173" s="22">
        <f t="shared" si="64"/>
        <v>8</v>
      </c>
      <c r="N173" s="30"/>
      <c r="O173" s="26"/>
      <c r="P173" s="31">
        <f t="shared" si="81"/>
        <v>0</v>
      </c>
      <c r="Q173" s="21"/>
      <c r="R173" s="28"/>
      <c r="S173" s="22">
        <f t="shared" si="84"/>
        <v>0</v>
      </c>
      <c r="T173" s="30"/>
      <c r="U173" s="26"/>
      <c r="V173" s="31">
        <f t="shared" si="82"/>
        <v>0</v>
      </c>
      <c r="W173" s="26">
        <f t="shared" si="75"/>
        <v>8</v>
      </c>
      <c r="X173" s="36">
        <f t="shared" si="88"/>
        <v>1400</v>
      </c>
      <c r="Y173" s="301">
        <f t="shared" si="85"/>
        <v>3220</v>
      </c>
      <c r="Z173" s="38"/>
      <c r="AA173" s="38"/>
      <c r="AB173" s="38"/>
      <c r="AC173" s="38"/>
      <c r="AD173" s="157">
        <f t="shared" si="76"/>
        <v>0</v>
      </c>
      <c r="AE173" s="29">
        <v>7</v>
      </c>
      <c r="AF173" s="29">
        <v>4.5</v>
      </c>
      <c r="AG173" s="40" t="s">
        <v>519</v>
      </c>
      <c r="AH173" s="44">
        <v>0.5</v>
      </c>
      <c r="AI173" s="13"/>
      <c r="AJ173" s="304"/>
      <c r="AK173" s="45"/>
      <c r="AL173" s="23"/>
      <c r="AM173" s="138"/>
      <c r="AN173" s="25">
        <f t="shared" ca="1" si="78"/>
        <v>12</v>
      </c>
      <c r="AO173" s="50"/>
      <c r="AP173" s="53">
        <f t="shared" si="66"/>
        <v>2250</v>
      </c>
      <c r="AQ173" s="322">
        <v>507.93</v>
      </c>
      <c r="AR173" s="324">
        <f t="shared" si="63"/>
        <v>117.93</v>
      </c>
      <c r="AS173" s="375">
        <f t="shared" si="83"/>
        <v>5977.93</v>
      </c>
      <c r="AT173" s="375">
        <v>5977.93</v>
      </c>
      <c r="AU173" s="344">
        <f t="shared" si="68"/>
        <v>6.5239974372399812E-2</v>
      </c>
      <c r="AV173" s="18">
        <f>IF(F173="","",(SUM($AS$6:AS173)))</f>
        <v>1040071.4000000004</v>
      </c>
      <c r="AW173" s="18">
        <f>IF(AS173&lt;&gt;"", SUMIFS($AS$10:AS173, $BG$10:BG173, BG173), "")</f>
        <v>51554.310000000005</v>
      </c>
      <c r="AX173" s="123">
        <f t="shared" ca="1" si="86"/>
        <v>747.24125000000004</v>
      </c>
      <c r="AY173" s="124" t="str">
        <f t="shared" ca="1" si="69"/>
        <v>LINK</v>
      </c>
      <c r="BA173" s="125" t="s">
        <v>332</v>
      </c>
      <c r="BB173" t="str">
        <f t="shared" si="70"/>
        <v>25</v>
      </c>
      <c r="BC173" t="str">
        <f t="shared" si="71"/>
        <v>09</v>
      </c>
      <c r="BD173" t="str">
        <f t="shared" si="72"/>
        <v>04</v>
      </c>
      <c r="BE173" t="str">
        <f t="shared" si="73"/>
        <v>N</v>
      </c>
      <c r="BF173" t="str">
        <f t="shared" si="77"/>
        <v>https://www.coreplan.io/app/ddh1-drilling/speewah-mining-speewah-fluorite-project-wa/plods/1665-250904N</v>
      </c>
      <c r="BG173" t="str">
        <f t="shared" si="74"/>
        <v>2025-09</v>
      </c>
    </row>
    <row r="174" spans="1:59">
      <c r="A174" s="510" t="str">
        <f>VLOOKUP(F174,'Tenement Lookup'!A:BH,60,FALSE)</f>
        <v>M 80/269</v>
      </c>
      <c r="B174" t="s">
        <v>507</v>
      </c>
      <c r="C174" s="151" t="s">
        <v>508</v>
      </c>
      <c r="D174" s="1">
        <f t="shared" si="62"/>
        <v>45905.21</v>
      </c>
      <c r="E174" t="s">
        <v>171</v>
      </c>
      <c r="F174" s="501" t="s">
        <v>516</v>
      </c>
      <c r="H174" s="4" t="s">
        <v>494</v>
      </c>
      <c r="I174" s="4">
        <v>3</v>
      </c>
      <c r="J174" s="122">
        <f t="shared" si="87"/>
        <v>390</v>
      </c>
      <c r="K174" s="21">
        <v>26.5</v>
      </c>
      <c r="L174" s="28">
        <v>35</v>
      </c>
      <c r="M174" s="22">
        <f t="shared" si="64"/>
        <v>8.5</v>
      </c>
      <c r="N174" s="30"/>
      <c r="O174" s="26"/>
      <c r="P174" s="31">
        <f t="shared" si="81"/>
        <v>0</v>
      </c>
      <c r="Q174" s="21"/>
      <c r="R174" s="28"/>
      <c r="S174" s="22">
        <f t="shared" si="84"/>
        <v>0</v>
      </c>
      <c r="T174" s="30"/>
      <c r="U174" s="26"/>
      <c r="V174" s="31">
        <f t="shared" si="82"/>
        <v>0</v>
      </c>
      <c r="W174" s="26">
        <f t="shared" si="75"/>
        <v>8.5</v>
      </c>
      <c r="X174" s="36">
        <f t="shared" si="88"/>
        <v>1487.5</v>
      </c>
      <c r="Y174" s="301">
        <f t="shared" si="85"/>
        <v>2875</v>
      </c>
      <c r="Z174" s="38"/>
      <c r="AA174" s="38">
        <v>1</v>
      </c>
      <c r="AB174" s="38">
        <v>1</v>
      </c>
      <c r="AC174" s="38">
        <v>13122</v>
      </c>
      <c r="AD174" s="157">
        <f t="shared" si="76"/>
        <v>575</v>
      </c>
      <c r="AE174" s="29">
        <v>6.25</v>
      </c>
      <c r="AF174" s="29">
        <v>5.25</v>
      </c>
      <c r="AG174" s="40" t="s">
        <v>520</v>
      </c>
      <c r="AH174" s="44">
        <v>0.5</v>
      </c>
      <c r="AI174" s="13"/>
      <c r="AJ174" s="304"/>
      <c r="AK174" s="45"/>
      <c r="AL174" s="23"/>
      <c r="AM174" s="138"/>
      <c r="AN174" s="25">
        <f t="shared" ca="1" si="78"/>
        <v>12</v>
      </c>
      <c r="AO174" s="50"/>
      <c r="AP174" s="53">
        <f t="shared" si="66"/>
        <v>2595</v>
      </c>
      <c r="AQ174" s="322">
        <v>610</v>
      </c>
      <c r="AR174" s="324">
        <f t="shared" si="63"/>
        <v>220</v>
      </c>
      <c r="AS174" s="375">
        <f t="shared" si="83"/>
        <v>6655</v>
      </c>
      <c r="AT174" s="375">
        <v>6655</v>
      </c>
      <c r="AU174" s="344">
        <f t="shared" si="68"/>
        <v>5.8602554470323066E-2</v>
      </c>
      <c r="AV174" s="18">
        <f>IF(F174="","",(SUM($AS$6:AS174)))</f>
        <v>1046726.4000000004</v>
      </c>
      <c r="AW174" s="18">
        <f>IF(AS174&lt;&gt;"", SUMIFS($AS$10:AS174, $BG$10:BG174, BG174), "")</f>
        <v>58209.310000000005</v>
      </c>
      <c r="AX174" s="123">
        <f t="shared" ca="1" si="86"/>
        <v>782.94117647058829</v>
      </c>
      <c r="AY174" s="124" t="str">
        <f t="shared" ca="1" si="69"/>
        <v>LINK</v>
      </c>
      <c r="BA174" s="125" t="s">
        <v>332</v>
      </c>
      <c r="BB174" t="str">
        <f t="shared" si="70"/>
        <v>25</v>
      </c>
      <c r="BC174" t="str">
        <f t="shared" si="71"/>
        <v>09</v>
      </c>
      <c r="BD174" t="str">
        <f t="shared" si="72"/>
        <v>05</v>
      </c>
      <c r="BE174" t="str">
        <f t="shared" si="73"/>
        <v>D</v>
      </c>
      <c r="BF174" t="str">
        <f t="shared" si="77"/>
        <v>https://www.coreplan.io/app/ddh1-drilling/speewah-mining-speewah-fluorite-project-wa/plods/1665-250905D</v>
      </c>
      <c r="BG174" t="str">
        <f t="shared" si="74"/>
        <v>2025-09</v>
      </c>
    </row>
    <row r="175" spans="1:59">
      <c r="A175" s="510" t="str">
        <f>VLOOKUP(F175,'Tenement Lookup'!A:BH,60,FALSE)</f>
        <v>M 80/268</v>
      </c>
      <c r="B175" t="s">
        <v>507</v>
      </c>
      <c r="C175" s="151" t="s">
        <v>508</v>
      </c>
      <c r="D175" s="1">
        <f t="shared" si="62"/>
        <v>45905.71</v>
      </c>
      <c r="E175" t="s">
        <v>172</v>
      </c>
      <c r="F175" s="501" t="s">
        <v>521</v>
      </c>
      <c r="H175" s="4" t="s">
        <v>392</v>
      </c>
      <c r="I175" s="4">
        <v>3</v>
      </c>
      <c r="J175" s="122">
        <f t="shared" si="87"/>
        <v>390</v>
      </c>
      <c r="K175" s="21">
        <v>0</v>
      </c>
      <c r="L175" s="28">
        <v>5.7</v>
      </c>
      <c r="M175" s="22">
        <f t="shared" si="64"/>
        <v>5.7</v>
      </c>
      <c r="N175" s="30"/>
      <c r="O175" s="26"/>
      <c r="P175" s="31">
        <f t="shared" si="81"/>
        <v>0</v>
      </c>
      <c r="Q175" s="21"/>
      <c r="R175" s="28"/>
      <c r="S175" s="22">
        <f t="shared" si="84"/>
        <v>0</v>
      </c>
      <c r="T175" s="30"/>
      <c r="U175" s="26"/>
      <c r="V175" s="31">
        <f t="shared" si="82"/>
        <v>0</v>
      </c>
      <c r="W175" s="26">
        <f t="shared" ref="W175:W206" si="89">IF(F175="","",(M175+P175+S175+V175))</f>
        <v>5.7</v>
      </c>
      <c r="X175" s="36">
        <f t="shared" ref="X175:X206" si="90">IF(F175="","",((M175*$M$2)+(P175*$P$2)+(S175*$S$2)+(V175*$V$2)))</f>
        <v>997.5</v>
      </c>
      <c r="Y175" s="301">
        <f t="shared" si="85"/>
        <v>997.5</v>
      </c>
      <c r="Z175" s="38"/>
      <c r="AA175" s="38"/>
      <c r="AB175" s="38"/>
      <c r="AC175" s="38"/>
      <c r="AD175" s="157">
        <f>IF(Y175="","",SUMPRODUCT(Z175:AB175,$Z$2:$AB$2))</f>
        <v>0</v>
      </c>
      <c r="AE175" s="29">
        <v>2</v>
      </c>
      <c r="AF175" s="29">
        <v>9.5</v>
      </c>
      <c r="AG175" s="40" t="s">
        <v>522</v>
      </c>
      <c r="AH175" s="44">
        <v>0.5</v>
      </c>
      <c r="AI175" s="13"/>
      <c r="AJ175" s="304"/>
      <c r="AK175" s="45"/>
      <c r="AL175" s="23"/>
      <c r="AM175" s="138"/>
      <c r="AN175" s="25">
        <f t="shared" ca="1" si="78"/>
        <v>12</v>
      </c>
      <c r="AO175" s="50"/>
      <c r="AP175" s="53">
        <f t="shared" si="66"/>
        <v>4550</v>
      </c>
      <c r="AQ175" s="322">
        <v>507.93</v>
      </c>
      <c r="AR175" s="324">
        <f>IFERROR(AQ175-J175,"")</f>
        <v>117.93</v>
      </c>
      <c r="AS175" s="375">
        <f t="shared" si="83"/>
        <v>6055.43</v>
      </c>
      <c r="AT175" s="375">
        <v>6055.43</v>
      </c>
      <c r="AU175" s="344">
        <f t="shared" si="68"/>
        <v>6.4405005094601037E-2</v>
      </c>
      <c r="AV175" s="18">
        <f>IF(F175="","",(SUM($AS$6:AS175)))</f>
        <v>1052781.8300000003</v>
      </c>
      <c r="AW175" s="18">
        <f>IFERROR(IF(AS175&lt;&gt;"", SUMIFS($AS$10:AS175, $BG$10:BG175, BG175), ""),"")</f>
        <v>64264.740000000005</v>
      </c>
      <c r="AX175" s="123">
        <f t="shared" ca="1" si="86"/>
        <v>1062.3561403508772</v>
      </c>
      <c r="AY175" s="124" t="str">
        <f t="shared" ca="1" si="69"/>
        <v>LINK</v>
      </c>
      <c r="BA175" s="125" t="s">
        <v>332</v>
      </c>
      <c r="BB175" t="str">
        <f t="shared" si="70"/>
        <v>25</v>
      </c>
      <c r="BC175" t="str">
        <f t="shared" si="71"/>
        <v>09</v>
      </c>
      <c r="BD175" t="str">
        <f t="shared" si="72"/>
        <v>05</v>
      </c>
      <c r="BE175" t="str">
        <f t="shared" si="73"/>
        <v>N</v>
      </c>
      <c r="BF175" t="str">
        <f t="shared" si="77"/>
        <v>https://www.coreplan.io/app/ddh1-drilling/speewah-mining-speewah-fluorite-project-wa/plods/1665-250905N</v>
      </c>
      <c r="BG175" t="str">
        <f t="shared" si="74"/>
        <v>2025-09</v>
      </c>
    </row>
    <row r="176" spans="1:59">
      <c r="A176" s="510" t="str">
        <f>VLOOKUP(F176,'Tenement Lookup'!A:BH,60,FALSE)</f>
        <v>M 80/268</v>
      </c>
      <c r="B176" t="s">
        <v>507</v>
      </c>
      <c r="C176" s="151" t="s">
        <v>508</v>
      </c>
      <c r="D176" s="1">
        <f t="shared" ref="D176:D239" si="91">D174+1</f>
        <v>45906.21</v>
      </c>
      <c r="E176" t="s">
        <v>171</v>
      </c>
      <c r="F176" s="501" t="s">
        <v>521</v>
      </c>
      <c r="H176" s="4" t="s">
        <v>494</v>
      </c>
      <c r="I176" s="4">
        <v>3</v>
      </c>
      <c r="J176" s="122">
        <f t="shared" si="87"/>
        <v>390</v>
      </c>
      <c r="K176" s="21">
        <v>5.7</v>
      </c>
      <c r="L176" s="28">
        <v>9.5</v>
      </c>
      <c r="M176" s="22">
        <f t="shared" si="64"/>
        <v>3.8</v>
      </c>
      <c r="N176" s="30"/>
      <c r="O176" s="26"/>
      <c r="P176" s="31">
        <f t="shared" si="81"/>
        <v>0</v>
      </c>
      <c r="Q176" s="21"/>
      <c r="R176" s="28"/>
      <c r="S176" s="22">
        <f t="shared" si="84"/>
        <v>0</v>
      </c>
      <c r="T176" s="30"/>
      <c r="U176" s="26"/>
      <c r="V176" s="31">
        <f t="shared" si="82"/>
        <v>0</v>
      </c>
      <c r="W176" s="26">
        <f t="shared" si="89"/>
        <v>3.8</v>
      </c>
      <c r="X176" s="36">
        <f t="shared" si="90"/>
        <v>665</v>
      </c>
      <c r="Y176" s="301">
        <f t="shared" si="85"/>
        <v>1495</v>
      </c>
      <c r="Z176" s="38"/>
      <c r="AA176" s="38">
        <v>1</v>
      </c>
      <c r="AB176" s="38">
        <v>1</v>
      </c>
      <c r="AC176" s="38">
        <v>13122</v>
      </c>
      <c r="AD176" s="157">
        <f t="shared" ref="AD176:AD239" si="92">IF(Y176="","",SUMPRODUCT(Z176:AB176,$Z$2:$AB$2))</f>
        <v>575</v>
      </c>
      <c r="AE176" s="29">
        <v>3.25</v>
      </c>
      <c r="AF176" s="29">
        <v>8.25</v>
      </c>
      <c r="AG176" s="40" t="s">
        <v>523</v>
      </c>
      <c r="AH176" s="44">
        <v>0.5</v>
      </c>
      <c r="AI176" s="13"/>
      <c r="AJ176" s="304"/>
      <c r="AK176" s="45"/>
      <c r="AL176" s="23"/>
      <c r="AM176" s="138"/>
      <c r="AN176" s="25">
        <f t="shared" ca="1" si="78"/>
        <v>12</v>
      </c>
      <c r="AO176" s="50"/>
      <c r="AP176" s="53">
        <f t="shared" si="66"/>
        <v>3975</v>
      </c>
      <c r="AQ176" s="322">
        <v>785.85</v>
      </c>
      <c r="AR176" s="324">
        <f t="shared" ref="AR176:AR239" si="93">IFERROR(AQ176-J176,"")</f>
        <v>395.85</v>
      </c>
      <c r="AS176" s="375">
        <f t="shared" si="83"/>
        <v>6830.85</v>
      </c>
      <c r="AT176" s="375">
        <v>6830.85</v>
      </c>
      <c r="AU176" s="344">
        <f t="shared" si="68"/>
        <v>5.7093919497573503E-2</v>
      </c>
      <c r="AV176" s="18">
        <f>IF(F176="","",(SUM($AS$6:AS176)))</f>
        <v>1059612.6800000004</v>
      </c>
      <c r="AW176" s="18">
        <f>IFERROR(IF(AS176&lt;&gt;"", SUMIFS($AS$10:AS176, $BG$10:BG176, BG176), ""),"")</f>
        <v>71095.590000000011</v>
      </c>
      <c r="AX176" s="123">
        <f t="shared" ca="1" si="86"/>
        <v>1797.5921052631581</v>
      </c>
      <c r="AY176" s="124" t="str">
        <f t="shared" ca="1" si="69"/>
        <v>LINK</v>
      </c>
      <c r="AZ176" s="10" t="s">
        <v>524</v>
      </c>
      <c r="BA176" s="125" t="s">
        <v>332</v>
      </c>
      <c r="BB176" t="str">
        <f t="shared" si="70"/>
        <v>25</v>
      </c>
      <c r="BC176" t="str">
        <f t="shared" si="71"/>
        <v>09</v>
      </c>
      <c r="BD176" t="str">
        <f t="shared" si="72"/>
        <v>06</v>
      </c>
      <c r="BE176" t="str">
        <f t="shared" si="73"/>
        <v>D</v>
      </c>
      <c r="BF176" t="str">
        <f t="shared" si="77"/>
        <v>https://www.coreplan.io/app/ddh1-drilling/speewah-mining-speewah-fluorite-project-wa/plods/1665-250906D</v>
      </c>
      <c r="BG176" t="str">
        <f t="shared" si="74"/>
        <v>2025-09</v>
      </c>
    </row>
    <row r="177" spans="1:59">
      <c r="A177" s="510" t="str">
        <f>VLOOKUP(F177,'Tenement Lookup'!A:BH,60,FALSE)</f>
        <v>M 80/268</v>
      </c>
      <c r="B177" t="s">
        <v>507</v>
      </c>
      <c r="C177" s="151" t="s">
        <v>508</v>
      </c>
      <c r="D177" s="1">
        <f t="shared" si="91"/>
        <v>45906.71</v>
      </c>
      <c r="E177" t="s">
        <v>172</v>
      </c>
      <c r="F177" s="501" t="s">
        <v>521</v>
      </c>
      <c r="H177" s="4" t="s">
        <v>392</v>
      </c>
      <c r="I177" s="4">
        <v>3</v>
      </c>
      <c r="J177" s="122">
        <f t="shared" si="87"/>
        <v>390</v>
      </c>
      <c r="K177" s="21">
        <v>9.5</v>
      </c>
      <c r="L177" s="28">
        <v>31.9</v>
      </c>
      <c r="M177" s="22">
        <f t="shared" si="64"/>
        <v>22.4</v>
      </c>
      <c r="N177" s="30"/>
      <c r="O177" s="26"/>
      <c r="P177" s="31">
        <f t="shared" si="81"/>
        <v>0</v>
      </c>
      <c r="Q177" s="21"/>
      <c r="R177" s="28"/>
      <c r="S177" s="22">
        <f t="shared" si="84"/>
        <v>0</v>
      </c>
      <c r="T177" s="30"/>
      <c r="U177" s="26"/>
      <c r="V177" s="31">
        <f t="shared" si="82"/>
        <v>0</v>
      </c>
      <c r="W177" s="26">
        <f t="shared" si="89"/>
        <v>22.4</v>
      </c>
      <c r="X177" s="36">
        <f t="shared" si="90"/>
        <v>3919.9999999999995</v>
      </c>
      <c r="Y177" s="301">
        <f t="shared" si="85"/>
        <v>4025</v>
      </c>
      <c r="Z177" s="38"/>
      <c r="AA177" s="38"/>
      <c r="AB177" s="38"/>
      <c r="AC177" s="38"/>
      <c r="AD177" s="157">
        <f t="shared" si="92"/>
        <v>0</v>
      </c>
      <c r="AE177" s="29">
        <v>8.75</v>
      </c>
      <c r="AF177" s="29">
        <v>2.75</v>
      </c>
      <c r="AG177" s="40"/>
      <c r="AH177" s="44">
        <v>0.5</v>
      </c>
      <c r="AI177" s="13"/>
      <c r="AJ177" s="304"/>
      <c r="AK177" s="45"/>
      <c r="AL177" s="23"/>
      <c r="AM177" s="138"/>
      <c r="AN177" s="25">
        <f t="shared" ca="1" si="78"/>
        <v>12</v>
      </c>
      <c r="AO177" s="50"/>
      <c r="AP177" s="53">
        <f t="shared" si="66"/>
        <v>1445</v>
      </c>
      <c r="AQ177" s="322">
        <v>507.93</v>
      </c>
      <c r="AR177" s="324">
        <f t="shared" si="93"/>
        <v>117.93</v>
      </c>
      <c r="AS177" s="375">
        <f t="shared" ref="AS177:AS208" si="94">IF(F176="","",(SUM(Y177,AP177,AR177,AD177,J177)))</f>
        <v>5977.93</v>
      </c>
      <c r="AT177" s="375">
        <v>5977.93</v>
      </c>
      <c r="AU177" s="344">
        <f t="shared" si="68"/>
        <v>6.5239974372399812E-2</v>
      </c>
      <c r="AV177" s="18">
        <f>IF(F176="","",(SUM($AS$6:AS177)))</f>
        <v>1065590.6100000003</v>
      </c>
      <c r="AW177" s="18">
        <f>IFERROR(IF(AS177&lt;&gt;"", SUMIFS($AS$10:AS177, $BG$10:BG177, BG177), ""),"")</f>
        <v>77073.520000000019</v>
      </c>
      <c r="AX177" s="123">
        <f t="shared" ca="1" si="86"/>
        <v>266.87187500000005</v>
      </c>
      <c r="AY177" s="124" t="str">
        <f t="shared" ca="1" si="69"/>
        <v>LINK</v>
      </c>
      <c r="AZ177" s="10" t="s">
        <v>525</v>
      </c>
      <c r="BA177" s="125" t="s">
        <v>332</v>
      </c>
      <c r="BB177" t="str">
        <f t="shared" si="70"/>
        <v>25</v>
      </c>
      <c r="BC177" t="str">
        <f t="shared" si="71"/>
        <v>09</v>
      </c>
      <c r="BD177" t="str">
        <f t="shared" si="72"/>
        <v>06</v>
      </c>
      <c r="BE177" t="str">
        <f t="shared" si="73"/>
        <v>N</v>
      </c>
      <c r="BF177" t="str">
        <f t="shared" si="77"/>
        <v>https://www.coreplan.io/app/ddh1-drilling/speewah-mining-speewah-fluorite-project-wa/plods/1665-250906N</v>
      </c>
      <c r="BG177" t="str">
        <f t="shared" si="74"/>
        <v>2025-09</v>
      </c>
    </row>
    <row r="178" spans="1:59">
      <c r="A178" s="510" t="str">
        <f>VLOOKUP(F178,'Tenement Lookup'!A:BH,60,FALSE)</f>
        <v>M 80/268</v>
      </c>
      <c r="B178" t="s">
        <v>507</v>
      </c>
      <c r="C178" s="151" t="s">
        <v>508</v>
      </c>
      <c r="D178" s="1">
        <f t="shared" si="91"/>
        <v>45907.21</v>
      </c>
      <c r="E178" t="s">
        <v>171</v>
      </c>
      <c r="F178" s="501" t="s">
        <v>521</v>
      </c>
      <c r="H178" s="4" t="s">
        <v>494</v>
      </c>
      <c r="I178" s="4">
        <v>3</v>
      </c>
      <c r="J178" s="122">
        <f t="shared" si="87"/>
        <v>390</v>
      </c>
      <c r="K178" s="21">
        <v>31.9</v>
      </c>
      <c r="L178" s="28">
        <v>42.5</v>
      </c>
      <c r="M178" s="22">
        <f t="shared" ref="M178:M241" si="95">IF(ISBLANK(K178),0,L178-K178)</f>
        <v>10.600000000000001</v>
      </c>
      <c r="N178" s="30"/>
      <c r="O178" s="26"/>
      <c r="P178" s="31">
        <f t="shared" si="81"/>
        <v>0</v>
      </c>
      <c r="Q178" s="21"/>
      <c r="R178" s="28"/>
      <c r="S178" s="22">
        <f t="shared" si="84"/>
        <v>0</v>
      </c>
      <c r="T178" s="30"/>
      <c r="U178" s="26"/>
      <c r="V178" s="31">
        <f t="shared" si="82"/>
        <v>0</v>
      </c>
      <c r="W178" s="26">
        <f t="shared" si="89"/>
        <v>10.600000000000001</v>
      </c>
      <c r="X178" s="36">
        <f t="shared" si="90"/>
        <v>1855.0000000000002</v>
      </c>
      <c r="Y178" s="301">
        <f t="shared" si="85"/>
        <v>4255</v>
      </c>
      <c r="Z178" s="38"/>
      <c r="AA178" s="38">
        <v>1</v>
      </c>
      <c r="AB178" s="38">
        <v>1</v>
      </c>
      <c r="AC178" s="38">
        <v>13122</v>
      </c>
      <c r="AD178" s="157">
        <f t="shared" si="92"/>
        <v>575</v>
      </c>
      <c r="AE178" s="29">
        <v>9.25</v>
      </c>
      <c r="AF178" s="29">
        <v>1.75</v>
      </c>
      <c r="AG178" s="40"/>
      <c r="AH178" s="44">
        <v>0.5</v>
      </c>
      <c r="AI178" s="13"/>
      <c r="AJ178" s="304"/>
      <c r="AK178" s="45">
        <v>0.5</v>
      </c>
      <c r="AL178" s="23"/>
      <c r="AM178" s="138" t="s">
        <v>275</v>
      </c>
      <c r="AN178" s="25">
        <f t="shared" ca="1" si="78"/>
        <v>12</v>
      </c>
      <c r="AO178" s="50"/>
      <c r="AP178" s="53">
        <f t="shared" si="66"/>
        <v>985</v>
      </c>
      <c r="AQ178" s="322">
        <v>610</v>
      </c>
      <c r="AR178" s="324">
        <f t="shared" si="93"/>
        <v>220</v>
      </c>
      <c r="AS178" s="375">
        <f t="shared" si="94"/>
        <v>6425</v>
      </c>
      <c r="AT178" s="375">
        <v>6425</v>
      </c>
      <c r="AU178" s="344">
        <f t="shared" si="68"/>
        <v>6.0700389105058365E-2</v>
      </c>
      <c r="AV178" s="18">
        <f>IF(F177="","",(SUM($AS$6:AS178)))</f>
        <v>1072015.6100000003</v>
      </c>
      <c r="AW178" s="18">
        <f>IFERROR(IF(AS178&lt;&gt;"", SUMIFS($AS$10:AS178, $BG$10:BG178, BG178), ""),"")</f>
        <v>83498.520000000019</v>
      </c>
      <c r="AX178" s="123">
        <f t="shared" ca="1" si="86"/>
        <v>606.13207547169804</v>
      </c>
      <c r="AY178" s="124" t="str">
        <f t="shared" ca="1" si="69"/>
        <v>LINK</v>
      </c>
      <c r="BA178" s="125" t="s">
        <v>332</v>
      </c>
      <c r="BB178" t="str">
        <f t="shared" si="70"/>
        <v>25</v>
      </c>
      <c r="BC178" t="str">
        <f t="shared" si="71"/>
        <v>09</v>
      </c>
      <c r="BD178" t="str">
        <f t="shared" si="72"/>
        <v>07</v>
      </c>
      <c r="BE178" t="str">
        <f t="shared" si="73"/>
        <v>D</v>
      </c>
      <c r="BF178" t="str">
        <f t="shared" si="77"/>
        <v>https://www.coreplan.io/app/ddh1-drilling/speewah-mining-speewah-fluorite-project-wa/plods/1665-250907D</v>
      </c>
      <c r="BG178" t="str">
        <f t="shared" si="74"/>
        <v>2025-09</v>
      </c>
    </row>
    <row r="179" spans="1:59">
      <c r="A179" s="510" t="str">
        <f>VLOOKUP(F179,'Tenement Lookup'!A:BH,60,FALSE)</f>
        <v>M 80/268</v>
      </c>
      <c r="B179" t="s">
        <v>507</v>
      </c>
      <c r="C179" s="151" t="s">
        <v>508</v>
      </c>
      <c r="D179" s="1">
        <f t="shared" si="91"/>
        <v>45907.71</v>
      </c>
      <c r="E179" t="s">
        <v>172</v>
      </c>
      <c r="F179" s="501" t="s">
        <v>521</v>
      </c>
      <c r="H179" s="4" t="s">
        <v>392</v>
      </c>
      <c r="I179" s="4">
        <v>3</v>
      </c>
      <c r="J179" s="122">
        <f t="shared" si="87"/>
        <v>390</v>
      </c>
      <c r="K179" s="21"/>
      <c r="L179" s="28"/>
      <c r="M179" s="22">
        <f t="shared" si="95"/>
        <v>0</v>
      </c>
      <c r="N179" s="30"/>
      <c r="O179" s="26"/>
      <c r="P179" s="31">
        <f t="shared" si="81"/>
        <v>0</v>
      </c>
      <c r="Q179" s="21"/>
      <c r="R179" s="28"/>
      <c r="S179" s="22">
        <f t="shared" si="84"/>
        <v>0</v>
      </c>
      <c r="T179" s="30"/>
      <c r="U179" s="26"/>
      <c r="V179" s="31">
        <f t="shared" si="82"/>
        <v>0</v>
      </c>
      <c r="W179" s="26">
        <f t="shared" si="89"/>
        <v>0</v>
      </c>
      <c r="X179" s="36">
        <f t="shared" si="90"/>
        <v>0</v>
      </c>
      <c r="Y179" s="301">
        <f t="shared" si="85"/>
        <v>0</v>
      </c>
      <c r="Z179" s="38"/>
      <c r="AA179" s="38"/>
      <c r="AB179" s="38"/>
      <c r="AC179" s="38"/>
      <c r="AD179" s="157">
        <f t="shared" si="92"/>
        <v>0</v>
      </c>
      <c r="AE179" s="29"/>
      <c r="AF179" s="29">
        <v>11</v>
      </c>
      <c r="AG179" s="40"/>
      <c r="AH179" s="44">
        <v>0.5</v>
      </c>
      <c r="AI179" s="13"/>
      <c r="AJ179" s="304"/>
      <c r="AK179" s="45">
        <v>0.5</v>
      </c>
      <c r="AL179" s="23"/>
      <c r="AM179" s="138" t="s">
        <v>275</v>
      </c>
      <c r="AN179" s="25">
        <f t="shared" ca="1" si="78"/>
        <v>12</v>
      </c>
      <c r="AO179" s="50"/>
      <c r="AP179" s="53">
        <f t="shared" si="66"/>
        <v>5240</v>
      </c>
      <c r="AQ179" s="322">
        <v>390</v>
      </c>
      <c r="AR179" s="324">
        <f t="shared" si="93"/>
        <v>0</v>
      </c>
      <c r="AS179" s="375">
        <f t="shared" si="94"/>
        <v>5630</v>
      </c>
      <c r="AT179" s="375">
        <v>5630</v>
      </c>
      <c r="AU179" s="344">
        <f t="shared" si="68"/>
        <v>6.9271758436944941E-2</v>
      </c>
      <c r="AV179" s="18">
        <f>IF(F178="","",(SUM($AS$6:AS179)))</f>
        <v>1077645.6100000003</v>
      </c>
      <c r="AW179" s="18">
        <f>IFERROR(IF(AS179&lt;&gt;"", SUMIFS($AS$10:AS179, $BG$10:BG179, BG179), ""),"")</f>
        <v>89128.520000000019</v>
      </c>
      <c r="AX179" s="123" t="str">
        <f t="shared" ca="1" si="86"/>
        <v>no drilling completed</v>
      </c>
      <c r="AY179" s="124" t="str">
        <f t="shared" ca="1" si="69"/>
        <v>LINK</v>
      </c>
      <c r="BA179" s="125" t="s">
        <v>332</v>
      </c>
      <c r="BB179" t="str">
        <f t="shared" si="70"/>
        <v>25</v>
      </c>
      <c r="BC179" t="str">
        <f t="shared" si="71"/>
        <v>09</v>
      </c>
      <c r="BD179" t="str">
        <f t="shared" si="72"/>
        <v>07</v>
      </c>
      <c r="BE179" t="str">
        <f t="shared" si="73"/>
        <v>N</v>
      </c>
      <c r="BF179" t="str">
        <f t="shared" si="77"/>
        <v>https://www.coreplan.io/app/ddh1-drilling/speewah-mining-speewah-fluorite-project-wa/plods/1665-250907N</v>
      </c>
      <c r="BG179" t="str">
        <f t="shared" si="74"/>
        <v>2025-09</v>
      </c>
    </row>
    <row r="180" spans="1:59">
      <c r="A180" s="510" t="str">
        <f>VLOOKUP(F180,'Tenement Lookup'!A:BH,60,FALSE)</f>
        <v>M 80/268</v>
      </c>
      <c r="B180" t="s">
        <v>507</v>
      </c>
      <c r="C180" s="151" t="s">
        <v>508</v>
      </c>
      <c r="D180" s="1">
        <f t="shared" si="91"/>
        <v>45908.21</v>
      </c>
      <c r="E180" t="s">
        <v>171</v>
      </c>
      <c r="F180" s="501" t="s">
        <v>526</v>
      </c>
      <c r="H180" s="4" t="s">
        <v>494</v>
      </c>
      <c r="I180" s="4">
        <v>3</v>
      </c>
      <c r="J180" s="122">
        <f t="shared" si="87"/>
        <v>390</v>
      </c>
      <c r="K180" s="21">
        <v>0</v>
      </c>
      <c r="L180" s="28">
        <v>15.4</v>
      </c>
      <c r="M180" s="22">
        <f t="shared" si="95"/>
        <v>15.4</v>
      </c>
      <c r="N180" s="30"/>
      <c r="O180" s="26"/>
      <c r="P180" s="31">
        <f t="shared" si="81"/>
        <v>0</v>
      </c>
      <c r="Q180" s="21"/>
      <c r="R180" s="28"/>
      <c r="S180" s="22">
        <f t="shared" si="84"/>
        <v>0</v>
      </c>
      <c r="T180" s="30"/>
      <c r="U180" s="26"/>
      <c r="V180" s="31">
        <f t="shared" si="82"/>
        <v>0</v>
      </c>
      <c r="W180" s="26">
        <f t="shared" si="89"/>
        <v>15.4</v>
      </c>
      <c r="X180" s="36">
        <f t="shared" si="90"/>
        <v>2695</v>
      </c>
      <c r="Y180" s="301">
        <f t="shared" si="85"/>
        <v>2990</v>
      </c>
      <c r="Z180" s="38"/>
      <c r="AA180" s="38">
        <v>1</v>
      </c>
      <c r="AB180" s="38">
        <v>1</v>
      </c>
      <c r="AC180" s="38">
        <v>13122</v>
      </c>
      <c r="AD180" s="157">
        <f t="shared" si="92"/>
        <v>575</v>
      </c>
      <c r="AE180" s="29">
        <v>6.5</v>
      </c>
      <c r="AF180" s="29">
        <v>5</v>
      </c>
      <c r="AG180" s="40"/>
      <c r="AH180" s="44">
        <v>0.5</v>
      </c>
      <c r="AI180" s="13"/>
      <c r="AJ180" s="304"/>
      <c r="AK180" s="45"/>
      <c r="AL180" s="23"/>
      <c r="AM180" s="138"/>
      <c r="AN180" s="25">
        <f t="shared" ca="1" si="78"/>
        <v>12</v>
      </c>
      <c r="AO180" s="50"/>
      <c r="AP180" s="53">
        <f t="shared" si="66"/>
        <v>2480</v>
      </c>
      <c r="AQ180" s="322">
        <v>1289.1199999999999</v>
      </c>
      <c r="AR180" s="324">
        <f t="shared" si="93"/>
        <v>899.11999999999989</v>
      </c>
      <c r="AS180" s="375">
        <f t="shared" si="94"/>
        <v>7334.12</v>
      </c>
      <c r="AT180" s="375">
        <v>7334.12</v>
      </c>
      <c r="AU180" s="344">
        <f t="shared" si="68"/>
        <v>5.317611383506133E-2</v>
      </c>
      <c r="AV180" s="18">
        <f>IF(F179="","",(SUM($AS$6:AS180)))</f>
        <v>1084979.7300000004</v>
      </c>
      <c r="AW180" s="18">
        <f>IFERROR(IF(AS180&lt;&gt;"", SUMIFS($AS$10:AS180, $BG$10:BG180, BG180), ""),"")</f>
        <v>96462.640000000014</v>
      </c>
      <c r="AX180" s="123">
        <f t="shared" ca="1" si="86"/>
        <v>476.24155844155842</v>
      </c>
      <c r="AY180" s="124" t="str">
        <f t="shared" ca="1" si="69"/>
        <v>LINK</v>
      </c>
      <c r="BA180" s="125" t="s">
        <v>332</v>
      </c>
      <c r="BB180" t="str">
        <f t="shared" si="70"/>
        <v>25</v>
      </c>
      <c r="BC180" t="str">
        <f t="shared" si="71"/>
        <v>09</v>
      </c>
      <c r="BD180" t="str">
        <f t="shared" si="72"/>
        <v>08</v>
      </c>
      <c r="BE180" t="str">
        <f t="shared" si="73"/>
        <v>D</v>
      </c>
      <c r="BF180" t="str">
        <f t="shared" si="77"/>
        <v>https://www.coreplan.io/app/ddh1-drilling/speewah-mining-speewah-fluorite-project-wa/plods/1665-250908D</v>
      </c>
      <c r="BG180" t="str">
        <f t="shared" si="74"/>
        <v>2025-09</v>
      </c>
    </row>
    <row r="181" spans="1:59">
      <c r="A181" s="510" t="str">
        <f>VLOOKUP(F181,'Tenement Lookup'!A:BH,60,FALSE)</f>
        <v>M 80/268</v>
      </c>
      <c r="B181" t="s">
        <v>507</v>
      </c>
      <c r="C181" s="151" t="s">
        <v>508</v>
      </c>
      <c r="D181" s="1">
        <f t="shared" si="91"/>
        <v>45908.71</v>
      </c>
      <c r="E181" t="s">
        <v>172</v>
      </c>
      <c r="F181" s="501" t="s">
        <v>526</v>
      </c>
      <c r="H181" s="4" t="s">
        <v>392</v>
      </c>
      <c r="I181" s="4">
        <v>3</v>
      </c>
      <c r="J181" s="122">
        <f t="shared" si="87"/>
        <v>390</v>
      </c>
      <c r="K181" s="21">
        <v>15.4</v>
      </c>
      <c r="L181" s="28">
        <v>30.4</v>
      </c>
      <c r="M181" s="22">
        <f t="shared" si="95"/>
        <v>14.999999999999998</v>
      </c>
      <c r="N181" s="30"/>
      <c r="O181" s="26"/>
      <c r="P181" s="31">
        <f t="shared" si="81"/>
        <v>0</v>
      </c>
      <c r="Q181" s="21"/>
      <c r="R181" s="28"/>
      <c r="S181" s="22">
        <f t="shared" si="84"/>
        <v>0</v>
      </c>
      <c r="T181" s="30"/>
      <c r="U181" s="26"/>
      <c r="V181" s="31">
        <f t="shared" si="82"/>
        <v>0</v>
      </c>
      <c r="W181" s="26">
        <f t="shared" si="89"/>
        <v>14.999999999999998</v>
      </c>
      <c r="X181" s="36">
        <f t="shared" si="90"/>
        <v>2624.9999999999995</v>
      </c>
      <c r="Y181" s="301">
        <f t="shared" si="85"/>
        <v>2990</v>
      </c>
      <c r="Z181" s="38"/>
      <c r="AA181" s="38"/>
      <c r="AB181" s="38"/>
      <c r="AC181" s="38"/>
      <c r="AD181" s="157">
        <f t="shared" si="92"/>
        <v>0</v>
      </c>
      <c r="AE181" s="29">
        <v>6.5</v>
      </c>
      <c r="AF181" s="29">
        <v>2</v>
      </c>
      <c r="AG181" s="40"/>
      <c r="AH181" s="44">
        <v>2</v>
      </c>
      <c r="AI181" s="13"/>
      <c r="AJ181" s="304"/>
      <c r="AK181" s="45"/>
      <c r="AL181" s="23">
        <v>1.5</v>
      </c>
      <c r="AM181" s="138"/>
      <c r="AN181" s="25">
        <f t="shared" ca="1" si="78"/>
        <v>12</v>
      </c>
      <c r="AO181" s="50"/>
      <c r="AP181" s="53">
        <f t="shared" si="66"/>
        <v>1640</v>
      </c>
      <c r="AQ181" s="322">
        <v>1132.8499999999999</v>
      </c>
      <c r="AR181" s="324">
        <f t="shared" si="93"/>
        <v>742.84999999999991</v>
      </c>
      <c r="AS181" s="375">
        <f t="shared" si="94"/>
        <v>5762.85</v>
      </c>
      <c r="AT181" s="375">
        <v>5762.85</v>
      </c>
      <c r="AU181" s="344">
        <f t="shared" si="68"/>
        <v>6.7674848382310832E-2</v>
      </c>
      <c r="AV181" s="18">
        <f>IF(F180="","",(SUM($AS$6:AS181)))</f>
        <v>1090742.5800000005</v>
      </c>
      <c r="AW181" s="18">
        <f>IFERROR(IF(AS181&lt;&gt;"", SUMIFS($AS$10:AS181, $BG$10:BG181, BG181), ""),"")</f>
        <v>102225.49000000002</v>
      </c>
      <c r="AX181" s="123">
        <f t="shared" ca="1" si="86"/>
        <v>384.19000000000005</v>
      </c>
      <c r="AY181" s="124" t="str">
        <f t="shared" ca="1" si="69"/>
        <v>LINK</v>
      </c>
      <c r="BA181" s="125" t="s">
        <v>332</v>
      </c>
      <c r="BB181" t="str">
        <f t="shared" si="70"/>
        <v>25</v>
      </c>
      <c r="BC181" t="str">
        <f t="shared" si="71"/>
        <v>09</v>
      </c>
      <c r="BD181" t="str">
        <f t="shared" si="72"/>
        <v>08</v>
      </c>
      <c r="BE181" t="str">
        <f t="shared" si="73"/>
        <v>N</v>
      </c>
      <c r="BF181" t="str">
        <f t="shared" si="77"/>
        <v>https://www.coreplan.io/app/ddh1-drilling/speewah-mining-speewah-fluorite-project-wa/plods/1665-250908N</v>
      </c>
      <c r="BG181" t="str">
        <f t="shared" si="74"/>
        <v>2025-09</v>
      </c>
    </row>
    <row r="182" spans="1:59">
      <c r="A182" s="510" t="str">
        <f>VLOOKUP(F182,'Tenement Lookup'!A:BH,60,FALSE)</f>
        <v>M 80/268</v>
      </c>
      <c r="B182" t="s">
        <v>507</v>
      </c>
      <c r="C182" s="151" t="s">
        <v>508</v>
      </c>
      <c r="D182" s="1">
        <f t="shared" si="91"/>
        <v>45909.21</v>
      </c>
      <c r="E182" t="s">
        <v>171</v>
      </c>
      <c r="F182" s="501" t="s">
        <v>526</v>
      </c>
      <c r="H182" s="4" t="s">
        <v>494</v>
      </c>
      <c r="I182" s="4">
        <v>3</v>
      </c>
      <c r="J182" s="122">
        <f t="shared" si="87"/>
        <v>390</v>
      </c>
      <c r="K182" s="21">
        <v>30.4</v>
      </c>
      <c r="L182" s="28">
        <v>54.4</v>
      </c>
      <c r="M182" s="22">
        <f t="shared" si="95"/>
        <v>24</v>
      </c>
      <c r="N182" s="30"/>
      <c r="O182" s="26"/>
      <c r="P182" s="31">
        <f t="shared" si="81"/>
        <v>0</v>
      </c>
      <c r="Q182" s="21"/>
      <c r="R182" s="28"/>
      <c r="S182" s="22">
        <f t="shared" si="84"/>
        <v>0</v>
      </c>
      <c r="T182" s="30"/>
      <c r="U182" s="26"/>
      <c r="V182" s="31">
        <f t="shared" si="82"/>
        <v>0</v>
      </c>
      <c r="W182" s="26">
        <f t="shared" si="89"/>
        <v>24</v>
      </c>
      <c r="X182" s="36">
        <f t="shared" si="90"/>
        <v>4200</v>
      </c>
      <c r="Y182" s="301">
        <f t="shared" si="85"/>
        <v>4370</v>
      </c>
      <c r="Z182" s="38"/>
      <c r="AA182" s="38">
        <v>1</v>
      </c>
      <c r="AB182" s="38">
        <v>1</v>
      </c>
      <c r="AC182" s="38">
        <v>13122</v>
      </c>
      <c r="AD182" s="157">
        <f t="shared" si="92"/>
        <v>575</v>
      </c>
      <c r="AE182" s="29">
        <v>9.5</v>
      </c>
      <c r="AF182" s="29">
        <v>2</v>
      </c>
      <c r="AG182" s="40"/>
      <c r="AH182" s="44">
        <v>0.5</v>
      </c>
      <c r="AI182" s="13"/>
      <c r="AJ182" s="304"/>
      <c r="AK182" s="45"/>
      <c r="AL182" s="23"/>
      <c r="AM182" s="138"/>
      <c r="AN182" s="25">
        <f t="shared" ca="1" si="78"/>
        <v>12</v>
      </c>
      <c r="AO182" s="50"/>
      <c r="AP182" s="53">
        <f t="shared" ref="AP182:AP213" si="96">(AF182*$AF$2)+(AH182*$AH$2)+(AI182*$AI$2)</f>
        <v>1100</v>
      </c>
      <c r="AQ182" s="322">
        <v>481.06</v>
      </c>
      <c r="AR182" s="324">
        <f t="shared" si="93"/>
        <v>91.06</v>
      </c>
      <c r="AS182" s="375">
        <f t="shared" si="94"/>
        <v>6526.06</v>
      </c>
      <c r="AT182" s="375">
        <v>6526.06</v>
      </c>
      <c r="AU182" s="344">
        <f t="shared" si="68"/>
        <v>5.9760406738522169E-2</v>
      </c>
      <c r="AV182" s="18">
        <f>IF(F181="","",(SUM($AS$6:AS182)))</f>
        <v>1097268.6400000006</v>
      </c>
      <c r="AW182" s="18">
        <f>IFERROR(IF(AS182&lt;&gt;"", SUMIFS($AS$10:AS182, $BG$10:BG182, BG182), ""),"")</f>
        <v>108751.55000000002</v>
      </c>
      <c r="AX182" s="123">
        <f t="shared" ca="1" si="86"/>
        <v>271.91916666666668</v>
      </c>
      <c r="AY182" s="124" t="str">
        <f t="shared" ca="1" si="69"/>
        <v>LINK</v>
      </c>
      <c r="AZ182" t="s">
        <v>527</v>
      </c>
      <c r="BA182" s="125" t="s">
        <v>332</v>
      </c>
      <c r="BB182" t="str">
        <f t="shared" si="70"/>
        <v>25</v>
      </c>
      <c r="BC182" t="str">
        <f t="shared" si="71"/>
        <v>09</v>
      </c>
      <c r="BD182" t="str">
        <f t="shared" si="72"/>
        <v>09</v>
      </c>
      <c r="BE182" t="str">
        <f t="shared" si="73"/>
        <v>D</v>
      </c>
      <c r="BF182" t="str">
        <f t="shared" si="77"/>
        <v>https://www.coreplan.io/app/ddh1-drilling/speewah-mining-speewah-fluorite-project-wa/plods/1665-250909D</v>
      </c>
      <c r="BG182" t="str">
        <f t="shared" si="74"/>
        <v>2025-09</v>
      </c>
    </row>
    <row r="183" spans="1:59">
      <c r="A183" s="510" t="str">
        <f>VLOOKUP(F183,'Tenement Lookup'!A:BH,60,FALSE)</f>
        <v>M 80/268</v>
      </c>
      <c r="B183" t="s">
        <v>507</v>
      </c>
      <c r="C183" s="151" t="s">
        <v>508</v>
      </c>
      <c r="D183" s="1">
        <f t="shared" si="91"/>
        <v>45909.71</v>
      </c>
      <c r="E183" t="s">
        <v>172</v>
      </c>
      <c r="F183" s="501" t="s">
        <v>526</v>
      </c>
      <c r="H183" s="4" t="s">
        <v>392</v>
      </c>
      <c r="I183" s="4">
        <v>3</v>
      </c>
      <c r="J183" s="122">
        <f t="shared" si="87"/>
        <v>390</v>
      </c>
      <c r="K183" s="21">
        <v>54.4</v>
      </c>
      <c r="L183" s="28">
        <v>62.9</v>
      </c>
      <c r="M183" s="22">
        <f t="shared" si="95"/>
        <v>8.5</v>
      </c>
      <c r="N183" s="30"/>
      <c r="O183" s="26"/>
      <c r="P183" s="31">
        <f t="shared" si="81"/>
        <v>0</v>
      </c>
      <c r="Q183" s="21"/>
      <c r="R183" s="28"/>
      <c r="S183" s="22">
        <f t="shared" si="84"/>
        <v>0</v>
      </c>
      <c r="T183" s="30"/>
      <c r="U183" s="26"/>
      <c r="V183" s="31">
        <f t="shared" si="82"/>
        <v>0</v>
      </c>
      <c r="W183" s="26">
        <f t="shared" si="89"/>
        <v>8.5</v>
      </c>
      <c r="X183" s="36">
        <f t="shared" si="90"/>
        <v>1487.5</v>
      </c>
      <c r="Y183" s="301">
        <f t="shared" si="85"/>
        <v>2415</v>
      </c>
      <c r="Z183" s="38"/>
      <c r="AA183" s="38"/>
      <c r="AB183" s="38"/>
      <c r="AC183" s="38"/>
      <c r="AD183" s="157">
        <f t="shared" si="92"/>
        <v>0</v>
      </c>
      <c r="AE183" s="29">
        <v>5.25</v>
      </c>
      <c r="AF183" s="29">
        <v>1.25</v>
      </c>
      <c r="AG183" s="40" t="s">
        <v>242</v>
      </c>
      <c r="AH183" s="44">
        <v>0.5</v>
      </c>
      <c r="AI183" s="13"/>
      <c r="AJ183" s="304"/>
      <c r="AK183" s="45">
        <v>4</v>
      </c>
      <c r="AL183" s="23">
        <v>1</v>
      </c>
      <c r="AM183" s="138" t="s">
        <v>528</v>
      </c>
      <c r="AN183" s="25">
        <f t="shared" ca="1" si="78"/>
        <v>12</v>
      </c>
      <c r="AO183" s="50"/>
      <c r="AP183" s="53">
        <f t="shared" si="96"/>
        <v>755</v>
      </c>
      <c r="AQ183" s="322">
        <v>390</v>
      </c>
      <c r="AR183" s="324">
        <f t="shared" si="93"/>
        <v>0</v>
      </c>
      <c r="AS183" s="375">
        <f t="shared" si="94"/>
        <v>3560</v>
      </c>
      <c r="AT183" s="375">
        <v>3560</v>
      </c>
      <c r="AU183" s="344">
        <f t="shared" si="68"/>
        <v>0.10955056179775281</v>
      </c>
      <c r="AV183" s="18">
        <f>IF(F182="","",(SUM($AS$6:AS183)))</f>
        <v>1100828.6400000006</v>
      </c>
      <c r="AW183" s="18">
        <f>IFERROR(IF(AS183&lt;&gt;"", SUMIFS($AS$10:AS183, $BG$10:BG183, BG183), ""),"")</f>
        <v>112311.55000000002</v>
      </c>
      <c r="AX183" s="123">
        <f t="shared" ca="1" si="86"/>
        <v>418.8235294117647</v>
      </c>
      <c r="AY183" s="124" t="str">
        <f t="shared" ca="1" si="69"/>
        <v>LINK</v>
      </c>
      <c r="AZ183" t="s">
        <v>529</v>
      </c>
      <c r="BA183" s="125" t="s">
        <v>332</v>
      </c>
      <c r="BB183" t="str">
        <f t="shared" si="70"/>
        <v>25</v>
      </c>
      <c r="BC183" t="str">
        <f t="shared" si="71"/>
        <v>09</v>
      </c>
      <c r="BD183" t="str">
        <f t="shared" si="72"/>
        <v>09</v>
      </c>
      <c r="BE183" t="str">
        <f t="shared" si="73"/>
        <v>N</v>
      </c>
      <c r="BF183" t="str">
        <f t="shared" si="77"/>
        <v>https://www.coreplan.io/app/ddh1-drilling/speewah-mining-speewah-fluorite-project-wa/plods/1665-250909N</v>
      </c>
      <c r="BG183" t="str">
        <f t="shared" si="74"/>
        <v>2025-09</v>
      </c>
    </row>
    <row r="184" spans="1:59">
      <c r="A184" s="510" t="str">
        <f>VLOOKUP(F184,'Tenement Lookup'!A:BH,60,FALSE)</f>
        <v>M 80/268</v>
      </c>
      <c r="B184" t="s">
        <v>507</v>
      </c>
      <c r="C184" s="151" t="s">
        <v>508</v>
      </c>
      <c r="D184" s="1">
        <f t="shared" si="91"/>
        <v>45910.21</v>
      </c>
      <c r="E184" t="s">
        <v>171</v>
      </c>
      <c r="F184" s="501" t="s">
        <v>526</v>
      </c>
      <c r="H184" s="4" t="s">
        <v>394</v>
      </c>
      <c r="I184" s="4">
        <v>4</v>
      </c>
      <c r="J184" s="122">
        <f t="shared" si="87"/>
        <v>520</v>
      </c>
      <c r="K184" s="21">
        <v>62.9</v>
      </c>
      <c r="L184" s="28">
        <v>63.4</v>
      </c>
      <c r="M184" s="22">
        <f t="shared" si="95"/>
        <v>0.5</v>
      </c>
      <c r="N184" s="30"/>
      <c r="O184" s="26"/>
      <c r="P184" s="31">
        <f t="shared" si="81"/>
        <v>0</v>
      </c>
      <c r="Q184" s="21"/>
      <c r="R184" s="28"/>
      <c r="S184" s="22">
        <f t="shared" si="84"/>
        <v>0</v>
      </c>
      <c r="T184" s="30"/>
      <c r="U184" s="26"/>
      <c r="V184" s="31">
        <f t="shared" si="82"/>
        <v>0</v>
      </c>
      <c r="W184" s="26">
        <f t="shared" si="89"/>
        <v>0.5</v>
      </c>
      <c r="X184" s="36">
        <f t="shared" si="90"/>
        <v>87.5</v>
      </c>
      <c r="Y184" s="301">
        <f t="shared" si="85"/>
        <v>115</v>
      </c>
      <c r="Z184" s="38">
        <v>1</v>
      </c>
      <c r="AA184" s="38">
        <v>1</v>
      </c>
      <c r="AB184" s="38">
        <v>1</v>
      </c>
      <c r="AC184" s="38">
        <v>13122</v>
      </c>
      <c r="AD184" s="157">
        <f t="shared" si="92"/>
        <v>750</v>
      </c>
      <c r="AE184" s="29">
        <v>0.25</v>
      </c>
      <c r="AF184" s="29">
        <v>0.75</v>
      </c>
      <c r="AG184" s="40" t="s">
        <v>242</v>
      </c>
      <c r="AH184" s="44">
        <v>1</v>
      </c>
      <c r="AI184" s="13"/>
      <c r="AJ184" s="304"/>
      <c r="AK184" s="45">
        <v>8.75</v>
      </c>
      <c r="AL184" s="23">
        <v>1.25</v>
      </c>
      <c r="AM184" s="138" t="s">
        <v>530</v>
      </c>
      <c r="AN184" s="25">
        <f t="shared" ca="1" si="78"/>
        <v>12</v>
      </c>
      <c r="AO184" s="50"/>
      <c r="AP184" s="53">
        <f t="shared" si="96"/>
        <v>705</v>
      </c>
      <c r="AQ184" s="322">
        <v>520</v>
      </c>
      <c r="AR184" s="324">
        <f t="shared" si="93"/>
        <v>0</v>
      </c>
      <c r="AS184" s="375">
        <f t="shared" si="94"/>
        <v>2090</v>
      </c>
      <c r="AT184" s="375">
        <v>2090</v>
      </c>
      <c r="AU184" s="344">
        <f t="shared" si="68"/>
        <v>0.24880382775119617</v>
      </c>
      <c r="AV184" s="18">
        <f>IF(F183="","",(SUM($AS$6:AS184)))</f>
        <v>1102918.6400000006</v>
      </c>
      <c r="AW184" s="18">
        <f>IFERROR(IF(AS184&lt;&gt;"", SUMIFS($AS$10:AS184, $BG$10:BG184, BG184), ""),"")</f>
        <v>114401.55000000002</v>
      </c>
      <c r="AX184" s="123">
        <f t="shared" ca="1" si="86"/>
        <v>4180</v>
      </c>
      <c r="AY184" s="124" t="str">
        <f t="shared" ca="1" si="69"/>
        <v>LINK</v>
      </c>
      <c r="AZ184" t="s">
        <v>531</v>
      </c>
      <c r="BA184" s="125" t="s">
        <v>332</v>
      </c>
      <c r="BB184" t="str">
        <f t="shared" si="70"/>
        <v>25</v>
      </c>
      <c r="BC184" t="str">
        <f t="shared" si="71"/>
        <v>09</v>
      </c>
      <c r="BD184">
        <f t="shared" si="72"/>
        <v>10</v>
      </c>
      <c r="BE184" t="str">
        <f t="shared" si="73"/>
        <v>D</v>
      </c>
      <c r="BF184" t="str">
        <f t="shared" si="77"/>
        <v>https://www.coreplan.io/app/ddh1-drilling/speewah-mining-speewah-fluorite-project-wa/plods/1665-250910D</v>
      </c>
      <c r="BG184" t="str">
        <f t="shared" si="74"/>
        <v>2025-09</v>
      </c>
    </row>
    <row r="185" spans="1:59">
      <c r="A185" s="510" t="str">
        <f>VLOOKUP(F185,'Tenement Lookup'!A:BH,60,FALSE)</f>
        <v>M 80/268</v>
      </c>
      <c r="B185" t="s">
        <v>507</v>
      </c>
      <c r="C185" s="151" t="s">
        <v>508</v>
      </c>
      <c r="D185" s="1">
        <f t="shared" si="91"/>
        <v>45910.71</v>
      </c>
      <c r="E185" t="s">
        <v>172</v>
      </c>
      <c r="F185" s="501" t="s">
        <v>526</v>
      </c>
      <c r="H185" s="4"/>
      <c r="I185" s="4"/>
      <c r="J185" s="122" t="str">
        <f t="shared" si="87"/>
        <v/>
      </c>
      <c r="K185" s="21"/>
      <c r="L185" s="28"/>
      <c r="M185" s="22">
        <f t="shared" si="95"/>
        <v>0</v>
      </c>
      <c r="N185" s="30"/>
      <c r="O185" s="26"/>
      <c r="P185" s="31">
        <f t="shared" si="81"/>
        <v>0</v>
      </c>
      <c r="Q185" s="21"/>
      <c r="R185" s="28"/>
      <c r="S185" s="22">
        <f t="shared" si="84"/>
        <v>0</v>
      </c>
      <c r="T185" s="30"/>
      <c r="U185" s="26"/>
      <c r="V185" s="31">
        <f t="shared" si="82"/>
        <v>0</v>
      </c>
      <c r="W185" s="26">
        <f t="shared" si="89"/>
        <v>0</v>
      </c>
      <c r="X185" s="36">
        <f t="shared" si="90"/>
        <v>0</v>
      </c>
      <c r="Y185" s="301">
        <f t="shared" si="85"/>
        <v>0</v>
      </c>
      <c r="Z185" s="38"/>
      <c r="AA185" s="38"/>
      <c r="AB185" s="38"/>
      <c r="AC185" s="38"/>
      <c r="AD185" s="157">
        <f t="shared" si="92"/>
        <v>0</v>
      </c>
      <c r="AE185" s="29"/>
      <c r="AF185" s="29"/>
      <c r="AG185" s="40"/>
      <c r="AH185" s="44"/>
      <c r="AI185" s="13"/>
      <c r="AJ185" s="304"/>
      <c r="AK185" s="45"/>
      <c r="AL185" s="23"/>
      <c r="AM185" s="138"/>
      <c r="AN185" s="25">
        <f t="shared" ca="1" si="78"/>
        <v>0</v>
      </c>
      <c r="AO185" s="50"/>
      <c r="AP185" s="53">
        <f t="shared" si="96"/>
        <v>0</v>
      </c>
      <c r="AQ185" s="322"/>
      <c r="AR185" s="324" t="str">
        <f t="shared" si="93"/>
        <v/>
      </c>
      <c r="AS185" s="375">
        <f t="shared" si="94"/>
        <v>0</v>
      </c>
      <c r="AT185" s="375"/>
      <c r="AU185" s="344" t="str">
        <f t="shared" si="68"/>
        <v/>
      </c>
      <c r="AV185" s="18">
        <f>IF(F184="","",(SUM($AS$6:AS185)))</f>
        <v>1102918.6400000006</v>
      </c>
      <c r="AW185" s="18">
        <f>IFERROR(IF(AS185&lt;&gt;"", SUMIFS($AS$10:AS185, $BG$10:BG185, BG185), ""),"")</f>
        <v>114401.55000000002</v>
      </c>
      <c r="AX185" s="123" t="str">
        <f t="shared" ca="1" si="86"/>
        <v>no drilling completed</v>
      </c>
      <c r="AY185" s="124" t="str">
        <f t="shared" ca="1" si="69"/>
        <v>LINK</v>
      </c>
      <c r="AZ185" t="s">
        <v>532</v>
      </c>
      <c r="BA185" s="125" t="s">
        <v>332</v>
      </c>
      <c r="BB185" t="str">
        <f t="shared" si="70"/>
        <v>25</v>
      </c>
      <c r="BC185" t="str">
        <f t="shared" si="71"/>
        <v>09</v>
      </c>
      <c r="BD185">
        <f t="shared" si="72"/>
        <v>10</v>
      </c>
      <c r="BE185" t="str">
        <f t="shared" si="73"/>
        <v>N</v>
      </c>
      <c r="BF185" t="str">
        <f t="shared" si="77"/>
        <v>https://www.coreplan.io/app/ddh1-drilling/speewah-mining-speewah-fluorite-project-wa/plods/1665-250910N</v>
      </c>
      <c r="BG185" t="str">
        <f t="shared" si="74"/>
        <v>2025-09</v>
      </c>
    </row>
    <row r="186" spans="1:59">
      <c r="A186" s="510" t="str">
        <f>VLOOKUP(F186,'Tenement Lookup'!A:BH,60,FALSE)</f>
        <v>M 80/268</v>
      </c>
      <c r="B186" t="s">
        <v>507</v>
      </c>
      <c r="C186" s="151" t="s">
        <v>508</v>
      </c>
      <c r="D186" s="1">
        <f t="shared" si="91"/>
        <v>45911.21</v>
      </c>
      <c r="E186" t="s">
        <v>171</v>
      </c>
      <c r="F186" s="501" t="s">
        <v>526</v>
      </c>
      <c r="H186" s="4" t="s">
        <v>394</v>
      </c>
      <c r="I186" s="4">
        <v>4</v>
      </c>
      <c r="J186" s="122">
        <f t="shared" si="87"/>
        <v>520</v>
      </c>
      <c r="K186" s="21">
        <v>63.4</v>
      </c>
      <c r="L186" s="28">
        <v>96.4</v>
      </c>
      <c r="M186" s="22">
        <f t="shared" si="95"/>
        <v>33.000000000000007</v>
      </c>
      <c r="N186" s="30"/>
      <c r="O186" s="26"/>
      <c r="P186" s="31">
        <f t="shared" si="81"/>
        <v>0</v>
      </c>
      <c r="Q186" s="21"/>
      <c r="R186" s="28"/>
      <c r="S186" s="22">
        <f t="shared" si="84"/>
        <v>0</v>
      </c>
      <c r="T186" s="30"/>
      <c r="U186" s="26"/>
      <c r="V186" s="31">
        <f t="shared" si="82"/>
        <v>0</v>
      </c>
      <c r="W186" s="26">
        <f t="shared" si="89"/>
        <v>33.000000000000007</v>
      </c>
      <c r="X186" s="36">
        <f t="shared" si="90"/>
        <v>5775.0000000000009</v>
      </c>
      <c r="Y186" s="301">
        <f t="shared" si="85"/>
        <v>5775.0000000000009</v>
      </c>
      <c r="Z186" s="38">
        <v>1</v>
      </c>
      <c r="AA186" s="38">
        <v>1</v>
      </c>
      <c r="AB186" s="38">
        <v>1</v>
      </c>
      <c r="AC186" s="38">
        <v>13122</v>
      </c>
      <c r="AD186" s="157">
        <f t="shared" si="92"/>
        <v>750</v>
      </c>
      <c r="AE186" s="29">
        <v>10</v>
      </c>
      <c r="AF186" s="29">
        <v>1</v>
      </c>
      <c r="AG186" s="40"/>
      <c r="AH186" s="44">
        <v>1</v>
      </c>
      <c r="AI186" s="13"/>
      <c r="AJ186" s="304"/>
      <c r="AK186" s="45"/>
      <c r="AL186" s="23"/>
      <c r="AM186" s="138"/>
      <c r="AN186" s="25">
        <f t="shared" ca="1" si="78"/>
        <v>12</v>
      </c>
      <c r="AO186" s="50"/>
      <c r="AP186" s="53">
        <f t="shared" si="96"/>
        <v>820</v>
      </c>
      <c r="AQ186" s="322">
        <v>520</v>
      </c>
      <c r="AR186" s="324">
        <f t="shared" si="93"/>
        <v>0</v>
      </c>
      <c r="AS186" s="375">
        <f t="shared" si="94"/>
        <v>7865.0000000000009</v>
      </c>
      <c r="AT186" s="375">
        <v>7865</v>
      </c>
      <c r="AU186" s="344">
        <f t="shared" si="68"/>
        <v>6.6115702479338831E-2</v>
      </c>
      <c r="AV186" s="18">
        <f>IF(F185="","",(SUM($AS$6:AS186)))</f>
        <v>1110783.6400000006</v>
      </c>
      <c r="AW186" s="18">
        <f>IFERROR(IF(AS186&lt;&gt;"", SUMIFS($AS$10:AS186, $BG$10:BG186, BG186), ""),"")</f>
        <v>122266.55000000002</v>
      </c>
      <c r="AX186" s="123">
        <f t="shared" ca="1" si="86"/>
        <v>238.33333333333331</v>
      </c>
      <c r="AY186" s="124" t="str">
        <f t="shared" ca="1" si="69"/>
        <v>LINK</v>
      </c>
      <c r="AZ186" t="s">
        <v>533</v>
      </c>
      <c r="BA186" s="125" t="s">
        <v>332</v>
      </c>
      <c r="BB186" t="str">
        <f t="shared" si="70"/>
        <v>25</v>
      </c>
      <c r="BC186" t="str">
        <f t="shared" si="71"/>
        <v>09</v>
      </c>
      <c r="BD186">
        <f t="shared" si="72"/>
        <v>11</v>
      </c>
      <c r="BE186" t="str">
        <f t="shared" si="73"/>
        <v>D</v>
      </c>
      <c r="BF186" t="str">
        <f t="shared" si="77"/>
        <v>https://www.coreplan.io/app/ddh1-drilling/speewah-mining-speewah-fluorite-project-wa/plods/1665-250911D</v>
      </c>
      <c r="BG186" t="str">
        <f t="shared" si="74"/>
        <v>2025-09</v>
      </c>
    </row>
    <row r="187" spans="1:59">
      <c r="A187" s="510" t="str">
        <f>VLOOKUP(F187,'Tenement Lookup'!A:BH,60,FALSE)</f>
        <v>M 80/268</v>
      </c>
      <c r="B187" t="s">
        <v>507</v>
      </c>
      <c r="C187" s="151" t="s">
        <v>508</v>
      </c>
      <c r="D187" s="1">
        <f t="shared" si="91"/>
        <v>45911.71</v>
      </c>
      <c r="E187" t="s">
        <v>172</v>
      </c>
      <c r="F187" s="501" t="s">
        <v>526</v>
      </c>
      <c r="H187" s="4"/>
      <c r="I187" s="4"/>
      <c r="J187" s="122" t="str">
        <f t="shared" si="87"/>
        <v/>
      </c>
      <c r="K187" s="21"/>
      <c r="L187" s="28"/>
      <c r="M187" s="22">
        <f t="shared" si="95"/>
        <v>0</v>
      </c>
      <c r="N187" s="30"/>
      <c r="O187" s="26"/>
      <c r="P187" s="31">
        <f t="shared" si="81"/>
        <v>0</v>
      </c>
      <c r="Q187" s="21"/>
      <c r="R187" s="28"/>
      <c r="S187" s="22">
        <f t="shared" si="84"/>
        <v>0</v>
      </c>
      <c r="T187" s="30"/>
      <c r="U187" s="26"/>
      <c r="V187" s="31">
        <f t="shared" si="82"/>
        <v>0</v>
      </c>
      <c r="W187" s="26">
        <f t="shared" si="89"/>
        <v>0</v>
      </c>
      <c r="X187" s="36">
        <f t="shared" si="90"/>
        <v>0</v>
      </c>
      <c r="Y187" s="301">
        <f t="shared" si="85"/>
        <v>0</v>
      </c>
      <c r="Z187" s="38"/>
      <c r="AA187" s="38"/>
      <c r="AB187" s="38"/>
      <c r="AC187" s="38"/>
      <c r="AD187" s="157">
        <f t="shared" si="92"/>
        <v>0</v>
      </c>
      <c r="AE187" s="29"/>
      <c r="AF187" s="29"/>
      <c r="AG187" s="40"/>
      <c r="AH187" s="44"/>
      <c r="AI187" s="13"/>
      <c r="AJ187" s="304"/>
      <c r="AK187" s="45"/>
      <c r="AL187" s="23"/>
      <c r="AM187" s="138"/>
      <c r="AN187" s="25">
        <f t="shared" ca="1" si="78"/>
        <v>0</v>
      </c>
      <c r="AO187" s="50"/>
      <c r="AP187" s="53">
        <f t="shared" si="96"/>
        <v>0</v>
      </c>
      <c r="AQ187" s="322"/>
      <c r="AR187" s="324" t="str">
        <f t="shared" si="93"/>
        <v/>
      </c>
      <c r="AS187" s="375">
        <f t="shared" si="94"/>
        <v>0</v>
      </c>
      <c r="AT187" s="375"/>
      <c r="AU187" s="344" t="str">
        <f t="shared" si="68"/>
        <v/>
      </c>
      <c r="AV187" s="18">
        <f>IF(F186="","",(SUM($AS$6:AS187)))</f>
        <v>1110783.6400000006</v>
      </c>
      <c r="AW187" s="18">
        <f>IFERROR(IF(AS187&lt;&gt;"", SUMIFS($AS$10:AS187, $BG$10:BG187, BG187), ""),"")</f>
        <v>122266.55000000002</v>
      </c>
      <c r="AX187" s="123" t="str">
        <f t="shared" ca="1" si="86"/>
        <v>no drilling completed</v>
      </c>
      <c r="AY187" s="124" t="str">
        <f t="shared" ca="1" si="69"/>
        <v>LINK</v>
      </c>
      <c r="AZ187" t="s">
        <v>532</v>
      </c>
      <c r="BA187" s="125" t="s">
        <v>332</v>
      </c>
      <c r="BB187" t="str">
        <f t="shared" si="70"/>
        <v>25</v>
      </c>
      <c r="BC187" t="str">
        <f t="shared" si="71"/>
        <v>09</v>
      </c>
      <c r="BD187">
        <f t="shared" si="72"/>
        <v>11</v>
      </c>
      <c r="BE187" t="str">
        <f t="shared" si="73"/>
        <v>N</v>
      </c>
      <c r="BF187" t="str">
        <f t="shared" si="77"/>
        <v>https://www.coreplan.io/app/ddh1-drilling/speewah-mining-speewah-fluorite-project-wa/plods/1665-250911N</v>
      </c>
      <c r="BG187" t="str">
        <f t="shared" si="74"/>
        <v>2025-09</v>
      </c>
    </row>
    <row r="188" spans="1:59">
      <c r="A188" s="510" t="str">
        <f>VLOOKUP(F188,'Tenement Lookup'!A:BH,60,FALSE)</f>
        <v>M 80/268</v>
      </c>
      <c r="B188" t="s">
        <v>507</v>
      </c>
      <c r="C188" s="151" t="s">
        <v>508</v>
      </c>
      <c r="D188" s="1">
        <f t="shared" si="91"/>
        <v>45912.21</v>
      </c>
      <c r="E188" t="s">
        <v>171</v>
      </c>
      <c r="F188" s="501" t="s">
        <v>526</v>
      </c>
      <c r="H188" s="4" t="s">
        <v>394</v>
      </c>
      <c r="I188" s="4">
        <v>4</v>
      </c>
      <c r="J188" s="122">
        <f t="shared" si="87"/>
        <v>520</v>
      </c>
      <c r="K188" s="21">
        <v>96.4</v>
      </c>
      <c r="L188" s="28">
        <v>110</v>
      </c>
      <c r="M188" s="22">
        <f t="shared" si="95"/>
        <v>13.599999999999994</v>
      </c>
      <c r="N188" s="30"/>
      <c r="O188" s="26"/>
      <c r="P188" s="31">
        <f t="shared" si="81"/>
        <v>0</v>
      </c>
      <c r="Q188" s="21"/>
      <c r="R188" s="28"/>
      <c r="S188" s="22">
        <f t="shared" si="84"/>
        <v>0</v>
      </c>
      <c r="T188" s="30"/>
      <c r="U188" s="26"/>
      <c r="V188" s="31">
        <f t="shared" si="82"/>
        <v>0</v>
      </c>
      <c r="W188" s="26">
        <f t="shared" si="89"/>
        <v>13.599999999999994</v>
      </c>
      <c r="X188" s="36">
        <f t="shared" si="90"/>
        <v>2379.9999999999991</v>
      </c>
      <c r="Y188" s="301">
        <f t="shared" ref="Y188:Y219" si="97">IF(F188&lt;&gt;"",IF(X188&lt;(AE188*$AE$2),(AE188*$AE$2),X188),"")</f>
        <v>2415</v>
      </c>
      <c r="Z188" s="38">
        <v>1</v>
      </c>
      <c r="AA188" s="38">
        <v>1</v>
      </c>
      <c r="AB188" s="38">
        <v>1</v>
      </c>
      <c r="AC188" s="38">
        <v>13122</v>
      </c>
      <c r="AD188" s="157">
        <f t="shared" si="92"/>
        <v>750</v>
      </c>
      <c r="AE188" s="29">
        <v>5.25</v>
      </c>
      <c r="AF188" s="29">
        <v>5.75</v>
      </c>
      <c r="AG188" s="40"/>
      <c r="AH188" s="44">
        <v>1</v>
      </c>
      <c r="AI188" s="13"/>
      <c r="AJ188" s="304"/>
      <c r="AK188" s="45"/>
      <c r="AL188" s="23"/>
      <c r="AM188" s="138"/>
      <c r="AN188" s="25">
        <f t="shared" ca="1" si="78"/>
        <v>12</v>
      </c>
      <c r="AO188" s="50"/>
      <c r="AP188" s="53">
        <f t="shared" si="96"/>
        <v>3005</v>
      </c>
      <c r="AQ188" s="322">
        <v>637.92999999999995</v>
      </c>
      <c r="AR188" s="324">
        <f t="shared" si="93"/>
        <v>117.92999999999995</v>
      </c>
      <c r="AS188" s="375">
        <f t="shared" si="94"/>
        <v>6807.93</v>
      </c>
      <c r="AT188" s="375">
        <v>6807.93</v>
      </c>
      <c r="AU188" s="344">
        <f t="shared" si="68"/>
        <v>7.6381513910983218E-2</v>
      </c>
      <c r="AV188" s="18">
        <f>IF(F187="","",(SUM($AS$6:AS188)))</f>
        <v>1117591.5700000005</v>
      </c>
      <c r="AW188" s="18">
        <f>IFERROR(IF(AS188&lt;&gt;"", SUMIFS($AS$10:AS188, $BG$10:BG188, BG188), ""),"")</f>
        <v>129074.48000000001</v>
      </c>
      <c r="AX188" s="123">
        <f t="shared" ca="1" si="86"/>
        <v>500.58308823529433</v>
      </c>
      <c r="AY188" s="124" t="str">
        <f t="shared" ca="1" si="69"/>
        <v>LINK</v>
      </c>
      <c r="AZ188" t="s">
        <v>534</v>
      </c>
      <c r="BA188" s="125" t="s">
        <v>332</v>
      </c>
      <c r="BB188" t="str">
        <f t="shared" si="70"/>
        <v>25</v>
      </c>
      <c r="BC188" t="str">
        <f t="shared" si="71"/>
        <v>09</v>
      </c>
      <c r="BD188">
        <f t="shared" si="72"/>
        <v>12</v>
      </c>
      <c r="BE188" t="str">
        <f t="shared" si="73"/>
        <v>D</v>
      </c>
      <c r="BF188" t="str">
        <f t="shared" si="77"/>
        <v>https://www.coreplan.io/app/ddh1-drilling/speewah-mining-speewah-fluorite-project-wa/plods/1665-250912D</v>
      </c>
      <c r="BG188" t="str">
        <f t="shared" si="74"/>
        <v>2025-09</v>
      </c>
    </row>
    <row r="189" spans="1:59">
      <c r="A189" s="510" t="str">
        <f>VLOOKUP(F189,'Tenement Lookup'!A:BH,60,FALSE)</f>
        <v>M 80/268</v>
      </c>
      <c r="B189" t="s">
        <v>507</v>
      </c>
      <c r="C189" s="151" t="s">
        <v>508</v>
      </c>
      <c r="D189" s="1">
        <f t="shared" si="91"/>
        <v>45912.71</v>
      </c>
      <c r="E189" t="s">
        <v>172</v>
      </c>
      <c r="F189" s="501" t="s">
        <v>526</v>
      </c>
      <c r="H189" s="4"/>
      <c r="I189" s="4"/>
      <c r="J189" s="122" t="str">
        <f t="shared" si="87"/>
        <v/>
      </c>
      <c r="K189" s="21"/>
      <c r="L189" s="28"/>
      <c r="M189" s="22">
        <f t="shared" si="95"/>
        <v>0</v>
      </c>
      <c r="N189" s="30"/>
      <c r="O189" s="26"/>
      <c r="P189" s="31">
        <f t="shared" si="81"/>
        <v>0</v>
      </c>
      <c r="Q189" s="21"/>
      <c r="R189" s="28"/>
      <c r="S189" s="22">
        <f t="shared" si="84"/>
        <v>0</v>
      </c>
      <c r="T189" s="30"/>
      <c r="U189" s="26"/>
      <c r="V189" s="31">
        <f t="shared" si="82"/>
        <v>0</v>
      </c>
      <c r="W189" s="26">
        <f t="shared" si="89"/>
        <v>0</v>
      </c>
      <c r="X189" s="36">
        <f t="shared" si="90"/>
        <v>0</v>
      </c>
      <c r="Y189" s="301">
        <f t="shared" si="97"/>
        <v>0</v>
      </c>
      <c r="Z189" s="38"/>
      <c r="AA189" s="38"/>
      <c r="AB189" s="38"/>
      <c r="AC189" s="38"/>
      <c r="AD189" s="157">
        <f t="shared" si="92"/>
        <v>0</v>
      </c>
      <c r="AE189" s="29"/>
      <c r="AF189" s="29"/>
      <c r="AG189" s="40"/>
      <c r="AH189" s="44"/>
      <c r="AI189" s="13"/>
      <c r="AJ189" s="304"/>
      <c r="AK189" s="45"/>
      <c r="AL189" s="23"/>
      <c r="AM189" s="138"/>
      <c r="AN189" s="25">
        <f t="shared" ca="1" si="78"/>
        <v>0</v>
      </c>
      <c r="AO189" s="50"/>
      <c r="AP189" s="53">
        <f t="shared" si="96"/>
        <v>0</v>
      </c>
      <c r="AQ189" s="322"/>
      <c r="AR189" s="324" t="str">
        <f t="shared" si="93"/>
        <v/>
      </c>
      <c r="AS189" s="375">
        <f t="shared" si="94"/>
        <v>0</v>
      </c>
      <c r="AT189" s="375"/>
      <c r="AU189" s="344" t="str">
        <f t="shared" si="68"/>
        <v/>
      </c>
      <c r="AV189" s="18">
        <f>IF(F188="","",(SUM($AS$6:AS189)))</f>
        <v>1117591.5700000005</v>
      </c>
      <c r="AW189" s="18">
        <f>IFERROR(IF(AS189&lt;&gt;"", SUMIFS($AS$10:AS189, $BG$10:BG189, BG189), ""),"")</f>
        <v>129074.48000000001</v>
      </c>
      <c r="AX189" s="123" t="str">
        <f t="shared" ca="1" si="86"/>
        <v>no drilling completed</v>
      </c>
      <c r="AY189" s="124" t="str">
        <f t="shared" ca="1" si="69"/>
        <v>LINK</v>
      </c>
      <c r="AZ189" t="s">
        <v>532</v>
      </c>
      <c r="BA189" s="125" t="s">
        <v>332</v>
      </c>
      <c r="BB189" t="str">
        <f t="shared" si="70"/>
        <v>25</v>
      </c>
      <c r="BC189" t="str">
        <f t="shared" si="71"/>
        <v>09</v>
      </c>
      <c r="BD189">
        <f t="shared" si="72"/>
        <v>12</v>
      </c>
      <c r="BE189" t="str">
        <f t="shared" si="73"/>
        <v>N</v>
      </c>
      <c r="BF189" t="str">
        <f t="shared" si="77"/>
        <v>https://www.coreplan.io/app/ddh1-drilling/speewah-mining-speewah-fluorite-project-wa/plods/1665-250912N</v>
      </c>
      <c r="BG189" t="str">
        <f t="shared" si="74"/>
        <v>2025-09</v>
      </c>
    </row>
    <row r="190" spans="1:59">
      <c r="A190" s="510" t="str">
        <f>VLOOKUP(F190,'Tenement Lookup'!A:BH,60,FALSE)</f>
        <v>M 80/268</v>
      </c>
      <c r="B190" t="s">
        <v>507</v>
      </c>
      <c r="C190" s="151" t="s">
        <v>508</v>
      </c>
      <c r="D190" s="1">
        <f t="shared" si="91"/>
        <v>45913.21</v>
      </c>
      <c r="E190" t="s">
        <v>171</v>
      </c>
      <c r="F190" s="501" t="s">
        <v>535</v>
      </c>
      <c r="H190" s="4" t="s">
        <v>394</v>
      </c>
      <c r="I190" s="4">
        <v>4</v>
      </c>
      <c r="J190" s="122">
        <f t="shared" si="87"/>
        <v>520</v>
      </c>
      <c r="K190" s="21">
        <v>0</v>
      </c>
      <c r="L190" s="28">
        <v>30.6</v>
      </c>
      <c r="M190" s="22">
        <f t="shared" si="95"/>
        <v>30.6</v>
      </c>
      <c r="N190" s="30"/>
      <c r="O190" s="26"/>
      <c r="P190" s="31">
        <f t="shared" si="81"/>
        <v>0</v>
      </c>
      <c r="Q190" s="21"/>
      <c r="R190" s="28"/>
      <c r="S190" s="22">
        <f t="shared" si="84"/>
        <v>0</v>
      </c>
      <c r="T190" s="30"/>
      <c r="U190" s="26"/>
      <c r="V190" s="31">
        <f t="shared" si="82"/>
        <v>0</v>
      </c>
      <c r="W190" s="26">
        <f t="shared" si="89"/>
        <v>30.6</v>
      </c>
      <c r="X190" s="36">
        <f t="shared" si="90"/>
        <v>5355</v>
      </c>
      <c r="Y190" s="301">
        <f t="shared" si="97"/>
        <v>5355</v>
      </c>
      <c r="Z190" s="38">
        <v>1</v>
      </c>
      <c r="AA190" s="38">
        <v>1</v>
      </c>
      <c r="AB190" s="38">
        <v>1</v>
      </c>
      <c r="AC190" s="38">
        <v>13122</v>
      </c>
      <c r="AD190" s="157">
        <f t="shared" si="92"/>
        <v>750</v>
      </c>
      <c r="AE190" s="29">
        <v>9.25</v>
      </c>
      <c r="AF190" s="29">
        <v>1.75</v>
      </c>
      <c r="AG190" s="40"/>
      <c r="AH190" s="44">
        <v>1</v>
      </c>
      <c r="AI190" s="13"/>
      <c r="AJ190" s="304"/>
      <c r="AK190" s="45"/>
      <c r="AL190" s="23"/>
      <c r="AM190" s="138"/>
      <c r="AN190" s="25">
        <f t="shared" ca="1" si="78"/>
        <v>12</v>
      </c>
      <c r="AO190" s="50"/>
      <c r="AP190" s="53">
        <f t="shared" si="96"/>
        <v>1165</v>
      </c>
      <c r="AQ190" s="322">
        <v>928.42</v>
      </c>
      <c r="AR190" s="324">
        <f t="shared" si="93"/>
        <v>408.41999999999996</v>
      </c>
      <c r="AS190" s="375">
        <f t="shared" si="94"/>
        <v>8198.42</v>
      </c>
      <c r="AT190" s="375">
        <v>8198.42</v>
      </c>
      <c r="AU190" s="344">
        <f t="shared" si="68"/>
        <v>6.3426855418483072E-2</v>
      </c>
      <c r="AV190" s="18">
        <f>IF(F189="","",(SUM($AS$6:AS190)))</f>
        <v>1125789.9900000005</v>
      </c>
      <c r="AW190" s="18">
        <f>IFERROR(IF(AS190&lt;&gt;"", SUMIFS($AS$10:AS190, $BG$10:BG190, BG190), ""),"")</f>
        <v>137272.90000000002</v>
      </c>
      <c r="AX190" s="123">
        <f t="shared" ca="1" si="86"/>
        <v>267.92222222222222</v>
      </c>
      <c r="AY190" s="124" t="str">
        <f t="shared" ca="1" si="69"/>
        <v>LINK</v>
      </c>
      <c r="AZ190" t="s">
        <v>536</v>
      </c>
      <c r="BA190" s="125" t="s">
        <v>332</v>
      </c>
      <c r="BB190" t="str">
        <f t="shared" si="70"/>
        <v>25</v>
      </c>
      <c r="BC190" t="str">
        <f t="shared" si="71"/>
        <v>09</v>
      </c>
      <c r="BD190">
        <f t="shared" si="72"/>
        <v>13</v>
      </c>
      <c r="BE190" t="str">
        <f t="shared" si="73"/>
        <v>D</v>
      </c>
      <c r="BF190" t="str">
        <f t="shared" si="77"/>
        <v>https://www.coreplan.io/app/ddh1-drilling/speewah-mining-speewah-fluorite-project-wa/plods/1665-250913D</v>
      </c>
      <c r="BG190" t="str">
        <f t="shared" si="74"/>
        <v>2025-09</v>
      </c>
    </row>
    <row r="191" spans="1:59">
      <c r="A191" s="510" t="str">
        <f>VLOOKUP(F191,'Tenement Lookup'!A:BH,60,FALSE)</f>
        <v>M 80/268</v>
      </c>
      <c r="B191" t="s">
        <v>507</v>
      </c>
      <c r="C191" s="151" t="s">
        <v>508</v>
      </c>
      <c r="D191" s="1">
        <f t="shared" si="91"/>
        <v>45913.71</v>
      </c>
      <c r="E191" t="s">
        <v>172</v>
      </c>
      <c r="F191" s="501" t="s">
        <v>535</v>
      </c>
      <c r="H191" s="4"/>
      <c r="I191" s="4"/>
      <c r="J191" s="122" t="str">
        <f t="shared" si="87"/>
        <v/>
      </c>
      <c r="K191" s="21"/>
      <c r="L191" s="28"/>
      <c r="M191" s="22">
        <f t="shared" si="95"/>
        <v>0</v>
      </c>
      <c r="N191" s="30"/>
      <c r="O191" s="26"/>
      <c r="P191" s="31">
        <f t="shared" si="81"/>
        <v>0</v>
      </c>
      <c r="Q191" s="21"/>
      <c r="R191" s="28"/>
      <c r="S191" s="22">
        <f t="shared" si="84"/>
        <v>0</v>
      </c>
      <c r="T191" s="30"/>
      <c r="U191" s="26"/>
      <c r="V191" s="31">
        <f t="shared" si="82"/>
        <v>0</v>
      </c>
      <c r="W191" s="26">
        <f t="shared" si="89"/>
        <v>0</v>
      </c>
      <c r="X191" s="36">
        <f t="shared" si="90"/>
        <v>0</v>
      </c>
      <c r="Y191" s="301">
        <f t="shared" si="97"/>
        <v>0</v>
      </c>
      <c r="Z191" s="38"/>
      <c r="AA191" s="38"/>
      <c r="AB191" s="38"/>
      <c r="AC191" s="38"/>
      <c r="AD191" s="157">
        <f t="shared" si="92"/>
        <v>0</v>
      </c>
      <c r="AE191" s="29"/>
      <c r="AF191" s="29"/>
      <c r="AG191" s="40"/>
      <c r="AH191" s="44"/>
      <c r="AI191" s="13"/>
      <c r="AJ191" s="304"/>
      <c r="AK191" s="45"/>
      <c r="AL191" s="23"/>
      <c r="AM191" s="138"/>
      <c r="AN191" s="25">
        <f t="shared" ca="1" si="78"/>
        <v>0</v>
      </c>
      <c r="AO191" s="50"/>
      <c r="AP191" s="53">
        <f t="shared" si="96"/>
        <v>0</v>
      </c>
      <c r="AQ191" s="322"/>
      <c r="AR191" s="324" t="str">
        <f t="shared" si="93"/>
        <v/>
      </c>
      <c r="AS191" s="375">
        <f t="shared" si="94"/>
        <v>0</v>
      </c>
      <c r="AT191" s="375"/>
      <c r="AU191" s="344" t="str">
        <f t="shared" si="68"/>
        <v/>
      </c>
      <c r="AV191" s="18">
        <f>IF(F190="","",(SUM($AS$6:AS191)))</f>
        <v>1125789.9900000005</v>
      </c>
      <c r="AW191" s="18">
        <f>IFERROR(IF(AS191&lt;&gt;"", SUMIFS($AS$10:AS191, $BG$10:BG191, BG191), ""),"")</f>
        <v>137272.90000000002</v>
      </c>
      <c r="AX191" s="123" t="str">
        <f t="shared" ca="1" si="86"/>
        <v>no drilling completed</v>
      </c>
      <c r="AY191" s="124" t="str">
        <f t="shared" ca="1" si="69"/>
        <v>LINK</v>
      </c>
      <c r="AZ191" t="s">
        <v>532</v>
      </c>
      <c r="BA191" s="125" t="s">
        <v>332</v>
      </c>
      <c r="BB191" t="str">
        <f t="shared" si="70"/>
        <v>25</v>
      </c>
      <c r="BC191" t="str">
        <f t="shared" si="71"/>
        <v>09</v>
      </c>
      <c r="BD191">
        <f t="shared" si="72"/>
        <v>13</v>
      </c>
      <c r="BE191" t="str">
        <f t="shared" si="73"/>
        <v>N</v>
      </c>
      <c r="BF191" t="str">
        <f t="shared" si="77"/>
        <v>https://www.coreplan.io/app/ddh1-drilling/speewah-mining-speewah-fluorite-project-wa/plods/1665-250913N</v>
      </c>
      <c r="BG191" t="str">
        <f t="shared" si="74"/>
        <v>2025-09</v>
      </c>
    </row>
    <row r="192" spans="1:59">
      <c r="A192" s="510" t="str">
        <f>VLOOKUP(F192,'Tenement Lookup'!A:BH,60,FALSE)</f>
        <v>M 80/268</v>
      </c>
      <c r="B192" t="s">
        <v>507</v>
      </c>
      <c r="C192" s="151" t="s">
        <v>508</v>
      </c>
      <c r="D192" s="1">
        <f t="shared" si="91"/>
        <v>45914.21</v>
      </c>
      <c r="E192" t="s">
        <v>171</v>
      </c>
      <c r="F192" s="501" t="s">
        <v>535</v>
      </c>
      <c r="G192" s="8" t="s">
        <v>537</v>
      </c>
      <c r="H192" s="4" t="s">
        <v>394</v>
      </c>
      <c r="I192" s="4">
        <v>4</v>
      </c>
      <c r="J192" s="122">
        <f t="shared" si="87"/>
        <v>520</v>
      </c>
      <c r="K192" s="21">
        <v>30.6</v>
      </c>
      <c r="L192" s="28">
        <v>50</v>
      </c>
      <c r="M192" s="22">
        <f t="shared" si="95"/>
        <v>19.399999999999999</v>
      </c>
      <c r="N192" s="30"/>
      <c r="O192" s="26"/>
      <c r="P192" s="31">
        <f t="shared" si="81"/>
        <v>0</v>
      </c>
      <c r="Q192" s="21">
        <v>0</v>
      </c>
      <c r="R192" s="28">
        <v>8.3000000000000007</v>
      </c>
      <c r="S192" s="22">
        <f t="shared" si="84"/>
        <v>8.3000000000000007</v>
      </c>
      <c r="T192" s="30"/>
      <c r="U192" s="26"/>
      <c r="V192" s="31">
        <f t="shared" si="82"/>
        <v>0</v>
      </c>
      <c r="W192" s="26">
        <f t="shared" si="89"/>
        <v>27.7</v>
      </c>
      <c r="X192" s="36">
        <f t="shared" si="90"/>
        <v>4847.5</v>
      </c>
      <c r="Y192" s="301">
        <f t="shared" si="97"/>
        <v>4847.5</v>
      </c>
      <c r="Z192" s="38">
        <v>1</v>
      </c>
      <c r="AA192" s="38">
        <v>1</v>
      </c>
      <c r="AB192" s="38">
        <v>1</v>
      </c>
      <c r="AC192" s="38">
        <v>13122</v>
      </c>
      <c r="AD192" s="157">
        <f t="shared" si="92"/>
        <v>750</v>
      </c>
      <c r="AE192" s="29">
        <v>7.5</v>
      </c>
      <c r="AF192" s="29">
        <v>2.5</v>
      </c>
      <c r="AG192" s="40"/>
      <c r="AH192" s="44">
        <v>1</v>
      </c>
      <c r="AI192" s="13"/>
      <c r="AJ192" s="304"/>
      <c r="AK192" s="45">
        <v>1</v>
      </c>
      <c r="AL192" s="23"/>
      <c r="AM192" s="138" t="s">
        <v>275</v>
      </c>
      <c r="AN192" s="25">
        <f t="shared" ca="1" si="78"/>
        <v>12</v>
      </c>
      <c r="AO192" s="50"/>
      <c r="AP192" s="53">
        <f t="shared" si="96"/>
        <v>1510</v>
      </c>
      <c r="AQ192" s="322">
        <v>928.42</v>
      </c>
      <c r="AR192" s="324">
        <f t="shared" si="93"/>
        <v>408.41999999999996</v>
      </c>
      <c r="AS192" s="375">
        <f t="shared" si="94"/>
        <v>8035.92</v>
      </c>
      <c r="AT192" s="375">
        <v>8035.92</v>
      </c>
      <c r="AU192" s="344">
        <f t="shared" si="68"/>
        <v>6.470945454907466E-2</v>
      </c>
      <c r="AV192" s="18">
        <f>IF(F191="","",(SUM($AS$6:AS192)))</f>
        <v>1133825.9100000004</v>
      </c>
      <c r="AW192" s="18">
        <f>IFERROR(IF(AS192&lt;&gt;"", SUMIFS($AS$10:AS192, $BG$10:BG192, BG192), ""),"")</f>
        <v>145308.82000000004</v>
      </c>
      <c r="AX192" s="123">
        <f t="shared" ca="1" si="86"/>
        <v>290.1054151624549</v>
      </c>
      <c r="AY192" s="124" t="str">
        <f t="shared" ca="1" si="69"/>
        <v>LINK</v>
      </c>
      <c r="AZ192" t="s">
        <v>538</v>
      </c>
      <c r="BA192" s="125" t="s">
        <v>332</v>
      </c>
      <c r="BB192" t="str">
        <f t="shared" si="70"/>
        <v>25</v>
      </c>
      <c r="BC192" t="str">
        <f t="shared" si="71"/>
        <v>09</v>
      </c>
      <c r="BD192">
        <f t="shared" si="72"/>
        <v>14</v>
      </c>
      <c r="BE192" t="str">
        <f t="shared" si="73"/>
        <v>D</v>
      </c>
      <c r="BF192" t="str">
        <f t="shared" si="77"/>
        <v>https://www.coreplan.io/app/ddh1-drilling/speewah-mining-speewah-fluorite-project-wa/plods/1665-250914D</v>
      </c>
      <c r="BG192" t="str">
        <f t="shared" si="74"/>
        <v>2025-09</v>
      </c>
    </row>
    <row r="193" spans="1:59">
      <c r="A193" s="510" t="str">
        <f>VLOOKUP(F193,'Tenement Lookup'!A:BH,60,FALSE)</f>
        <v>M 80/268</v>
      </c>
      <c r="B193" t="s">
        <v>507</v>
      </c>
      <c r="C193" s="151" t="s">
        <v>508</v>
      </c>
      <c r="D193" s="1">
        <f t="shared" si="91"/>
        <v>45914.71</v>
      </c>
      <c r="E193" t="s">
        <v>172</v>
      </c>
      <c r="F193" s="501" t="s">
        <v>537</v>
      </c>
      <c r="H193" s="4"/>
      <c r="I193" s="4"/>
      <c r="J193" s="122" t="str">
        <f t="shared" si="87"/>
        <v/>
      </c>
      <c r="K193" s="21"/>
      <c r="L193" s="28"/>
      <c r="M193" s="22">
        <f t="shared" si="95"/>
        <v>0</v>
      </c>
      <c r="N193" s="30"/>
      <c r="O193" s="26"/>
      <c r="P193" s="31">
        <f t="shared" si="81"/>
        <v>0</v>
      </c>
      <c r="Q193" s="21"/>
      <c r="R193" s="28"/>
      <c r="S193" s="22">
        <f t="shared" si="84"/>
        <v>0</v>
      </c>
      <c r="T193" s="30"/>
      <c r="U193" s="26"/>
      <c r="V193" s="31">
        <f t="shared" si="82"/>
        <v>0</v>
      </c>
      <c r="W193" s="26">
        <f t="shared" si="89"/>
        <v>0</v>
      </c>
      <c r="X193" s="36">
        <f t="shared" si="90"/>
        <v>0</v>
      </c>
      <c r="Y193" s="301">
        <f t="shared" si="97"/>
        <v>0</v>
      </c>
      <c r="Z193" s="38"/>
      <c r="AA193" s="38"/>
      <c r="AB193" s="38"/>
      <c r="AC193" s="38"/>
      <c r="AD193" s="157">
        <f t="shared" si="92"/>
        <v>0</v>
      </c>
      <c r="AE193" s="29"/>
      <c r="AF193" s="29"/>
      <c r="AG193" s="40"/>
      <c r="AH193" s="44"/>
      <c r="AI193" s="13"/>
      <c r="AJ193" s="304"/>
      <c r="AK193" s="45"/>
      <c r="AL193" s="23"/>
      <c r="AM193" s="138"/>
      <c r="AN193" s="25">
        <f t="shared" ca="1" si="78"/>
        <v>0</v>
      </c>
      <c r="AO193" s="50"/>
      <c r="AP193" s="53">
        <f t="shared" si="96"/>
        <v>0</v>
      </c>
      <c r="AQ193" s="322"/>
      <c r="AR193" s="324" t="str">
        <f t="shared" si="93"/>
        <v/>
      </c>
      <c r="AS193" s="375">
        <f t="shared" si="94"/>
        <v>0</v>
      </c>
      <c r="AT193" s="375"/>
      <c r="AU193" s="344" t="str">
        <f t="shared" si="68"/>
        <v/>
      </c>
      <c r="AV193" s="18">
        <f>IF(F192="","",(SUM($AS$6:AS193)))</f>
        <v>1133825.9100000004</v>
      </c>
      <c r="AW193" s="18">
        <f>IFERROR(IF(AS193&lt;&gt;"", SUMIFS($AS$10:AS193, $BG$10:BG193, BG193), ""),"")</f>
        <v>145308.82000000004</v>
      </c>
      <c r="AX193" s="123" t="str">
        <f t="shared" ca="1" si="86"/>
        <v>no drilling completed</v>
      </c>
      <c r="AY193" s="124" t="str">
        <f t="shared" ca="1" si="69"/>
        <v>LINK</v>
      </c>
      <c r="AZ193" t="s">
        <v>532</v>
      </c>
      <c r="BA193" s="125" t="s">
        <v>332</v>
      </c>
      <c r="BB193" t="str">
        <f t="shared" si="70"/>
        <v>25</v>
      </c>
      <c r="BC193" t="str">
        <f t="shared" si="71"/>
        <v>09</v>
      </c>
      <c r="BD193">
        <f t="shared" si="72"/>
        <v>14</v>
      </c>
      <c r="BE193" t="str">
        <f t="shared" si="73"/>
        <v>N</v>
      </c>
      <c r="BF193" t="str">
        <f t="shared" si="77"/>
        <v>https://www.coreplan.io/app/ddh1-drilling/speewah-mining-speewah-fluorite-project-wa/plods/1665-250914N</v>
      </c>
      <c r="BG193" t="str">
        <f t="shared" si="74"/>
        <v>2025-09</v>
      </c>
    </row>
    <row r="194" spans="1:59">
      <c r="A194" s="510" t="str">
        <f>VLOOKUP(F194,'Tenement Lookup'!A:BH,60,FALSE)</f>
        <v>M 80/268</v>
      </c>
      <c r="B194" t="s">
        <v>507</v>
      </c>
      <c r="C194" s="151" t="s">
        <v>508</v>
      </c>
      <c r="D194" s="1">
        <f t="shared" si="91"/>
        <v>45915.21</v>
      </c>
      <c r="E194" t="s">
        <v>171</v>
      </c>
      <c r="F194" s="501" t="s">
        <v>537</v>
      </c>
      <c r="H194" s="4" t="s">
        <v>394</v>
      </c>
      <c r="I194" s="4">
        <v>4</v>
      </c>
      <c r="J194" s="122">
        <f t="shared" si="87"/>
        <v>520</v>
      </c>
      <c r="K194" s="21">
        <v>8.3000000000000007</v>
      </c>
      <c r="L194" s="28">
        <v>35</v>
      </c>
      <c r="M194" s="22">
        <f t="shared" si="95"/>
        <v>26.7</v>
      </c>
      <c r="N194" s="30"/>
      <c r="O194" s="26"/>
      <c r="P194" s="31">
        <f t="shared" si="81"/>
        <v>0</v>
      </c>
      <c r="Q194" s="21"/>
      <c r="R194" s="28"/>
      <c r="S194" s="22">
        <f t="shared" si="84"/>
        <v>0</v>
      </c>
      <c r="T194" s="30"/>
      <c r="U194" s="26"/>
      <c r="V194" s="31">
        <f t="shared" si="82"/>
        <v>0</v>
      </c>
      <c r="W194" s="26">
        <f t="shared" si="89"/>
        <v>26.7</v>
      </c>
      <c r="X194" s="36">
        <f t="shared" si="90"/>
        <v>4672.5</v>
      </c>
      <c r="Y194" s="301">
        <f t="shared" si="97"/>
        <v>4672.5</v>
      </c>
      <c r="Z194" s="38">
        <v>1</v>
      </c>
      <c r="AA194" s="38">
        <v>1</v>
      </c>
      <c r="AB194" s="38">
        <v>1</v>
      </c>
      <c r="AC194" s="38">
        <v>13122</v>
      </c>
      <c r="AD194" s="157">
        <f t="shared" si="92"/>
        <v>750</v>
      </c>
      <c r="AE194" s="29">
        <v>6.5</v>
      </c>
      <c r="AF194" s="29">
        <v>4.5</v>
      </c>
      <c r="AG194" s="40"/>
      <c r="AH194" s="44">
        <v>1</v>
      </c>
      <c r="AI194" s="13"/>
      <c r="AJ194" s="304"/>
      <c r="AK194" s="45"/>
      <c r="AL194" s="23"/>
      <c r="AM194" s="138"/>
      <c r="AN194" s="25">
        <f t="shared" ca="1" si="78"/>
        <v>12</v>
      </c>
      <c r="AO194" s="50"/>
      <c r="AP194" s="53">
        <f t="shared" si="96"/>
        <v>2430</v>
      </c>
      <c r="AQ194" s="322">
        <v>1649.81</v>
      </c>
      <c r="AR194" s="324">
        <f t="shared" si="93"/>
        <v>1129.81</v>
      </c>
      <c r="AS194" s="375">
        <f t="shared" si="94"/>
        <v>9502.31</v>
      </c>
      <c r="AT194" s="375">
        <v>9502.31</v>
      </c>
      <c r="AU194" s="344">
        <f t="shared" si="68"/>
        <v>5.4723535645543032E-2</v>
      </c>
      <c r="AV194" s="18">
        <f>IF(F193="","",(SUM($AS$6:AS194)))</f>
        <v>1143328.2200000004</v>
      </c>
      <c r="AW194" s="18">
        <f>IFERROR(IF(AS194&lt;&gt;"", SUMIFS($AS$10:AS194, $BG$10:BG194, BG194), ""),"")</f>
        <v>154811.13000000003</v>
      </c>
      <c r="AX194" s="123">
        <f t="shared" ca="1" si="86"/>
        <v>355.89176029962545</v>
      </c>
      <c r="AY194" s="124" t="str">
        <f t="shared" ca="1" si="69"/>
        <v>LINK</v>
      </c>
      <c r="AZ194" t="s">
        <v>539</v>
      </c>
      <c r="BA194" s="125" t="s">
        <v>332</v>
      </c>
      <c r="BB194" t="str">
        <f t="shared" si="70"/>
        <v>25</v>
      </c>
      <c r="BC194" t="str">
        <f t="shared" si="71"/>
        <v>09</v>
      </c>
      <c r="BD194">
        <f t="shared" si="72"/>
        <v>15</v>
      </c>
      <c r="BE194" t="str">
        <f t="shared" si="73"/>
        <v>D</v>
      </c>
      <c r="BF194" t="str">
        <f t="shared" si="77"/>
        <v>https://www.coreplan.io/app/ddh1-drilling/speewah-mining-speewah-fluorite-project-wa/plods/1665-250915D</v>
      </c>
      <c r="BG194" t="str">
        <f t="shared" si="74"/>
        <v>2025-09</v>
      </c>
    </row>
    <row r="195" spans="1:59">
      <c r="A195" s="510" t="str">
        <f>VLOOKUP(F195,'Tenement Lookup'!A:BH,60,FALSE)</f>
        <v>M 80/268</v>
      </c>
      <c r="B195" t="s">
        <v>507</v>
      </c>
      <c r="C195" s="151" t="s">
        <v>508</v>
      </c>
      <c r="D195" s="1">
        <f t="shared" si="91"/>
        <v>45915.71</v>
      </c>
      <c r="E195" t="s">
        <v>172</v>
      </c>
      <c r="F195" s="501" t="s">
        <v>537</v>
      </c>
      <c r="H195" s="4"/>
      <c r="I195" s="4"/>
      <c r="J195" s="122" t="str">
        <f t="shared" si="87"/>
        <v/>
      </c>
      <c r="K195" s="21"/>
      <c r="L195" s="28"/>
      <c r="M195" s="22">
        <f t="shared" si="95"/>
        <v>0</v>
      </c>
      <c r="N195" s="30"/>
      <c r="O195" s="26"/>
      <c r="P195" s="31">
        <f t="shared" si="81"/>
        <v>0</v>
      </c>
      <c r="Q195" s="21"/>
      <c r="R195" s="28"/>
      <c r="S195" s="22">
        <f t="shared" si="84"/>
        <v>0</v>
      </c>
      <c r="T195" s="30"/>
      <c r="U195" s="26"/>
      <c r="V195" s="31">
        <f t="shared" si="82"/>
        <v>0</v>
      </c>
      <c r="W195" s="26">
        <f t="shared" si="89"/>
        <v>0</v>
      </c>
      <c r="X195" s="36">
        <f t="shared" si="90"/>
        <v>0</v>
      </c>
      <c r="Y195" s="301">
        <f t="shared" si="97"/>
        <v>0</v>
      </c>
      <c r="Z195" s="38"/>
      <c r="AA195" s="38"/>
      <c r="AB195" s="38"/>
      <c r="AC195" s="38"/>
      <c r="AD195" s="157">
        <f t="shared" si="92"/>
        <v>0</v>
      </c>
      <c r="AE195" s="29"/>
      <c r="AF195" s="29"/>
      <c r="AG195" s="40"/>
      <c r="AH195" s="44"/>
      <c r="AI195" s="13"/>
      <c r="AJ195" s="304"/>
      <c r="AK195" s="45"/>
      <c r="AL195" s="23"/>
      <c r="AM195" s="138"/>
      <c r="AN195" s="25">
        <f t="shared" ca="1" si="78"/>
        <v>0</v>
      </c>
      <c r="AO195" s="50"/>
      <c r="AP195" s="53">
        <f t="shared" si="96"/>
        <v>0</v>
      </c>
      <c r="AQ195" s="322"/>
      <c r="AR195" s="324" t="str">
        <f t="shared" si="93"/>
        <v/>
      </c>
      <c r="AS195" s="375">
        <f t="shared" si="94"/>
        <v>0</v>
      </c>
      <c r="AT195" s="375"/>
      <c r="AU195" s="344" t="str">
        <f t="shared" si="68"/>
        <v/>
      </c>
      <c r="AV195" s="18">
        <f>IF(F194="","",(SUM($AS$6:AS195)))</f>
        <v>1143328.2200000004</v>
      </c>
      <c r="AW195" s="18">
        <f>IFERROR(IF(AS195&lt;&gt;"", SUMIFS($AS$10:AS195, $BG$10:BG195, BG195), ""),"")</f>
        <v>154811.13000000003</v>
      </c>
      <c r="AX195" s="123" t="str">
        <f t="shared" ca="1" si="86"/>
        <v>no drilling completed</v>
      </c>
      <c r="AY195" s="124" t="str">
        <f t="shared" ca="1" si="69"/>
        <v>LINK</v>
      </c>
      <c r="AZ195" t="s">
        <v>532</v>
      </c>
      <c r="BA195" s="125" t="s">
        <v>332</v>
      </c>
      <c r="BB195" t="str">
        <f t="shared" si="70"/>
        <v>25</v>
      </c>
      <c r="BC195" t="str">
        <f t="shared" si="71"/>
        <v>09</v>
      </c>
      <c r="BD195">
        <f t="shared" si="72"/>
        <v>15</v>
      </c>
      <c r="BE195" t="str">
        <f t="shared" si="73"/>
        <v>N</v>
      </c>
      <c r="BF195" t="str">
        <f t="shared" si="77"/>
        <v>https://www.coreplan.io/app/ddh1-drilling/speewah-mining-speewah-fluorite-project-wa/plods/1665-250915N</v>
      </c>
      <c r="BG195" t="str">
        <f t="shared" si="74"/>
        <v>2025-09</v>
      </c>
    </row>
    <row r="196" spans="1:59">
      <c r="A196" s="510" t="str">
        <f>VLOOKUP(F196,'Tenement Lookup'!A:BH,60,FALSE)</f>
        <v>M 80/269</v>
      </c>
      <c r="B196" t="s">
        <v>507</v>
      </c>
      <c r="C196" s="151" t="s">
        <v>508</v>
      </c>
      <c r="D196" s="1">
        <f t="shared" si="91"/>
        <v>45916.21</v>
      </c>
      <c r="E196" t="s">
        <v>171</v>
      </c>
      <c r="F196" s="501" t="s">
        <v>540</v>
      </c>
      <c r="H196" s="4" t="s">
        <v>394</v>
      </c>
      <c r="I196" s="4">
        <v>4</v>
      </c>
      <c r="J196" s="122">
        <f t="shared" si="87"/>
        <v>520</v>
      </c>
      <c r="K196" s="21">
        <v>0</v>
      </c>
      <c r="L196" s="28">
        <v>15.5</v>
      </c>
      <c r="M196" s="22">
        <f t="shared" si="95"/>
        <v>15.5</v>
      </c>
      <c r="N196" s="30"/>
      <c r="O196" s="26"/>
      <c r="P196" s="31">
        <f t="shared" si="81"/>
        <v>0</v>
      </c>
      <c r="Q196" s="21"/>
      <c r="R196" s="28"/>
      <c r="S196" s="22">
        <f t="shared" si="84"/>
        <v>0</v>
      </c>
      <c r="T196" s="30"/>
      <c r="U196" s="26"/>
      <c r="V196" s="31">
        <f t="shared" si="82"/>
        <v>0</v>
      </c>
      <c r="W196" s="26">
        <f t="shared" si="89"/>
        <v>15.5</v>
      </c>
      <c r="X196" s="36">
        <f t="shared" si="90"/>
        <v>2712.5</v>
      </c>
      <c r="Y196" s="301">
        <f t="shared" si="97"/>
        <v>2712.5</v>
      </c>
      <c r="Z196" s="38">
        <v>1</v>
      </c>
      <c r="AA196" s="38">
        <v>1</v>
      </c>
      <c r="AB196" s="38">
        <v>1</v>
      </c>
      <c r="AC196" s="38">
        <v>13122</v>
      </c>
      <c r="AD196" s="157">
        <f t="shared" si="92"/>
        <v>750</v>
      </c>
      <c r="AE196" s="29">
        <v>5.25</v>
      </c>
      <c r="AF196" s="29">
        <v>5.75</v>
      </c>
      <c r="AG196" s="40"/>
      <c r="AH196" s="44">
        <v>1</v>
      </c>
      <c r="AI196" s="13"/>
      <c r="AJ196" s="304"/>
      <c r="AK196" s="45"/>
      <c r="AL196" s="23"/>
      <c r="AM196" s="138"/>
      <c r="AN196" s="25">
        <f t="shared" ca="1" si="78"/>
        <v>12</v>
      </c>
      <c r="AO196" s="50"/>
      <c r="AP196" s="53">
        <f t="shared" si="96"/>
        <v>3005</v>
      </c>
      <c r="AQ196" s="322">
        <v>928.42</v>
      </c>
      <c r="AR196" s="324">
        <f t="shared" si="93"/>
        <v>408.41999999999996</v>
      </c>
      <c r="AS196" s="375">
        <f t="shared" si="94"/>
        <v>7395.92</v>
      </c>
      <c r="AT196" s="375">
        <v>7395.92</v>
      </c>
      <c r="AU196" s="344">
        <f t="shared" si="68"/>
        <v>7.0309035251868601E-2</v>
      </c>
      <c r="AV196" s="18">
        <f>IF(F195="","",(SUM($AS$6:AS196)))</f>
        <v>1150724.1400000004</v>
      </c>
      <c r="AW196" s="18">
        <f>IFERROR(IF(AS196&lt;&gt;"", SUMIFS($AS$10:AS196, $BG$10:BG196, BG196), ""),"")</f>
        <v>162207.05000000005</v>
      </c>
      <c r="AX196" s="123">
        <f t="shared" ca="1" si="86"/>
        <v>477.15612903225809</v>
      </c>
      <c r="AY196" s="124" t="str">
        <f t="shared" ca="1" si="69"/>
        <v>LINK</v>
      </c>
      <c r="AZ196" t="s">
        <v>541</v>
      </c>
      <c r="BA196" s="125" t="s">
        <v>332</v>
      </c>
      <c r="BB196" t="str">
        <f t="shared" si="70"/>
        <v>25</v>
      </c>
      <c r="BC196" t="str">
        <f t="shared" si="71"/>
        <v>09</v>
      </c>
      <c r="BD196">
        <f t="shared" si="72"/>
        <v>16</v>
      </c>
      <c r="BE196" t="str">
        <f t="shared" si="73"/>
        <v>D</v>
      </c>
      <c r="BF196" t="str">
        <f t="shared" si="77"/>
        <v>https://www.coreplan.io/app/ddh1-drilling/speewah-mining-speewah-fluorite-project-wa/plods/1665-250916D</v>
      </c>
      <c r="BG196" t="str">
        <f t="shared" si="74"/>
        <v>2025-09</v>
      </c>
    </row>
    <row r="197" spans="1:59">
      <c r="A197" s="510" t="str">
        <f>VLOOKUP(F197,'Tenement Lookup'!A:BH,60,FALSE)</f>
        <v>M 80/269</v>
      </c>
      <c r="B197" t="s">
        <v>507</v>
      </c>
      <c r="C197" s="151" t="s">
        <v>508</v>
      </c>
      <c r="D197" s="1">
        <f t="shared" si="91"/>
        <v>45916.71</v>
      </c>
      <c r="E197" t="s">
        <v>172</v>
      </c>
      <c r="F197" s="501" t="s">
        <v>540</v>
      </c>
      <c r="H197" s="4"/>
      <c r="I197" s="4"/>
      <c r="J197" s="122" t="str">
        <f t="shared" si="87"/>
        <v/>
      </c>
      <c r="K197" s="21"/>
      <c r="L197" s="28"/>
      <c r="M197" s="22">
        <f t="shared" si="95"/>
        <v>0</v>
      </c>
      <c r="N197" s="30"/>
      <c r="O197" s="26"/>
      <c r="P197" s="31">
        <f t="shared" si="81"/>
        <v>0</v>
      </c>
      <c r="Q197" s="21"/>
      <c r="R197" s="28"/>
      <c r="S197" s="22">
        <f t="shared" si="84"/>
        <v>0</v>
      </c>
      <c r="T197" s="30"/>
      <c r="U197" s="26"/>
      <c r="V197" s="31">
        <f t="shared" si="82"/>
        <v>0</v>
      </c>
      <c r="W197" s="26">
        <f t="shared" si="89"/>
        <v>0</v>
      </c>
      <c r="X197" s="36">
        <f t="shared" si="90"/>
        <v>0</v>
      </c>
      <c r="Y197" s="301">
        <f t="shared" si="97"/>
        <v>0</v>
      </c>
      <c r="Z197" s="38"/>
      <c r="AA197" s="38"/>
      <c r="AB197" s="38"/>
      <c r="AC197" s="38"/>
      <c r="AD197" s="157">
        <f t="shared" si="92"/>
        <v>0</v>
      </c>
      <c r="AE197" s="29"/>
      <c r="AF197" s="29"/>
      <c r="AG197" s="40"/>
      <c r="AH197" s="44"/>
      <c r="AI197" s="13"/>
      <c r="AJ197" s="304"/>
      <c r="AK197" s="45"/>
      <c r="AL197" s="23"/>
      <c r="AM197" s="138"/>
      <c r="AN197" s="25">
        <f t="shared" ca="1" si="78"/>
        <v>0</v>
      </c>
      <c r="AO197" s="50"/>
      <c r="AP197" s="53">
        <f t="shared" si="96"/>
        <v>0</v>
      </c>
      <c r="AQ197" s="322"/>
      <c r="AR197" s="324" t="str">
        <f t="shared" si="93"/>
        <v/>
      </c>
      <c r="AS197" s="375">
        <f t="shared" si="94"/>
        <v>0</v>
      </c>
      <c r="AT197" s="375"/>
      <c r="AU197" s="344" t="str">
        <f t="shared" si="68"/>
        <v/>
      </c>
      <c r="AV197" s="18">
        <f>IF(F196="","",(SUM($AS$6:AS197)))</f>
        <v>1150724.1400000004</v>
      </c>
      <c r="AW197" s="18">
        <f>IFERROR(IF(AS197&lt;&gt;"", SUMIFS($AS$10:AS197, $BG$10:BG197, BG197), ""),"")</f>
        <v>162207.05000000005</v>
      </c>
      <c r="AX197" s="123" t="str">
        <f t="shared" ca="1" si="86"/>
        <v>no drilling completed</v>
      </c>
      <c r="AY197" s="124" t="str">
        <f t="shared" ca="1" si="69"/>
        <v>LINK</v>
      </c>
      <c r="AZ197" t="s">
        <v>532</v>
      </c>
      <c r="BA197" s="125" t="s">
        <v>332</v>
      </c>
      <c r="BB197" t="str">
        <f t="shared" si="70"/>
        <v>25</v>
      </c>
      <c r="BC197" t="str">
        <f t="shared" si="71"/>
        <v>09</v>
      </c>
      <c r="BD197">
        <f t="shared" si="72"/>
        <v>16</v>
      </c>
      <c r="BE197" t="str">
        <f t="shared" si="73"/>
        <v>N</v>
      </c>
      <c r="BF197" t="str">
        <f t="shared" si="77"/>
        <v>https://www.coreplan.io/app/ddh1-drilling/speewah-mining-speewah-fluorite-project-wa/plods/1665-250916N</v>
      </c>
      <c r="BG197" t="str">
        <f t="shared" si="74"/>
        <v>2025-09</v>
      </c>
    </row>
    <row r="198" spans="1:59">
      <c r="A198" s="510" t="str">
        <f>VLOOKUP(F198,'Tenement Lookup'!A:BH,60,FALSE)</f>
        <v>M 80/269</v>
      </c>
      <c r="B198" t="s">
        <v>507</v>
      </c>
      <c r="C198" s="151" t="s">
        <v>508</v>
      </c>
      <c r="D198" s="1">
        <f t="shared" si="91"/>
        <v>45917.21</v>
      </c>
      <c r="E198" t="s">
        <v>171</v>
      </c>
      <c r="F198" s="501" t="s">
        <v>540</v>
      </c>
      <c r="H198" s="4" t="s">
        <v>394</v>
      </c>
      <c r="I198" s="4">
        <v>4</v>
      </c>
      <c r="J198" s="122">
        <f t="shared" si="87"/>
        <v>520</v>
      </c>
      <c r="K198" s="21">
        <v>15.5</v>
      </c>
      <c r="L198" s="28">
        <v>45.5</v>
      </c>
      <c r="M198" s="22">
        <f t="shared" si="95"/>
        <v>30</v>
      </c>
      <c r="N198" s="30"/>
      <c r="O198" s="26"/>
      <c r="P198" s="31">
        <f t="shared" si="81"/>
        <v>0</v>
      </c>
      <c r="Q198" s="21"/>
      <c r="R198" s="28"/>
      <c r="S198" s="22">
        <f t="shared" si="84"/>
        <v>0</v>
      </c>
      <c r="T198" s="30"/>
      <c r="U198" s="26"/>
      <c r="V198" s="31">
        <f t="shared" si="82"/>
        <v>0</v>
      </c>
      <c r="W198" s="26">
        <f t="shared" si="89"/>
        <v>30</v>
      </c>
      <c r="X198" s="36">
        <f t="shared" si="90"/>
        <v>5250</v>
      </c>
      <c r="Y198" s="301">
        <f t="shared" si="97"/>
        <v>5250</v>
      </c>
      <c r="Z198" s="38">
        <v>1</v>
      </c>
      <c r="AA198" s="38">
        <v>1</v>
      </c>
      <c r="AB198" s="38">
        <v>1</v>
      </c>
      <c r="AC198" s="38">
        <v>13122</v>
      </c>
      <c r="AD198" s="157">
        <f t="shared" si="92"/>
        <v>750</v>
      </c>
      <c r="AE198" s="29">
        <v>10</v>
      </c>
      <c r="AF198" s="29">
        <v>1</v>
      </c>
      <c r="AG198" s="40"/>
      <c r="AH198" s="44">
        <v>1</v>
      </c>
      <c r="AI198" s="13"/>
      <c r="AJ198" s="304"/>
      <c r="AK198" s="45"/>
      <c r="AL198" s="23"/>
      <c r="AM198" s="138"/>
      <c r="AN198" s="25">
        <f t="shared" ca="1" si="78"/>
        <v>12</v>
      </c>
      <c r="AO198" s="50"/>
      <c r="AP198" s="53">
        <f t="shared" si="96"/>
        <v>820</v>
      </c>
      <c r="AQ198" s="322">
        <v>637.92999999999995</v>
      </c>
      <c r="AR198" s="324">
        <f t="shared" si="93"/>
        <v>117.92999999999995</v>
      </c>
      <c r="AS198" s="375">
        <f t="shared" si="94"/>
        <v>7457.93</v>
      </c>
      <c r="AT198" s="375">
        <v>7457.93</v>
      </c>
      <c r="AU198" s="344">
        <f t="shared" ref="AU198:AU261" si="98">IFERROR(J198/AS198,"")</f>
        <v>6.9724440964181747E-2</v>
      </c>
      <c r="AV198" s="18">
        <f>IF(F197="","",(SUM($AS$6:AS198)))</f>
        <v>1158182.0700000003</v>
      </c>
      <c r="AW198" s="18">
        <f>IFERROR(IF(AS198&lt;&gt;"", SUMIFS($AS$10:AS198, $BG$10:BG198, BG198), ""),"")</f>
        <v>169664.98000000004</v>
      </c>
      <c r="AX198" s="123">
        <f t="shared" ref="AX198:AX229" ca="1" si="99">IF(AND(D198&gt;TODAY(),ISBLANK(H198)),"",IF(ISBLANK(AE198),"no drilling completed",AS198/(W198)))</f>
        <v>248.59766666666667</v>
      </c>
      <c r="AY198" s="124" t="str">
        <f t="shared" ref="AY198:AY261" ca="1" si="100">IF(D198&lt;TODAY(),HYPERLINK(BF198,"LINK"),"")</f>
        <v>LINK</v>
      </c>
      <c r="AZ198" t="s">
        <v>542</v>
      </c>
      <c r="BA198" s="125" t="s">
        <v>332</v>
      </c>
      <c r="BB198" t="str">
        <f t="shared" ref="BB198:BB261" si="101">RIGHT(YEAR(D198),2)</f>
        <v>25</v>
      </c>
      <c r="BC198" t="str">
        <f t="shared" ref="BC198:BC261" si="102">IF(LEN(MONTH(D198))=1,_xlfn.TEXTJOIN(,,"0",MONTH(D198)),MONTH(D198))</f>
        <v>09</v>
      </c>
      <c r="BD198">
        <f t="shared" ref="BD198:BD261" si="103">IF(LEN(DAY(D198))=1,_xlfn.TEXTJOIN(,,"0",DAY(D198)),DAY(D198))</f>
        <v>17</v>
      </c>
      <c r="BE198" t="str">
        <f t="shared" ref="BE198:BE261" si="104">LEFT(E198,1)</f>
        <v>D</v>
      </c>
      <c r="BF198" t="str">
        <f t="shared" si="77"/>
        <v>https://www.coreplan.io/app/ddh1-drilling/speewah-mining-speewah-fluorite-project-wa/plods/1665-250917D</v>
      </c>
      <c r="BG198" t="str">
        <f t="shared" ref="BG198:BG261" si="105">TEXT(D198, "yyyy-mm")</f>
        <v>2025-09</v>
      </c>
    </row>
    <row r="199" spans="1:59">
      <c r="A199" s="510" t="str">
        <f>VLOOKUP(F199,'Tenement Lookup'!A:BH,60,FALSE)</f>
        <v>M 80/269</v>
      </c>
      <c r="B199" t="s">
        <v>507</v>
      </c>
      <c r="C199" s="151" t="s">
        <v>508</v>
      </c>
      <c r="D199" s="1">
        <f t="shared" si="91"/>
        <v>45917.71</v>
      </c>
      <c r="E199" t="s">
        <v>172</v>
      </c>
      <c r="F199" s="501" t="s">
        <v>540</v>
      </c>
      <c r="H199" s="4"/>
      <c r="I199" s="4"/>
      <c r="J199" s="122" t="str">
        <f t="shared" si="87"/>
        <v/>
      </c>
      <c r="K199" s="21"/>
      <c r="L199" s="28"/>
      <c r="M199" s="22">
        <f t="shared" si="95"/>
        <v>0</v>
      </c>
      <c r="N199" s="30"/>
      <c r="O199" s="26"/>
      <c r="P199" s="31">
        <f t="shared" si="81"/>
        <v>0</v>
      </c>
      <c r="Q199" s="21"/>
      <c r="R199" s="28"/>
      <c r="S199" s="22">
        <f t="shared" si="84"/>
        <v>0</v>
      </c>
      <c r="T199" s="30"/>
      <c r="U199" s="26"/>
      <c r="V199" s="31">
        <f t="shared" si="82"/>
        <v>0</v>
      </c>
      <c r="W199" s="26">
        <f t="shared" si="89"/>
        <v>0</v>
      </c>
      <c r="X199" s="36">
        <f t="shared" si="90"/>
        <v>0</v>
      </c>
      <c r="Y199" s="301">
        <f t="shared" si="97"/>
        <v>0</v>
      </c>
      <c r="Z199" s="38"/>
      <c r="AA199" s="38"/>
      <c r="AB199" s="38"/>
      <c r="AC199" s="38"/>
      <c r="AD199" s="157">
        <f t="shared" si="92"/>
        <v>0</v>
      </c>
      <c r="AE199" s="29"/>
      <c r="AF199" s="29"/>
      <c r="AG199" s="40"/>
      <c r="AH199" s="44"/>
      <c r="AI199" s="13"/>
      <c r="AJ199" s="304"/>
      <c r="AK199" s="45"/>
      <c r="AL199" s="23"/>
      <c r="AM199" s="138"/>
      <c r="AN199" s="25">
        <f t="shared" ca="1" si="78"/>
        <v>0</v>
      </c>
      <c r="AO199" s="50"/>
      <c r="AP199" s="53">
        <f t="shared" si="96"/>
        <v>0</v>
      </c>
      <c r="AQ199" s="322"/>
      <c r="AR199" s="324" t="str">
        <f t="shared" si="93"/>
        <v/>
      </c>
      <c r="AS199" s="375">
        <f t="shared" si="94"/>
        <v>0</v>
      </c>
      <c r="AT199" s="375"/>
      <c r="AU199" s="344" t="str">
        <f t="shared" si="98"/>
        <v/>
      </c>
      <c r="AV199" s="18">
        <f>IF(F198="","",(SUM($AS$6:AS199)))</f>
        <v>1158182.0700000003</v>
      </c>
      <c r="AW199" s="18">
        <f>IFERROR(IF(AS199&lt;&gt;"", SUMIFS($AS$10:AS199, $BG$10:BG199, BG199), ""),"")</f>
        <v>169664.98000000004</v>
      </c>
      <c r="AX199" s="123" t="str">
        <f t="shared" ca="1" si="99"/>
        <v>no drilling completed</v>
      </c>
      <c r="AY199" s="124" t="str">
        <f t="shared" ca="1" si="100"/>
        <v>LINK</v>
      </c>
      <c r="AZ199" t="s">
        <v>532</v>
      </c>
      <c r="BA199" s="125" t="s">
        <v>332</v>
      </c>
      <c r="BB199" t="str">
        <f t="shared" si="101"/>
        <v>25</v>
      </c>
      <c r="BC199" t="str">
        <f t="shared" si="102"/>
        <v>09</v>
      </c>
      <c r="BD199">
        <f t="shared" si="103"/>
        <v>17</v>
      </c>
      <c r="BE199" t="str">
        <f t="shared" si="104"/>
        <v>N</v>
      </c>
      <c r="BF199" t="str">
        <f t="shared" ref="BF199:BF234" si="106">CONCATENATE(BA199,BB199,BC199,BD199,BE199)</f>
        <v>https://www.coreplan.io/app/ddh1-drilling/speewah-mining-speewah-fluorite-project-wa/plods/1665-250917N</v>
      </c>
      <c r="BG199" t="str">
        <f t="shared" si="105"/>
        <v>2025-09</v>
      </c>
    </row>
    <row r="200" spans="1:59">
      <c r="A200" s="510" t="str">
        <f>VLOOKUP(F200,'Tenement Lookup'!A:BH,60,FALSE)</f>
        <v>M 80/269</v>
      </c>
      <c r="B200" t="s">
        <v>507</v>
      </c>
      <c r="C200" s="151" t="s">
        <v>508</v>
      </c>
      <c r="D200" s="1">
        <f t="shared" si="91"/>
        <v>45918.21</v>
      </c>
      <c r="E200" t="s">
        <v>171</v>
      </c>
      <c r="F200" s="501" t="s">
        <v>540</v>
      </c>
      <c r="H200" s="4" t="s">
        <v>394</v>
      </c>
      <c r="I200" s="4">
        <v>4</v>
      </c>
      <c r="J200" s="122">
        <f t="shared" si="87"/>
        <v>520</v>
      </c>
      <c r="K200" s="21">
        <v>45.5</v>
      </c>
      <c r="L200" s="28">
        <v>67.7</v>
      </c>
      <c r="M200" s="22">
        <f t="shared" si="95"/>
        <v>22.200000000000003</v>
      </c>
      <c r="N200" s="30"/>
      <c r="O200" s="26"/>
      <c r="P200" s="31">
        <f t="shared" si="81"/>
        <v>0</v>
      </c>
      <c r="Q200" s="21"/>
      <c r="R200" s="28"/>
      <c r="S200" s="22">
        <f t="shared" si="84"/>
        <v>0</v>
      </c>
      <c r="T200" s="30"/>
      <c r="U200" s="26"/>
      <c r="V200" s="31">
        <f t="shared" si="82"/>
        <v>0</v>
      </c>
      <c r="W200" s="26">
        <f t="shared" si="89"/>
        <v>22.200000000000003</v>
      </c>
      <c r="X200" s="36">
        <f t="shared" si="90"/>
        <v>3885.0000000000005</v>
      </c>
      <c r="Y200" s="301">
        <f t="shared" si="97"/>
        <v>4370</v>
      </c>
      <c r="Z200" s="38">
        <v>1</v>
      </c>
      <c r="AA200" s="38">
        <v>1</v>
      </c>
      <c r="AB200" s="38">
        <v>1</v>
      </c>
      <c r="AC200" s="38">
        <v>13122</v>
      </c>
      <c r="AD200" s="157">
        <f t="shared" si="92"/>
        <v>750</v>
      </c>
      <c r="AE200" s="29">
        <v>9.5</v>
      </c>
      <c r="AF200" s="29">
        <v>1.5</v>
      </c>
      <c r="AG200" s="40"/>
      <c r="AH200" s="44">
        <v>1</v>
      </c>
      <c r="AI200" s="13"/>
      <c r="AJ200" s="304"/>
      <c r="AK200" s="45"/>
      <c r="AL200" s="23"/>
      <c r="AM200" s="138"/>
      <c r="AN200" s="25">
        <f t="shared" ca="1" si="78"/>
        <v>12</v>
      </c>
      <c r="AO200" s="50"/>
      <c r="AP200" s="53">
        <f t="shared" si="96"/>
        <v>1050</v>
      </c>
      <c r="AQ200" s="322">
        <v>637.92999999999995</v>
      </c>
      <c r="AR200" s="324">
        <f t="shared" si="93"/>
        <v>117.92999999999995</v>
      </c>
      <c r="AS200" s="375">
        <f t="shared" si="94"/>
        <v>6807.93</v>
      </c>
      <c r="AT200" s="375">
        <v>6807.93</v>
      </c>
      <c r="AU200" s="344">
        <f t="shared" si="98"/>
        <v>7.6381513910983218E-2</v>
      </c>
      <c r="AV200" s="18">
        <f>IF(F199="","",(SUM($AS$6:AS200)))</f>
        <v>1164990.0000000002</v>
      </c>
      <c r="AW200" s="18">
        <f>IFERROR(IF(AS200&lt;&gt;"", SUMIFS($AS$10:AS200, $BG$10:BG200, BG200), ""),"")</f>
        <v>176472.91000000003</v>
      </c>
      <c r="AX200" s="123">
        <f t="shared" ca="1" si="99"/>
        <v>306.66351351351346</v>
      </c>
      <c r="AY200" s="124" t="str">
        <f t="shared" ca="1" si="100"/>
        <v>LINK</v>
      </c>
      <c r="AZ200" s="421" t="s">
        <v>543</v>
      </c>
      <c r="BA200" s="125" t="s">
        <v>332</v>
      </c>
      <c r="BB200" t="str">
        <f t="shared" si="101"/>
        <v>25</v>
      </c>
      <c r="BC200" t="str">
        <f t="shared" si="102"/>
        <v>09</v>
      </c>
      <c r="BD200">
        <f t="shared" si="103"/>
        <v>18</v>
      </c>
      <c r="BE200" t="str">
        <f t="shared" si="104"/>
        <v>D</v>
      </c>
      <c r="BF200" t="str">
        <f t="shared" si="106"/>
        <v>https://www.coreplan.io/app/ddh1-drilling/speewah-mining-speewah-fluorite-project-wa/plods/1665-250918D</v>
      </c>
      <c r="BG200" t="str">
        <f t="shared" si="105"/>
        <v>2025-09</v>
      </c>
    </row>
    <row r="201" spans="1:59">
      <c r="A201" s="510" t="str">
        <f>VLOOKUP(F201,'Tenement Lookup'!A:BH,60,FALSE)</f>
        <v>M 80/269</v>
      </c>
      <c r="B201" t="s">
        <v>507</v>
      </c>
      <c r="C201" s="151" t="s">
        <v>508</v>
      </c>
      <c r="D201" s="1">
        <f t="shared" si="91"/>
        <v>45918.71</v>
      </c>
      <c r="E201" t="s">
        <v>172</v>
      </c>
      <c r="F201" s="501" t="s">
        <v>540</v>
      </c>
      <c r="H201" s="4"/>
      <c r="I201" s="4"/>
      <c r="J201" s="122" t="str">
        <f t="shared" si="87"/>
        <v/>
      </c>
      <c r="K201" s="21"/>
      <c r="L201" s="28"/>
      <c r="M201" s="22">
        <f t="shared" si="95"/>
        <v>0</v>
      </c>
      <c r="N201" s="30"/>
      <c r="O201" s="26"/>
      <c r="P201" s="31">
        <f t="shared" si="81"/>
        <v>0</v>
      </c>
      <c r="Q201" s="21"/>
      <c r="R201" s="28"/>
      <c r="S201" s="22">
        <f t="shared" si="84"/>
        <v>0</v>
      </c>
      <c r="T201" s="30"/>
      <c r="U201" s="26"/>
      <c r="V201" s="31">
        <f t="shared" si="82"/>
        <v>0</v>
      </c>
      <c r="W201" s="26">
        <f t="shared" si="89"/>
        <v>0</v>
      </c>
      <c r="X201" s="36">
        <f t="shared" si="90"/>
        <v>0</v>
      </c>
      <c r="Y201" s="301">
        <f t="shared" si="97"/>
        <v>0</v>
      </c>
      <c r="Z201" s="38"/>
      <c r="AA201" s="38"/>
      <c r="AB201" s="38"/>
      <c r="AC201" s="38"/>
      <c r="AD201" s="157">
        <f t="shared" si="92"/>
        <v>0</v>
      </c>
      <c r="AE201" s="29"/>
      <c r="AF201" s="29"/>
      <c r="AG201" s="40"/>
      <c r="AH201" s="44"/>
      <c r="AI201" s="13"/>
      <c r="AJ201" s="304"/>
      <c r="AK201" s="45"/>
      <c r="AL201" s="23"/>
      <c r="AM201" s="138"/>
      <c r="AN201" s="25">
        <f t="shared" ca="1" si="78"/>
        <v>0</v>
      </c>
      <c r="AO201" s="50"/>
      <c r="AP201" s="53">
        <f t="shared" si="96"/>
        <v>0</v>
      </c>
      <c r="AQ201" s="322"/>
      <c r="AR201" s="324" t="str">
        <f t="shared" si="93"/>
        <v/>
      </c>
      <c r="AS201" s="375">
        <f t="shared" si="94"/>
        <v>0</v>
      </c>
      <c r="AT201" s="375"/>
      <c r="AU201" s="344" t="str">
        <f t="shared" si="98"/>
        <v/>
      </c>
      <c r="AV201" s="18">
        <f>IF(F200="","",(SUM($AS$6:AS201)))</f>
        <v>1164990.0000000002</v>
      </c>
      <c r="AW201" s="18">
        <f>IFERROR(IF(AS201&lt;&gt;"", SUMIFS($AS$10:AS201, $BG$10:BG201, BG201), ""),"")</f>
        <v>176472.91000000003</v>
      </c>
      <c r="AX201" s="123" t="str">
        <f t="shared" ca="1" si="99"/>
        <v>no drilling completed</v>
      </c>
      <c r="AY201" s="124" t="str">
        <f t="shared" ca="1" si="100"/>
        <v>LINK</v>
      </c>
      <c r="AZ201" t="s">
        <v>532</v>
      </c>
      <c r="BA201" s="125" t="s">
        <v>332</v>
      </c>
      <c r="BB201" t="str">
        <f t="shared" si="101"/>
        <v>25</v>
      </c>
      <c r="BC201" t="str">
        <f t="shared" si="102"/>
        <v>09</v>
      </c>
      <c r="BD201">
        <f t="shared" si="103"/>
        <v>18</v>
      </c>
      <c r="BE201" t="str">
        <f t="shared" si="104"/>
        <v>N</v>
      </c>
      <c r="BF201" t="str">
        <f t="shared" si="106"/>
        <v>https://www.coreplan.io/app/ddh1-drilling/speewah-mining-speewah-fluorite-project-wa/plods/1665-250918N</v>
      </c>
      <c r="BG201" t="str">
        <f t="shared" si="105"/>
        <v>2025-09</v>
      </c>
    </row>
    <row r="202" spans="1:59">
      <c r="A202" s="510" t="str">
        <f>VLOOKUP(F202,'Tenement Lookup'!A:BH,60,FALSE)</f>
        <v>M 80/269</v>
      </c>
      <c r="B202" t="s">
        <v>507</v>
      </c>
      <c r="C202" s="151" t="s">
        <v>508</v>
      </c>
      <c r="D202" s="1">
        <f t="shared" si="91"/>
        <v>45919.21</v>
      </c>
      <c r="E202" t="s">
        <v>171</v>
      </c>
      <c r="F202" s="501" t="s">
        <v>540</v>
      </c>
      <c r="H202" s="4" t="s">
        <v>394</v>
      </c>
      <c r="I202" s="4">
        <v>4</v>
      </c>
      <c r="J202" s="122">
        <f t="shared" si="87"/>
        <v>520</v>
      </c>
      <c r="K202" s="21">
        <v>67.7</v>
      </c>
      <c r="L202" s="28">
        <v>96.5</v>
      </c>
      <c r="M202" s="22">
        <f t="shared" si="95"/>
        <v>28.799999999999997</v>
      </c>
      <c r="N202" s="30"/>
      <c r="O202" s="26"/>
      <c r="P202" s="31">
        <f t="shared" si="81"/>
        <v>0</v>
      </c>
      <c r="Q202" s="21"/>
      <c r="R202" s="28"/>
      <c r="S202" s="22">
        <f t="shared" si="84"/>
        <v>0</v>
      </c>
      <c r="T202" s="30"/>
      <c r="U202" s="26"/>
      <c r="V202" s="31">
        <f t="shared" si="82"/>
        <v>0</v>
      </c>
      <c r="W202" s="26">
        <f t="shared" si="89"/>
        <v>28.799999999999997</v>
      </c>
      <c r="X202" s="36">
        <f t="shared" si="90"/>
        <v>5039.9999999999991</v>
      </c>
      <c r="Y202" s="301">
        <f t="shared" si="97"/>
        <v>5039.9999999999991</v>
      </c>
      <c r="Z202" s="38">
        <v>1</v>
      </c>
      <c r="AA202" s="38">
        <v>1</v>
      </c>
      <c r="AB202" s="38">
        <v>1</v>
      </c>
      <c r="AC202" s="38">
        <v>13122</v>
      </c>
      <c r="AD202" s="157">
        <f t="shared" si="92"/>
        <v>750</v>
      </c>
      <c r="AE202" s="29">
        <v>9.5</v>
      </c>
      <c r="AF202" s="29">
        <v>1.5</v>
      </c>
      <c r="AG202" s="40"/>
      <c r="AH202" s="44">
        <v>1</v>
      </c>
      <c r="AI202" s="13"/>
      <c r="AJ202" s="304"/>
      <c r="AK202" s="45"/>
      <c r="AL202" s="23"/>
      <c r="AM202" s="138"/>
      <c r="AN202" s="25">
        <f t="shared" ca="1" si="78"/>
        <v>12</v>
      </c>
      <c r="AO202" s="50"/>
      <c r="AP202" s="53">
        <f t="shared" si="96"/>
        <v>1050</v>
      </c>
      <c r="AQ202" s="322">
        <v>637.92999999999995</v>
      </c>
      <c r="AR202" s="324">
        <f t="shared" si="93"/>
        <v>117.92999999999995</v>
      </c>
      <c r="AS202" s="375">
        <f t="shared" si="94"/>
        <v>7477.9299999999994</v>
      </c>
      <c r="AT202" s="375">
        <v>7477.93</v>
      </c>
      <c r="AU202" s="344">
        <f t="shared" si="98"/>
        <v>6.9537960371386209E-2</v>
      </c>
      <c r="AV202" s="18">
        <f>IF(F201="","",(SUM($AS$6:AS202)))</f>
        <v>1172467.9300000002</v>
      </c>
      <c r="AW202" s="18">
        <f>IFERROR(IF(AS202&lt;&gt;"", SUMIFS($AS$10:AS202, $BG$10:BG202, BG202), ""),"")</f>
        <v>183950.84000000003</v>
      </c>
      <c r="AX202" s="123">
        <f t="shared" ca="1" si="99"/>
        <v>259.65034722222225</v>
      </c>
      <c r="AY202" s="124" t="str">
        <f t="shared" ca="1" si="100"/>
        <v>LINK</v>
      </c>
      <c r="AZ202" s="421" t="s">
        <v>544</v>
      </c>
      <c r="BA202" s="125" t="s">
        <v>332</v>
      </c>
      <c r="BB202" t="str">
        <f t="shared" si="101"/>
        <v>25</v>
      </c>
      <c r="BC202" t="str">
        <f t="shared" si="102"/>
        <v>09</v>
      </c>
      <c r="BD202">
        <f t="shared" si="103"/>
        <v>19</v>
      </c>
      <c r="BE202" t="str">
        <f t="shared" si="104"/>
        <v>D</v>
      </c>
      <c r="BF202" t="str">
        <f t="shared" si="106"/>
        <v>https://www.coreplan.io/app/ddh1-drilling/speewah-mining-speewah-fluorite-project-wa/plods/1665-250919D</v>
      </c>
      <c r="BG202" t="str">
        <f t="shared" si="105"/>
        <v>2025-09</v>
      </c>
    </row>
    <row r="203" spans="1:59">
      <c r="A203" s="510" t="str">
        <f>VLOOKUP(F203,'Tenement Lookup'!A:BH,60,FALSE)</f>
        <v>M 80/269</v>
      </c>
      <c r="B203" t="s">
        <v>507</v>
      </c>
      <c r="C203" s="151" t="s">
        <v>508</v>
      </c>
      <c r="D203" s="1">
        <f t="shared" si="91"/>
        <v>45919.71</v>
      </c>
      <c r="E203" t="s">
        <v>172</v>
      </c>
      <c r="F203" s="501" t="s">
        <v>540</v>
      </c>
      <c r="H203" s="4"/>
      <c r="I203" s="4"/>
      <c r="J203" s="122" t="str">
        <f t="shared" si="87"/>
        <v/>
      </c>
      <c r="K203" s="21"/>
      <c r="L203" s="28"/>
      <c r="M203" s="22">
        <f t="shared" si="95"/>
        <v>0</v>
      </c>
      <c r="N203" s="30"/>
      <c r="O203" s="26"/>
      <c r="P203" s="31">
        <f t="shared" si="81"/>
        <v>0</v>
      </c>
      <c r="Q203" s="21"/>
      <c r="R203" s="28"/>
      <c r="S203" s="22">
        <f t="shared" si="84"/>
        <v>0</v>
      </c>
      <c r="T203" s="30"/>
      <c r="U203" s="26"/>
      <c r="V203" s="31">
        <f t="shared" si="82"/>
        <v>0</v>
      </c>
      <c r="W203" s="26">
        <f t="shared" si="89"/>
        <v>0</v>
      </c>
      <c r="X203" s="36">
        <f t="shared" si="90"/>
        <v>0</v>
      </c>
      <c r="Y203" s="301">
        <f t="shared" si="97"/>
        <v>0</v>
      </c>
      <c r="Z203" s="38"/>
      <c r="AA203" s="38"/>
      <c r="AB203" s="38"/>
      <c r="AC203" s="38"/>
      <c r="AD203" s="157">
        <f t="shared" si="92"/>
        <v>0</v>
      </c>
      <c r="AE203" s="29"/>
      <c r="AF203" s="29"/>
      <c r="AG203" s="40"/>
      <c r="AH203" s="44"/>
      <c r="AI203" s="13"/>
      <c r="AJ203" s="304"/>
      <c r="AK203" s="45"/>
      <c r="AL203" s="23"/>
      <c r="AM203" s="138"/>
      <c r="AN203" s="25">
        <f t="shared" ref="AN203:AN266" ca="1" si="107">IF(D203&gt;TODAY(),"",SUM(AE203:AF203,AH203:AL203))</f>
        <v>0</v>
      </c>
      <c r="AO203" s="50"/>
      <c r="AP203" s="53">
        <f t="shared" si="96"/>
        <v>0</v>
      </c>
      <c r="AQ203" s="322"/>
      <c r="AR203" s="324" t="str">
        <f t="shared" si="93"/>
        <v/>
      </c>
      <c r="AS203" s="375">
        <f t="shared" si="94"/>
        <v>0</v>
      </c>
      <c r="AT203" s="375"/>
      <c r="AU203" s="344" t="str">
        <f t="shared" si="98"/>
        <v/>
      </c>
      <c r="AV203" s="18">
        <f>IF(F202="","",(SUM($AS$6:AS203)))</f>
        <v>1172467.9300000002</v>
      </c>
      <c r="AW203" s="18">
        <f>IFERROR(IF(AS203&lt;&gt;"", SUMIFS($AS$10:AS203, $BG$10:BG203, BG203), ""),"")</f>
        <v>183950.84000000003</v>
      </c>
      <c r="AX203" s="123" t="str">
        <f t="shared" ca="1" si="99"/>
        <v>no drilling completed</v>
      </c>
      <c r="AY203" s="124" t="str">
        <f t="shared" ca="1" si="100"/>
        <v>LINK</v>
      </c>
      <c r="AZ203" t="s">
        <v>532</v>
      </c>
      <c r="BA203" s="125" t="s">
        <v>332</v>
      </c>
      <c r="BB203" t="str">
        <f t="shared" si="101"/>
        <v>25</v>
      </c>
      <c r="BC203" t="str">
        <f t="shared" si="102"/>
        <v>09</v>
      </c>
      <c r="BD203">
        <f t="shared" si="103"/>
        <v>19</v>
      </c>
      <c r="BE203" t="str">
        <f t="shared" si="104"/>
        <v>N</v>
      </c>
      <c r="BF203" t="str">
        <f t="shared" si="106"/>
        <v>https://www.coreplan.io/app/ddh1-drilling/speewah-mining-speewah-fluorite-project-wa/plods/1665-250919N</v>
      </c>
      <c r="BG203" t="str">
        <f t="shared" si="105"/>
        <v>2025-09</v>
      </c>
    </row>
    <row r="204" spans="1:59">
      <c r="A204" s="510" t="str">
        <f>VLOOKUP(F204,'Tenement Lookup'!A:BH,60,FALSE)</f>
        <v>M 80/269</v>
      </c>
      <c r="B204" t="s">
        <v>507</v>
      </c>
      <c r="C204" s="151" t="s">
        <v>508</v>
      </c>
      <c r="D204" s="1">
        <f t="shared" si="91"/>
        <v>45920.21</v>
      </c>
      <c r="E204" t="s">
        <v>171</v>
      </c>
      <c r="F204" s="501" t="s">
        <v>540</v>
      </c>
      <c r="H204" s="4" t="s">
        <v>394</v>
      </c>
      <c r="I204" s="4">
        <v>4</v>
      </c>
      <c r="J204" s="122">
        <f t="shared" si="87"/>
        <v>520</v>
      </c>
      <c r="K204" s="21">
        <v>96.5</v>
      </c>
      <c r="L204" s="28">
        <v>120</v>
      </c>
      <c r="M204" s="22">
        <f t="shared" si="95"/>
        <v>23.5</v>
      </c>
      <c r="N204" s="30"/>
      <c r="O204" s="26"/>
      <c r="P204" s="31">
        <f t="shared" si="81"/>
        <v>0</v>
      </c>
      <c r="Q204" s="21"/>
      <c r="R204" s="28"/>
      <c r="S204" s="22">
        <f t="shared" si="84"/>
        <v>0</v>
      </c>
      <c r="T204" s="30"/>
      <c r="U204" s="26"/>
      <c r="V204" s="31">
        <f t="shared" si="82"/>
        <v>0</v>
      </c>
      <c r="W204" s="26">
        <f t="shared" si="89"/>
        <v>23.5</v>
      </c>
      <c r="X204" s="36">
        <f t="shared" si="90"/>
        <v>4112.5</v>
      </c>
      <c r="Y204" s="301">
        <f t="shared" si="97"/>
        <v>4140</v>
      </c>
      <c r="Z204" s="38">
        <v>1</v>
      </c>
      <c r="AA204" s="38">
        <v>1</v>
      </c>
      <c r="AB204" s="38">
        <v>1</v>
      </c>
      <c r="AC204" s="38">
        <v>13122</v>
      </c>
      <c r="AD204" s="157">
        <f t="shared" si="92"/>
        <v>750</v>
      </c>
      <c r="AE204" s="29">
        <v>9</v>
      </c>
      <c r="AF204" s="29">
        <v>2</v>
      </c>
      <c r="AG204" s="40"/>
      <c r="AH204" s="44">
        <v>1</v>
      </c>
      <c r="AI204" s="13"/>
      <c r="AJ204" s="304"/>
      <c r="AK204" s="45"/>
      <c r="AL204" s="23"/>
      <c r="AM204" s="138"/>
      <c r="AN204" s="25">
        <f t="shared" ca="1" si="107"/>
        <v>12</v>
      </c>
      <c r="AO204" s="50"/>
      <c r="AP204" s="53">
        <f t="shared" si="96"/>
        <v>1280</v>
      </c>
      <c r="AQ204" s="322">
        <v>637.92999999999995</v>
      </c>
      <c r="AR204" s="324">
        <f t="shared" si="93"/>
        <v>117.92999999999995</v>
      </c>
      <c r="AS204" s="375">
        <f t="shared" si="94"/>
        <v>6807.93</v>
      </c>
      <c r="AT204" s="375">
        <v>6807.93</v>
      </c>
      <c r="AU204" s="344">
        <f t="shared" si="98"/>
        <v>7.6381513910983218E-2</v>
      </c>
      <c r="AV204" s="18">
        <f>IF(F203="","",(SUM($AS$6:AS204)))</f>
        <v>1179275.8600000001</v>
      </c>
      <c r="AW204" s="18">
        <f>IFERROR(IF(AS204&lt;&gt;"", SUMIFS($AS$10:AS204, $BG$10:BG204, BG204), ""),"")</f>
        <v>190758.77000000002</v>
      </c>
      <c r="AX204" s="123">
        <f t="shared" ca="1" si="99"/>
        <v>289.69914893617022</v>
      </c>
      <c r="AY204" s="124" t="str">
        <f t="shared" ca="1" si="100"/>
        <v>LINK</v>
      </c>
      <c r="AZ204" t="s">
        <v>545</v>
      </c>
      <c r="BA204" s="125" t="s">
        <v>332</v>
      </c>
      <c r="BB204" t="str">
        <f t="shared" si="101"/>
        <v>25</v>
      </c>
      <c r="BC204" t="str">
        <f t="shared" si="102"/>
        <v>09</v>
      </c>
      <c r="BD204">
        <f t="shared" si="103"/>
        <v>20</v>
      </c>
      <c r="BE204" t="str">
        <f t="shared" si="104"/>
        <v>D</v>
      </c>
      <c r="BF204" t="str">
        <f t="shared" si="106"/>
        <v>https://www.coreplan.io/app/ddh1-drilling/speewah-mining-speewah-fluorite-project-wa/plods/1665-250920D</v>
      </c>
      <c r="BG204" t="str">
        <f t="shared" si="105"/>
        <v>2025-09</v>
      </c>
    </row>
    <row r="205" spans="1:59">
      <c r="A205" s="510" t="str">
        <f>VLOOKUP(F205,'Tenement Lookup'!A:BH,60,FALSE)</f>
        <v>M 80/269</v>
      </c>
      <c r="B205" t="s">
        <v>507</v>
      </c>
      <c r="C205" s="151" t="s">
        <v>508</v>
      </c>
      <c r="D205" s="1">
        <f t="shared" si="91"/>
        <v>45920.71</v>
      </c>
      <c r="E205" t="s">
        <v>172</v>
      </c>
      <c r="F205" s="501" t="s">
        <v>540</v>
      </c>
      <c r="H205" s="4"/>
      <c r="I205" s="4"/>
      <c r="J205" s="122" t="str">
        <f t="shared" si="87"/>
        <v/>
      </c>
      <c r="K205" s="21"/>
      <c r="L205" s="28"/>
      <c r="M205" s="22">
        <f t="shared" si="95"/>
        <v>0</v>
      </c>
      <c r="N205" s="30"/>
      <c r="O205" s="26"/>
      <c r="P205" s="31">
        <f t="shared" si="81"/>
        <v>0</v>
      </c>
      <c r="Q205" s="21"/>
      <c r="R205" s="28"/>
      <c r="S205" s="22">
        <f t="shared" si="84"/>
        <v>0</v>
      </c>
      <c r="T205" s="30"/>
      <c r="U205" s="26"/>
      <c r="V205" s="31">
        <f t="shared" si="82"/>
        <v>0</v>
      </c>
      <c r="W205" s="26">
        <f t="shared" si="89"/>
        <v>0</v>
      </c>
      <c r="X205" s="36">
        <f t="shared" si="90"/>
        <v>0</v>
      </c>
      <c r="Y205" s="301">
        <f t="shared" si="97"/>
        <v>0</v>
      </c>
      <c r="Z205" s="38"/>
      <c r="AA205" s="38"/>
      <c r="AB205" s="38"/>
      <c r="AC205" s="38"/>
      <c r="AD205" s="157">
        <f t="shared" si="92"/>
        <v>0</v>
      </c>
      <c r="AE205" s="29"/>
      <c r="AF205" s="29"/>
      <c r="AG205" s="40"/>
      <c r="AH205" s="44"/>
      <c r="AI205" s="13"/>
      <c r="AJ205" s="304"/>
      <c r="AK205" s="45"/>
      <c r="AL205" s="23"/>
      <c r="AM205" s="138"/>
      <c r="AN205" s="25">
        <f t="shared" ca="1" si="107"/>
        <v>0</v>
      </c>
      <c r="AO205" s="50"/>
      <c r="AP205" s="53">
        <f t="shared" si="96"/>
        <v>0</v>
      </c>
      <c r="AQ205" s="322"/>
      <c r="AR205" s="324" t="str">
        <f t="shared" si="93"/>
        <v/>
      </c>
      <c r="AS205" s="375">
        <f t="shared" si="94"/>
        <v>0</v>
      </c>
      <c r="AT205" s="375"/>
      <c r="AU205" s="344" t="str">
        <f t="shared" si="98"/>
        <v/>
      </c>
      <c r="AV205" s="18">
        <f>IF(F204="","",(SUM($AS$6:AS205)))</f>
        <v>1179275.8600000001</v>
      </c>
      <c r="AW205" s="18">
        <f>IFERROR(IF(AS205&lt;&gt;"", SUMIFS($AS$10:AS205, $BG$10:BG205, BG205), ""),"")</f>
        <v>190758.77000000002</v>
      </c>
      <c r="AX205" s="123" t="str">
        <f t="shared" ca="1" si="99"/>
        <v>no drilling completed</v>
      </c>
      <c r="AY205" s="124" t="str">
        <f t="shared" ca="1" si="100"/>
        <v>LINK</v>
      </c>
      <c r="AZ205" t="s">
        <v>532</v>
      </c>
      <c r="BA205" s="125" t="s">
        <v>332</v>
      </c>
      <c r="BB205" t="str">
        <f t="shared" si="101"/>
        <v>25</v>
      </c>
      <c r="BC205" t="str">
        <f t="shared" si="102"/>
        <v>09</v>
      </c>
      <c r="BD205">
        <f t="shared" si="103"/>
        <v>20</v>
      </c>
      <c r="BE205" t="str">
        <f t="shared" si="104"/>
        <v>N</v>
      </c>
      <c r="BF205" t="str">
        <f t="shared" si="106"/>
        <v>https://www.coreplan.io/app/ddh1-drilling/speewah-mining-speewah-fluorite-project-wa/plods/1665-250920N</v>
      </c>
      <c r="BG205" t="str">
        <f t="shared" si="105"/>
        <v>2025-09</v>
      </c>
    </row>
    <row r="206" spans="1:59">
      <c r="A206" s="510" t="str">
        <f>VLOOKUP(F206,'Tenement Lookup'!A:BH,60,FALSE)</f>
        <v>M 80/269</v>
      </c>
      <c r="B206" t="s">
        <v>507</v>
      </c>
      <c r="C206" s="151" t="s">
        <v>508</v>
      </c>
      <c r="D206" s="1">
        <f t="shared" si="91"/>
        <v>45921.21</v>
      </c>
      <c r="E206" t="s">
        <v>171</v>
      </c>
      <c r="F206" s="501" t="s">
        <v>546</v>
      </c>
      <c r="H206" s="4" t="s">
        <v>394</v>
      </c>
      <c r="I206" s="4">
        <v>4</v>
      </c>
      <c r="J206" s="122">
        <f t="shared" si="87"/>
        <v>520</v>
      </c>
      <c r="K206" s="21">
        <v>0</v>
      </c>
      <c r="L206" s="28">
        <v>12.6</v>
      </c>
      <c r="M206" s="22">
        <f t="shared" si="95"/>
        <v>12.6</v>
      </c>
      <c r="N206" s="30"/>
      <c r="O206" s="26"/>
      <c r="P206" s="31">
        <f t="shared" si="81"/>
        <v>0</v>
      </c>
      <c r="Q206" s="21"/>
      <c r="R206" s="28"/>
      <c r="S206" s="22">
        <f t="shared" si="84"/>
        <v>0</v>
      </c>
      <c r="T206" s="30"/>
      <c r="U206" s="26"/>
      <c r="V206" s="31">
        <f t="shared" si="82"/>
        <v>0</v>
      </c>
      <c r="W206" s="26">
        <f t="shared" si="89"/>
        <v>12.6</v>
      </c>
      <c r="X206" s="36">
        <f t="shared" si="90"/>
        <v>2205</v>
      </c>
      <c r="Y206" s="301">
        <f t="shared" si="97"/>
        <v>2990</v>
      </c>
      <c r="Z206" s="38">
        <v>1</v>
      </c>
      <c r="AA206" s="38">
        <v>1</v>
      </c>
      <c r="AB206" s="38">
        <v>1</v>
      </c>
      <c r="AC206" s="38">
        <v>13122</v>
      </c>
      <c r="AD206" s="157">
        <f t="shared" si="92"/>
        <v>750</v>
      </c>
      <c r="AE206" s="29">
        <v>6.5</v>
      </c>
      <c r="AF206" s="29">
        <v>4</v>
      </c>
      <c r="AG206" s="40"/>
      <c r="AH206" s="44">
        <v>1</v>
      </c>
      <c r="AI206" s="13"/>
      <c r="AJ206" s="304"/>
      <c r="AK206" s="45">
        <v>0.5</v>
      </c>
      <c r="AL206" s="23"/>
      <c r="AM206" s="138" t="s">
        <v>275</v>
      </c>
      <c r="AN206" s="25">
        <f t="shared" ca="1" si="107"/>
        <v>12</v>
      </c>
      <c r="AO206" s="50"/>
      <c r="AP206" s="53">
        <f t="shared" si="96"/>
        <v>2200</v>
      </c>
      <c r="AQ206" s="322">
        <v>637.92999999999995</v>
      </c>
      <c r="AR206" s="324">
        <f t="shared" si="93"/>
        <v>117.92999999999995</v>
      </c>
      <c r="AS206" s="375">
        <f t="shared" si="94"/>
        <v>6577.93</v>
      </c>
      <c r="AT206" s="375">
        <v>6577.93</v>
      </c>
      <c r="AU206" s="344">
        <f t="shared" si="98"/>
        <v>7.9052224636017715E-2</v>
      </c>
      <c r="AV206" s="18">
        <f>IF(F205="","",(SUM($AS$6:AS206)))</f>
        <v>1185853.79</v>
      </c>
      <c r="AW206" s="18">
        <f>IFERROR(IF(AS206&lt;&gt;"", SUMIFS($AS$10:AS206, $BG$10:BG206, BG206), ""),"")</f>
        <v>197336.7</v>
      </c>
      <c r="AX206" s="123">
        <f t="shared" ca="1" si="99"/>
        <v>522.05793650793657</v>
      </c>
      <c r="AY206" s="124" t="str">
        <f t="shared" ca="1" si="100"/>
        <v>LINK</v>
      </c>
      <c r="AZ206" s="421" t="s">
        <v>547</v>
      </c>
      <c r="BA206" s="125" t="s">
        <v>332</v>
      </c>
      <c r="BB206" t="str">
        <f t="shared" si="101"/>
        <v>25</v>
      </c>
      <c r="BC206" t="str">
        <f t="shared" si="102"/>
        <v>09</v>
      </c>
      <c r="BD206">
        <f t="shared" si="103"/>
        <v>21</v>
      </c>
      <c r="BE206" t="str">
        <f t="shared" si="104"/>
        <v>D</v>
      </c>
      <c r="BF206" t="str">
        <f t="shared" si="106"/>
        <v>https://www.coreplan.io/app/ddh1-drilling/speewah-mining-speewah-fluorite-project-wa/plods/1665-250921D</v>
      </c>
      <c r="BG206" t="str">
        <f t="shared" si="105"/>
        <v>2025-09</v>
      </c>
    </row>
    <row r="207" spans="1:59">
      <c r="A207" s="510" t="str">
        <f>VLOOKUP(F207,'Tenement Lookup'!A:BH,60,FALSE)</f>
        <v>M 80/269</v>
      </c>
      <c r="B207" t="s">
        <v>507</v>
      </c>
      <c r="C207" s="151" t="s">
        <v>508</v>
      </c>
      <c r="D207" s="1">
        <f t="shared" si="91"/>
        <v>45921.71</v>
      </c>
      <c r="E207" t="s">
        <v>172</v>
      </c>
      <c r="F207" s="501" t="s">
        <v>546</v>
      </c>
      <c r="H207" s="4"/>
      <c r="I207" s="4"/>
      <c r="J207" s="122" t="str">
        <f t="shared" si="87"/>
        <v/>
      </c>
      <c r="K207" s="21"/>
      <c r="L207" s="28"/>
      <c r="M207" s="22">
        <f t="shared" si="95"/>
        <v>0</v>
      </c>
      <c r="N207" s="30"/>
      <c r="O207" s="26"/>
      <c r="P207" s="31">
        <f t="shared" si="81"/>
        <v>0</v>
      </c>
      <c r="Q207" s="21"/>
      <c r="R207" s="28"/>
      <c r="S207" s="22">
        <f t="shared" si="84"/>
        <v>0</v>
      </c>
      <c r="T207" s="30"/>
      <c r="U207" s="26"/>
      <c r="V207" s="31">
        <f t="shared" si="82"/>
        <v>0</v>
      </c>
      <c r="W207" s="26">
        <f t="shared" ref="W207:W238" si="108">IF(F207="","",(M207+P207+S207+V207))</f>
        <v>0</v>
      </c>
      <c r="X207" s="36">
        <f t="shared" ref="X207:X238" si="109">IF(F207="","",((M207*$M$2)+(P207*$P$2)+(S207*$S$2)+(V207*$V$2)))</f>
        <v>0</v>
      </c>
      <c r="Y207" s="301">
        <f t="shared" si="97"/>
        <v>0</v>
      </c>
      <c r="Z207" s="38"/>
      <c r="AA207" s="38"/>
      <c r="AB207" s="38"/>
      <c r="AC207" s="38"/>
      <c r="AD207" s="157">
        <f t="shared" si="92"/>
        <v>0</v>
      </c>
      <c r="AE207" s="29"/>
      <c r="AF207" s="29"/>
      <c r="AG207" s="40"/>
      <c r="AH207" s="44"/>
      <c r="AI207" s="13"/>
      <c r="AJ207" s="304"/>
      <c r="AK207" s="45"/>
      <c r="AL207" s="23"/>
      <c r="AM207" s="138"/>
      <c r="AN207" s="25">
        <f t="shared" ca="1" si="107"/>
        <v>0</v>
      </c>
      <c r="AO207" s="50"/>
      <c r="AP207" s="53">
        <f t="shared" si="96"/>
        <v>0</v>
      </c>
      <c r="AQ207" s="322"/>
      <c r="AR207" s="324" t="str">
        <f t="shared" si="93"/>
        <v/>
      </c>
      <c r="AS207" s="375">
        <f t="shared" si="94"/>
        <v>0</v>
      </c>
      <c r="AT207" s="375"/>
      <c r="AU207" s="344" t="str">
        <f t="shared" si="98"/>
        <v/>
      </c>
      <c r="AV207" s="18">
        <f>IF(F206="","",(SUM($AS$6:AS207)))</f>
        <v>1185853.79</v>
      </c>
      <c r="AW207" s="18">
        <f>IFERROR(IF(AS207&lt;&gt;"", SUMIFS($AS$10:AS207, $BG$10:BG207, BG207), ""),"")</f>
        <v>197336.7</v>
      </c>
      <c r="AX207" s="123" t="str">
        <f t="shared" ca="1" si="99"/>
        <v>no drilling completed</v>
      </c>
      <c r="AY207" s="124" t="str">
        <f t="shared" ca="1" si="100"/>
        <v>LINK</v>
      </c>
      <c r="AZ207" t="s">
        <v>532</v>
      </c>
      <c r="BA207" s="125" t="s">
        <v>332</v>
      </c>
      <c r="BB207" t="str">
        <f t="shared" si="101"/>
        <v>25</v>
      </c>
      <c r="BC207" t="str">
        <f t="shared" si="102"/>
        <v>09</v>
      </c>
      <c r="BD207">
        <f t="shared" si="103"/>
        <v>21</v>
      </c>
      <c r="BE207" t="str">
        <f t="shared" si="104"/>
        <v>N</v>
      </c>
      <c r="BF207" t="str">
        <f t="shared" si="106"/>
        <v>https://www.coreplan.io/app/ddh1-drilling/speewah-mining-speewah-fluorite-project-wa/plods/1665-250921N</v>
      </c>
      <c r="BG207" t="str">
        <f t="shared" si="105"/>
        <v>2025-09</v>
      </c>
    </row>
    <row r="208" spans="1:59">
      <c r="A208" s="510" t="str">
        <f>VLOOKUP(F208,'Tenement Lookup'!A:BH,60,FALSE)</f>
        <v>M 80/269</v>
      </c>
      <c r="B208" t="s">
        <v>507</v>
      </c>
      <c r="C208" s="151" t="s">
        <v>508</v>
      </c>
      <c r="D208" s="1">
        <f t="shared" si="91"/>
        <v>45922.21</v>
      </c>
      <c r="E208" t="s">
        <v>171</v>
      </c>
      <c r="F208" s="501" t="s">
        <v>546</v>
      </c>
      <c r="H208" s="4" t="s">
        <v>394</v>
      </c>
      <c r="I208" s="4">
        <v>4</v>
      </c>
      <c r="J208" s="122">
        <f t="shared" si="87"/>
        <v>520</v>
      </c>
      <c r="K208" s="21">
        <v>12.6</v>
      </c>
      <c r="L208" s="28">
        <v>42.3</v>
      </c>
      <c r="M208" s="22">
        <f t="shared" si="95"/>
        <v>29.699999999999996</v>
      </c>
      <c r="N208" s="30"/>
      <c r="O208" s="26"/>
      <c r="P208" s="31">
        <f t="shared" ref="P208:P271" si="110">IF(ISBLANK(N208),,O208-N208)</f>
        <v>0</v>
      </c>
      <c r="Q208" s="21"/>
      <c r="R208" s="28"/>
      <c r="S208" s="22">
        <f t="shared" si="84"/>
        <v>0</v>
      </c>
      <c r="T208" s="30"/>
      <c r="U208" s="26"/>
      <c r="V208" s="31">
        <f t="shared" si="82"/>
        <v>0</v>
      </c>
      <c r="W208" s="26">
        <f t="shared" si="108"/>
        <v>29.699999999999996</v>
      </c>
      <c r="X208" s="36">
        <f t="shared" si="109"/>
        <v>5197.4999999999991</v>
      </c>
      <c r="Y208" s="301">
        <f t="shared" si="97"/>
        <v>5197.4999999999991</v>
      </c>
      <c r="Z208" s="38">
        <v>1</v>
      </c>
      <c r="AA208" s="38">
        <v>1</v>
      </c>
      <c r="AB208" s="38">
        <v>1</v>
      </c>
      <c r="AC208" s="38">
        <v>13122</v>
      </c>
      <c r="AD208" s="157">
        <f t="shared" si="92"/>
        <v>750</v>
      </c>
      <c r="AE208" s="29">
        <v>10</v>
      </c>
      <c r="AF208" s="29">
        <v>1</v>
      </c>
      <c r="AG208" s="40"/>
      <c r="AH208" s="44">
        <v>1</v>
      </c>
      <c r="AI208" s="13"/>
      <c r="AJ208" s="304"/>
      <c r="AK208" s="45"/>
      <c r="AL208" s="23"/>
      <c r="AM208" s="138"/>
      <c r="AN208" s="25">
        <f t="shared" ca="1" si="107"/>
        <v>12</v>
      </c>
      <c r="AO208" s="50"/>
      <c r="AP208" s="53">
        <f t="shared" si="96"/>
        <v>820</v>
      </c>
      <c r="AQ208" s="322">
        <v>756.49</v>
      </c>
      <c r="AR208" s="324">
        <f t="shared" si="93"/>
        <v>236.49</v>
      </c>
      <c r="AS208" s="375">
        <f t="shared" si="94"/>
        <v>7523.9899999999989</v>
      </c>
      <c r="AT208" s="375">
        <v>7523.99</v>
      </c>
      <c r="AU208" s="344">
        <f t="shared" si="98"/>
        <v>6.9112266231082187E-2</v>
      </c>
      <c r="AV208" s="18">
        <f>IF(F207="","",(SUM($AS$6:AS208)))</f>
        <v>1193377.78</v>
      </c>
      <c r="AW208" s="18">
        <f>IFERROR(IF(AS208&lt;&gt;"", SUMIFS($AS$10:AS208, $BG$10:BG208, BG208), ""),"")</f>
        <v>204860.69</v>
      </c>
      <c r="AX208" s="123">
        <f t="shared" ca="1" si="99"/>
        <v>253.33299663299664</v>
      </c>
      <c r="AY208" s="124" t="str">
        <f t="shared" ca="1" si="100"/>
        <v>LINK</v>
      </c>
      <c r="AZ208" t="s">
        <v>548</v>
      </c>
      <c r="BA208" s="125" t="s">
        <v>332</v>
      </c>
      <c r="BB208" t="str">
        <f t="shared" si="101"/>
        <v>25</v>
      </c>
      <c r="BC208" t="str">
        <f t="shared" si="102"/>
        <v>09</v>
      </c>
      <c r="BD208">
        <f t="shared" si="103"/>
        <v>22</v>
      </c>
      <c r="BE208" t="str">
        <f t="shared" si="104"/>
        <v>D</v>
      </c>
      <c r="BF208" t="str">
        <f t="shared" si="106"/>
        <v>https://www.coreplan.io/app/ddh1-drilling/speewah-mining-speewah-fluorite-project-wa/plods/1665-250922D</v>
      </c>
      <c r="BG208" t="str">
        <f t="shared" si="105"/>
        <v>2025-09</v>
      </c>
    </row>
    <row r="209" spans="1:59">
      <c r="A209" s="510" t="str">
        <f>VLOOKUP(F209,'Tenement Lookup'!A:BH,60,FALSE)</f>
        <v>M 80/269</v>
      </c>
      <c r="B209" t="s">
        <v>507</v>
      </c>
      <c r="C209" s="151" t="s">
        <v>508</v>
      </c>
      <c r="D209" s="1">
        <f t="shared" si="91"/>
        <v>45922.71</v>
      </c>
      <c r="E209" t="s">
        <v>172</v>
      </c>
      <c r="F209" s="501" t="s">
        <v>546</v>
      </c>
      <c r="H209" s="4"/>
      <c r="I209" s="4"/>
      <c r="J209" s="122" t="str">
        <f t="shared" si="87"/>
        <v/>
      </c>
      <c r="K209" s="21"/>
      <c r="L209" s="28"/>
      <c r="M209" s="22">
        <f t="shared" si="95"/>
        <v>0</v>
      </c>
      <c r="N209" s="30"/>
      <c r="O209" s="26"/>
      <c r="P209" s="31">
        <f t="shared" si="110"/>
        <v>0</v>
      </c>
      <c r="Q209" s="21"/>
      <c r="R209" s="28"/>
      <c r="S209" s="22">
        <f t="shared" si="84"/>
        <v>0</v>
      </c>
      <c r="T209" s="30"/>
      <c r="U209" s="26"/>
      <c r="V209" s="31">
        <f t="shared" si="82"/>
        <v>0</v>
      </c>
      <c r="W209" s="26">
        <f t="shared" si="108"/>
        <v>0</v>
      </c>
      <c r="X209" s="36">
        <f t="shared" si="109"/>
        <v>0</v>
      </c>
      <c r="Y209" s="301">
        <f t="shared" si="97"/>
        <v>0</v>
      </c>
      <c r="Z209" s="38"/>
      <c r="AA209" s="38"/>
      <c r="AB209" s="38"/>
      <c r="AC209" s="38"/>
      <c r="AD209" s="157">
        <f t="shared" si="92"/>
        <v>0</v>
      </c>
      <c r="AE209" s="29"/>
      <c r="AF209" s="29"/>
      <c r="AG209" s="40"/>
      <c r="AH209" s="44"/>
      <c r="AI209" s="13"/>
      <c r="AJ209" s="304"/>
      <c r="AK209" s="45"/>
      <c r="AL209" s="23"/>
      <c r="AM209" s="138"/>
      <c r="AN209" s="25">
        <f t="shared" ca="1" si="107"/>
        <v>0</v>
      </c>
      <c r="AO209" s="50"/>
      <c r="AP209" s="53">
        <f t="shared" si="96"/>
        <v>0</v>
      </c>
      <c r="AQ209" s="322"/>
      <c r="AR209" s="324" t="str">
        <f t="shared" si="93"/>
        <v/>
      </c>
      <c r="AS209" s="375">
        <f t="shared" ref="AS209:AS240" si="111">IF(F208="","",(SUM(Y209,AP209,AR209,AD209,J209)))</f>
        <v>0</v>
      </c>
      <c r="AT209" s="375"/>
      <c r="AU209" s="344" t="str">
        <f t="shared" si="98"/>
        <v/>
      </c>
      <c r="AV209" s="18">
        <f>IF(F208="","",(SUM($AS$6:AS209)))</f>
        <v>1193377.78</v>
      </c>
      <c r="AW209" s="18">
        <f>IFERROR(IF(AS209&lt;&gt;"", SUMIFS($AS$10:AS209, $BG$10:BG209, BG209), ""),"")</f>
        <v>204860.69</v>
      </c>
      <c r="AX209" s="123" t="str">
        <f t="shared" ca="1" si="99"/>
        <v>no drilling completed</v>
      </c>
      <c r="AY209" s="124" t="str">
        <f t="shared" ca="1" si="100"/>
        <v>LINK</v>
      </c>
      <c r="AZ209" t="s">
        <v>532</v>
      </c>
      <c r="BA209" s="125" t="s">
        <v>332</v>
      </c>
      <c r="BB209" t="str">
        <f t="shared" si="101"/>
        <v>25</v>
      </c>
      <c r="BC209" t="str">
        <f t="shared" si="102"/>
        <v>09</v>
      </c>
      <c r="BD209">
        <f t="shared" si="103"/>
        <v>22</v>
      </c>
      <c r="BE209" t="str">
        <f t="shared" si="104"/>
        <v>N</v>
      </c>
      <c r="BF209" t="str">
        <f t="shared" si="106"/>
        <v>https://www.coreplan.io/app/ddh1-drilling/speewah-mining-speewah-fluorite-project-wa/plods/1665-250922N</v>
      </c>
      <c r="BG209" t="str">
        <f t="shared" si="105"/>
        <v>2025-09</v>
      </c>
    </row>
    <row r="210" spans="1:59">
      <c r="A210" s="510" t="str">
        <f>VLOOKUP(F210,'Tenement Lookup'!A:BH,60,FALSE)</f>
        <v>M 80/269</v>
      </c>
      <c r="B210" t="s">
        <v>507</v>
      </c>
      <c r="C210" s="151" t="s">
        <v>508</v>
      </c>
      <c r="D210" s="1">
        <f t="shared" si="91"/>
        <v>45923.21</v>
      </c>
      <c r="E210" t="s">
        <v>171</v>
      </c>
      <c r="F210" s="501" t="s">
        <v>546</v>
      </c>
      <c r="H210" s="4" t="s">
        <v>394</v>
      </c>
      <c r="I210" s="4">
        <v>4</v>
      </c>
      <c r="J210" s="122">
        <f t="shared" si="87"/>
        <v>520</v>
      </c>
      <c r="K210" s="21">
        <v>42.3</v>
      </c>
      <c r="L210" s="28">
        <v>66.599999999999994</v>
      </c>
      <c r="M210" s="22">
        <f t="shared" si="95"/>
        <v>24.299999999999997</v>
      </c>
      <c r="N210" s="30"/>
      <c r="O210" s="26"/>
      <c r="P210" s="31">
        <f t="shared" si="110"/>
        <v>0</v>
      </c>
      <c r="Q210" s="21"/>
      <c r="R210" s="28"/>
      <c r="S210" s="22">
        <f t="shared" si="84"/>
        <v>0</v>
      </c>
      <c r="T210" s="30"/>
      <c r="U210" s="26"/>
      <c r="V210" s="31">
        <f t="shared" si="82"/>
        <v>0</v>
      </c>
      <c r="W210" s="26">
        <f t="shared" si="108"/>
        <v>24.299999999999997</v>
      </c>
      <c r="X210" s="36">
        <f t="shared" si="109"/>
        <v>4252.4999999999991</v>
      </c>
      <c r="Y210" s="301">
        <f t="shared" si="97"/>
        <v>4600</v>
      </c>
      <c r="Z210" s="38">
        <v>1</v>
      </c>
      <c r="AA210" s="38">
        <v>1</v>
      </c>
      <c r="AB210" s="38">
        <v>1</v>
      </c>
      <c r="AC210" s="38">
        <v>13122</v>
      </c>
      <c r="AD210" s="157">
        <f t="shared" si="92"/>
        <v>750</v>
      </c>
      <c r="AE210" s="29">
        <v>10</v>
      </c>
      <c r="AF210" s="29">
        <v>1</v>
      </c>
      <c r="AG210" s="40"/>
      <c r="AH210" s="44">
        <v>1</v>
      </c>
      <c r="AI210" s="13"/>
      <c r="AJ210" s="304"/>
      <c r="AK210" s="45"/>
      <c r="AL210" s="23"/>
      <c r="AM210" s="138"/>
      <c r="AN210" s="25">
        <f t="shared" ca="1" si="107"/>
        <v>12</v>
      </c>
      <c r="AO210" s="50"/>
      <c r="AP210" s="53">
        <f t="shared" si="96"/>
        <v>820</v>
      </c>
      <c r="AQ210" s="322">
        <v>637.92999999999995</v>
      </c>
      <c r="AR210" s="324">
        <f t="shared" si="93"/>
        <v>117.92999999999995</v>
      </c>
      <c r="AS210" s="375">
        <f t="shared" si="111"/>
        <v>6807.93</v>
      </c>
      <c r="AT210" s="375">
        <v>6807.93</v>
      </c>
      <c r="AU210" s="344">
        <f t="shared" si="98"/>
        <v>7.6381513910983218E-2</v>
      </c>
      <c r="AV210" s="18">
        <f>IF(F209="","",(SUM($AS$6:AS210)))</f>
        <v>1200185.71</v>
      </c>
      <c r="AW210" s="18">
        <f>IFERROR(IF(AS210&lt;&gt;"", SUMIFS($AS$10:AS210, $BG$10:BG210, BG210), ""),"")</f>
        <v>211668.62</v>
      </c>
      <c r="AX210" s="123">
        <f t="shared" ca="1" si="99"/>
        <v>280.1617283950618</v>
      </c>
      <c r="AY210" s="124" t="str">
        <f t="shared" ca="1" si="100"/>
        <v>LINK</v>
      </c>
      <c r="AZ210" t="s">
        <v>549</v>
      </c>
      <c r="BA210" s="125" t="s">
        <v>332</v>
      </c>
      <c r="BB210" t="str">
        <f t="shared" si="101"/>
        <v>25</v>
      </c>
      <c r="BC210" t="str">
        <f t="shared" si="102"/>
        <v>09</v>
      </c>
      <c r="BD210">
        <f t="shared" si="103"/>
        <v>23</v>
      </c>
      <c r="BE210" t="str">
        <f t="shared" si="104"/>
        <v>D</v>
      </c>
      <c r="BF210" t="str">
        <f t="shared" si="106"/>
        <v>https://www.coreplan.io/app/ddh1-drilling/speewah-mining-speewah-fluorite-project-wa/plods/1665-250923D</v>
      </c>
      <c r="BG210" t="str">
        <f t="shared" si="105"/>
        <v>2025-09</v>
      </c>
    </row>
    <row r="211" spans="1:59">
      <c r="A211" s="510" t="str">
        <f>VLOOKUP(F211,'Tenement Lookup'!A:BH,60,FALSE)</f>
        <v>M 80/269</v>
      </c>
      <c r="B211" t="s">
        <v>507</v>
      </c>
      <c r="C211" s="151" t="s">
        <v>508</v>
      </c>
      <c r="D211" s="1">
        <f t="shared" si="91"/>
        <v>45923.71</v>
      </c>
      <c r="E211" t="s">
        <v>172</v>
      </c>
      <c r="F211" s="501" t="s">
        <v>546</v>
      </c>
      <c r="H211" s="4"/>
      <c r="I211" s="4"/>
      <c r="J211" s="122" t="str">
        <f t="shared" si="87"/>
        <v/>
      </c>
      <c r="K211" s="21"/>
      <c r="L211" s="28"/>
      <c r="M211" s="22">
        <f t="shared" si="95"/>
        <v>0</v>
      </c>
      <c r="N211" s="30"/>
      <c r="O211" s="26"/>
      <c r="P211" s="31">
        <f t="shared" si="110"/>
        <v>0</v>
      </c>
      <c r="Q211" s="21"/>
      <c r="R211" s="28"/>
      <c r="S211" s="22">
        <f t="shared" si="84"/>
        <v>0</v>
      </c>
      <c r="T211" s="30"/>
      <c r="U211" s="26"/>
      <c r="V211" s="31">
        <f t="shared" si="82"/>
        <v>0</v>
      </c>
      <c r="W211" s="26">
        <f t="shared" si="108"/>
        <v>0</v>
      </c>
      <c r="X211" s="36">
        <f t="shared" si="109"/>
        <v>0</v>
      </c>
      <c r="Y211" s="301">
        <f t="shared" si="97"/>
        <v>0</v>
      </c>
      <c r="Z211" s="38"/>
      <c r="AA211" s="38"/>
      <c r="AB211" s="38"/>
      <c r="AC211" s="38"/>
      <c r="AD211" s="157">
        <f t="shared" si="92"/>
        <v>0</v>
      </c>
      <c r="AE211" s="29"/>
      <c r="AF211" s="29"/>
      <c r="AG211" s="40"/>
      <c r="AH211" s="44"/>
      <c r="AI211" s="13"/>
      <c r="AJ211" s="304"/>
      <c r="AK211" s="45"/>
      <c r="AL211" s="23"/>
      <c r="AM211" s="138"/>
      <c r="AN211" s="25">
        <f t="shared" ca="1" si="107"/>
        <v>0</v>
      </c>
      <c r="AO211" s="50"/>
      <c r="AP211" s="53">
        <f t="shared" si="96"/>
        <v>0</v>
      </c>
      <c r="AQ211" s="322"/>
      <c r="AR211" s="324" t="str">
        <f t="shared" si="93"/>
        <v/>
      </c>
      <c r="AS211" s="375">
        <f t="shared" si="111"/>
        <v>0</v>
      </c>
      <c r="AT211" s="375">
        <v>0</v>
      </c>
      <c r="AU211" s="344" t="str">
        <f t="shared" si="98"/>
        <v/>
      </c>
      <c r="AV211" s="18">
        <f>IF(F210="","",(SUM($AS$6:AS211)))</f>
        <v>1200185.71</v>
      </c>
      <c r="AW211" s="18">
        <f>IFERROR(IF(AS211&lt;&gt;"", SUMIFS($AS$10:AS211, $BG$10:BG211, BG211), ""),"")</f>
        <v>211668.62</v>
      </c>
      <c r="AX211" s="123" t="str">
        <f t="shared" ca="1" si="99"/>
        <v>no drilling completed</v>
      </c>
      <c r="AY211" s="124" t="str">
        <f t="shared" ca="1" si="100"/>
        <v>LINK</v>
      </c>
      <c r="BA211" s="125" t="s">
        <v>332</v>
      </c>
      <c r="BB211" t="str">
        <f t="shared" si="101"/>
        <v>25</v>
      </c>
      <c r="BC211" t="str">
        <f t="shared" si="102"/>
        <v>09</v>
      </c>
      <c r="BD211">
        <f t="shared" si="103"/>
        <v>23</v>
      </c>
      <c r="BE211" t="str">
        <f t="shared" si="104"/>
        <v>N</v>
      </c>
      <c r="BF211" t="str">
        <f t="shared" si="106"/>
        <v>https://www.coreplan.io/app/ddh1-drilling/speewah-mining-speewah-fluorite-project-wa/plods/1665-250923N</v>
      </c>
      <c r="BG211" t="str">
        <f t="shared" si="105"/>
        <v>2025-09</v>
      </c>
    </row>
    <row r="212" spans="1:59">
      <c r="A212" s="510" t="str">
        <f>VLOOKUP(F212,'Tenement Lookup'!A:BH,60,FALSE)</f>
        <v>M 80/269</v>
      </c>
      <c r="B212" t="s">
        <v>507</v>
      </c>
      <c r="C212" s="151" t="s">
        <v>508</v>
      </c>
      <c r="D212" s="1">
        <f t="shared" si="91"/>
        <v>45924.21</v>
      </c>
      <c r="E212" t="s">
        <v>171</v>
      </c>
      <c r="F212" s="501" t="s">
        <v>546</v>
      </c>
      <c r="H212" s="4" t="s">
        <v>394</v>
      </c>
      <c r="I212" s="4">
        <v>4</v>
      </c>
      <c r="J212" s="122">
        <f t="shared" si="87"/>
        <v>520</v>
      </c>
      <c r="K212" s="21">
        <v>66.599999999999994</v>
      </c>
      <c r="L212" s="28">
        <v>90.6</v>
      </c>
      <c r="M212" s="22">
        <f t="shared" si="95"/>
        <v>24</v>
      </c>
      <c r="N212" s="30"/>
      <c r="O212" s="26"/>
      <c r="P212" s="31">
        <f t="shared" si="110"/>
        <v>0</v>
      </c>
      <c r="Q212" s="21"/>
      <c r="R212" s="28"/>
      <c r="S212" s="22">
        <f t="shared" si="84"/>
        <v>0</v>
      </c>
      <c r="T212" s="30"/>
      <c r="U212" s="26"/>
      <c r="V212" s="31">
        <f t="shared" si="82"/>
        <v>0</v>
      </c>
      <c r="W212" s="26">
        <f t="shared" si="108"/>
        <v>24</v>
      </c>
      <c r="X212" s="36">
        <f t="shared" si="109"/>
        <v>4200</v>
      </c>
      <c r="Y212" s="301">
        <f t="shared" si="97"/>
        <v>4945</v>
      </c>
      <c r="Z212" s="38">
        <v>1</v>
      </c>
      <c r="AA212" s="38">
        <v>1</v>
      </c>
      <c r="AB212" s="38">
        <v>1</v>
      </c>
      <c r="AC212" s="38">
        <v>13122</v>
      </c>
      <c r="AD212" s="157">
        <f t="shared" si="92"/>
        <v>750</v>
      </c>
      <c r="AE212" s="29">
        <v>10.75</v>
      </c>
      <c r="AF212" s="29">
        <v>0.25</v>
      </c>
      <c r="AG212" s="40"/>
      <c r="AH212" s="44">
        <v>1</v>
      </c>
      <c r="AI212" s="13"/>
      <c r="AJ212" s="304"/>
      <c r="AK212" s="45"/>
      <c r="AL212" s="23"/>
      <c r="AM212" s="138"/>
      <c r="AN212" s="25">
        <f t="shared" ca="1" si="107"/>
        <v>12</v>
      </c>
      <c r="AO212" s="50"/>
      <c r="AP212" s="53">
        <f t="shared" si="96"/>
        <v>475</v>
      </c>
      <c r="AQ212" s="322">
        <v>637.92999999999995</v>
      </c>
      <c r="AR212" s="324">
        <f t="shared" si="93"/>
        <v>117.92999999999995</v>
      </c>
      <c r="AS212" s="375">
        <f t="shared" si="111"/>
        <v>6807.93</v>
      </c>
      <c r="AT212" s="375">
        <v>6807.93</v>
      </c>
      <c r="AU212" s="344">
        <f t="shared" si="98"/>
        <v>7.6381513910983218E-2</v>
      </c>
      <c r="AV212" s="18">
        <f>IF(F211="","",(SUM($AS$6:AS212)))</f>
        <v>1206993.6399999999</v>
      </c>
      <c r="AW212" s="18">
        <f>IFERROR(IF(AS212&lt;&gt;"", SUMIFS($AS$10:AS212, $BG$10:BG212, BG212), ""),"")</f>
        <v>218476.55</v>
      </c>
      <c r="AX212" s="123">
        <f t="shared" ca="1" si="99"/>
        <v>283.66374999999999</v>
      </c>
      <c r="AY212" s="124" t="str">
        <f t="shared" ca="1" si="100"/>
        <v>LINK</v>
      </c>
      <c r="AZ212" t="s">
        <v>550</v>
      </c>
      <c r="BA212" s="125" t="s">
        <v>332</v>
      </c>
      <c r="BB212" t="str">
        <f t="shared" si="101"/>
        <v>25</v>
      </c>
      <c r="BC212" t="str">
        <f t="shared" si="102"/>
        <v>09</v>
      </c>
      <c r="BD212">
        <f t="shared" si="103"/>
        <v>24</v>
      </c>
      <c r="BE212" t="str">
        <f t="shared" si="104"/>
        <v>D</v>
      </c>
      <c r="BF212" t="str">
        <f t="shared" si="106"/>
        <v>https://www.coreplan.io/app/ddh1-drilling/speewah-mining-speewah-fluorite-project-wa/plods/1665-250924D</v>
      </c>
      <c r="BG212" t="str">
        <f t="shared" si="105"/>
        <v>2025-09</v>
      </c>
    </row>
    <row r="213" spans="1:59">
      <c r="A213" s="510" t="str">
        <f>VLOOKUP(F213,'Tenement Lookup'!A:BH,60,FALSE)</f>
        <v>M 80/269</v>
      </c>
      <c r="B213" t="s">
        <v>507</v>
      </c>
      <c r="C213" s="151" t="s">
        <v>508</v>
      </c>
      <c r="D213" s="1">
        <f t="shared" si="91"/>
        <v>45924.71</v>
      </c>
      <c r="E213" t="s">
        <v>172</v>
      </c>
      <c r="F213" s="501" t="s">
        <v>546</v>
      </c>
      <c r="H213" s="4"/>
      <c r="I213" s="4"/>
      <c r="J213" s="122" t="str">
        <f t="shared" si="87"/>
        <v/>
      </c>
      <c r="K213" s="21"/>
      <c r="L213" s="28"/>
      <c r="M213" s="22">
        <f t="shared" si="95"/>
        <v>0</v>
      </c>
      <c r="N213" s="30"/>
      <c r="O213" s="26"/>
      <c r="P213" s="31">
        <f t="shared" si="110"/>
        <v>0</v>
      </c>
      <c r="Q213" s="21"/>
      <c r="R213" s="28"/>
      <c r="S213" s="22">
        <f t="shared" si="84"/>
        <v>0</v>
      </c>
      <c r="T213" s="30"/>
      <c r="U213" s="26"/>
      <c r="V213" s="31">
        <f t="shared" si="82"/>
        <v>0</v>
      </c>
      <c r="W213" s="26">
        <f t="shared" si="108"/>
        <v>0</v>
      </c>
      <c r="X213" s="36">
        <f t="shared" si="109"/>
        <v>0</v>
      </c>
      <c r="Y213" s="301">
        <f t="shared" si="97"/>
        <v>0</v>
      </c>
      <c r="Z213" s="38"/>
      <c r="AA213" s="38"/>
      <c r="AB213" s="38"/>
      <c r="AC213" s="38"/>
      <c r="AD213" s="157">
        <f t="shared" si="92"/>
        <v>0</v>
      </c>
      <c r="AE213" s="29"/>
      <c r="AF213" s="29"/>
      <c r="AG213" s="40"/>
      <c r="AH213" s="44"/>
      <c r="AI213" s="13"/>
      <c r="AJ213" s="304"/>
      <c r="AK213" s="45"/>
      <c r="AL213" s="23"/>
      <c r="AM213" s="138"/>
      <c r="AN213" s="25">
        <f t="shared" ca="1" si="107"/>
        <v>0</v>
      </c>
      <c r="AO213" s="50"/>
      <c r="AP213" s="53">
        <f t="shared" si="96"/>
        <v>0</v>
      </c>
      <c r="AQ213" s="322"/>
      <c r="AR213" s="324" t="str">
        <f t="shared" si="93"/>
        <v/>
      </c>
      <c r="AS213" s="375">
        <f t="shared" si="111"/>
        <v>0</v>
      </c>
      <c r="AT213" s="375">
        <v>0</v>
      </c>
      <c r="AU213" s="344" t="str">
        <f t="shared" si="98"/>
        <v/>
      </c>
      <c r="AV213" s="18">
        <f>IF(F212="","",(SUM($AS$6:AS213)))</f>
        <v>1206993.6399999999</v>
      </c>
      <c r="AW213" s="18">
        <f>IFERROR(IF(AS213&lt;&gt;"", SUMIFS($AS$10:AS213, $BG$10:BG213, BG213), ""),"")</f>
        <v>218476.55</v>
      </c>
      <c r="AX213" s="123" t="str">
        <f t="shared" ca="1" si="99"/>
        <v>no drilling completed</v>
      </c>
      <c r="AY213" s="124" t="str">
        <f t="shared" ca="1" si="100"/>
        <v>LINK</v>
      </c>
      <c r="BA213" s="125" t="s">
        <v>332</v>
      </c>
      <c r="BB213" t="str">
        <f t="shared" si="101"/>
        <v>25</v>
      </c>
      <c r="BC213" t="str">
        <f t="shared" si="102"/>
        <v>09</v>
      </c>
      <c r="BD213">
        <f t="shared" si="103"/>
        <v>24</v>
      </c>
      <c r="BE213" t="str">
        <f t="shared" si="104"/>
        <v>N</v>
      </c>
      <c r="BF213" t="str">
        <f t="shared" si="106"/>
        <v>https://www.coreplan.io/app/ddh1-drilling/speewah-mining-speewah-fluorite-project-wa/plods/1665-250924N</v>
      </c>
      <c r="BG213" t="str">
        <f t="shared" si="105"/>
        <v>2025-09</v>
      </c>
    </row>
    <row r="214" spans="1:59">
      <c r="A214" s="510" t="str">
        <f>VLOOKUP(F214,'Tenement Lookup'!A:BH,60,FALSE)</f>
        <v>M 80/269</v>
      </c>
      <c r="B214" t="s">
        <v>507</v>
      </c>
      <c r="C214" s="151" t="s">
        <v>508</v>
      </c>
      <c r="D214" s="1">
        <f t="shared" si="91"/>
        <v>45925.21</v>
      </c>
      <c r="E214" t="s">
        <v>171</v>
      </c>
      <c r="F214" s="501" t="s">
        <v>546</v>
      </c>
      <c r="H214" s="4" t="s">
        <v>392</v>
      </c>
      <c r="I214" s="4">
        <v>4</v>
      </c>
      <c r="J214" s="122">
        <f t="shared" si="87"/>
        <v>520</v>
      </c>
      <c r="K214" s="21">
        <v>90.6</v>
      </c>
      <c r="L214" s="28">
        <v>120</v>
      </c>
      <c r="M214" s="22">
        <f t="shared" si="95"/>
        <v>29.400000000000006</v>
      </c>
      <c r="N214" s="30"/>
      <c r="O214" s="26"/>
      <c r="P214" s="31">
        <f t="shared" si="110"/>
        <v>0</v>
      </c>
      <c r="Q214" s="21"/>
      <c r="R214" s="28"/>
      <c r="S214" s="22">
        <f t="shared" si="84"/>
        <v>0</v>
      </c>
      <c r="T214" s="30"/>
      <c r="U214" s="26"/>
      <c r="V214" s="31">
        <f t="shared" ref="V214:V277" si="112">IF(ISBLANK(T214),,U214-T214)</f>
        <v>0</v>
      </c>
      <c r="W214" s="26">
        <f t="shared" si="108"/>
        <v>29.400000000000006</v>
      </c>
      <c r="X214" s="36">
        <f t="shared" si="109"/>
        <v>5145.0000000000009</v>
      </c>
      <c r="Y214" s="301">
        <f t="shared" si="97"/>
        <v>5145.0000000000009</v>
      </c>
      <c r="Z214" s="38">
        <v>1</v>
      </c>
      <c r="AA214" s="38">
        <v>1</v>
      </c>
      <c r="AB214" s="38">
        <v>1</v>
      </c>
      <c r="AC214" s="38">
        <v>13122</v>
      </c>
      <c r="AD214" s="157">
        <f t="shared" si="92"/>
        <v>750</v>
      </c>
      <c r="AE214" s="29">
        <v>10</v>
      </c>
      <c r="AF214" s="29">
        <v>1</v>
      </c>
      <c r="AG214" s="40"/>
      <c r="AH214" s="44">
        <v>1</v>
      </c>
      <c r="AI214" s="13"/>
      <c r="AJ214" s="304"/>
      <c r="AK214" s="45"/>
      <c r="AL214" s="23"/>
      <c r="AM214" s="138"/>
      <c r="AN214" s="25">
        <f t="shared" ca="1" si="107"/>
        <v>12</v>
      </c>
      <c r="AO214" s="50"/>
      <c r="AP214" s="53">
        <f t="shared" ref="AP214:AP277" si="113">(AF214*$AF$2)+(AH214*$AH$2)+(AI214*$AI$2)</f>
        <v>820</v>
      </c>
      <c r="AQ214" s="322">
        <v>983.98</v>
      </c>
      <c r="AR214" s="324">
        <f t="shared" si="93"/>
        <v>463.98</v>
      </c>
      <c r="AS214" s="375">
        <f t="shared" si="111"/>
        <v>7698.9800000000014</v>
      </c>
      <c r="AT214" s="375">
        <v>7698.98</v>
      </c>
      <c r="AU214" s="344">
        <f t="shared" si="98"/>
        <v>6.7541414576995903E-2</v>
      </c>
      <c r="AV214" s="18">
        <f>IF(F213="","",(SUM($AS$6:AS214)))</f>
        <v>1214692.6199999999</v>
      </c>
      <c r="AW214" s="18">
        <f>IFERROR(IF(AS214&lt;&gt;"", SUMIFS($AS$10:AS214, $BG$10:BG214, BG214), ""),"")</f>
        <v>226175.53</v>
      </c>
      <c r="AX214" s="123">
        <f t="shared" ca="1" si="99"/>
        <v>261.87006802721089</v>
      </c>
      <c r="AY214" s="124" t="str">
        <f t="shared" ca="1" si="100"/>
        <v>LINK</v>
      </c>
      <c r="AZ214" t="s">
        <v>551</v>
      </c>
      <c r="BA214" s="125" t="s">
        <v>332</v>
      </c>
      <c r="BB214" t="str">
        <f t="shared" si="101"/>
        <v>25</v>
      </c>
      <c r="BC214" t="str">
        <f t="shared" si="102"/>
        <v>09</v>
      </c>
      <c r="BD214">
        <f t="shared" si="103"/>
        <v>25</v>
      </c>
      <c r="BE214" t="str">
        <f t="shared" si="104"/>
        <v>D</v>
      </c>
      <c r="BF214" t="str">
        <f t="shared" si="106"/>
        <v>https://www.coreplan.io/app/ddh1-drilling/speewah-mining-speewah-fluorite-project-wa/plods/1665-250925D</v>
      </c>
      <c r="BG214" t="str">
        <f t="shared" si="105"/>
        <v>2025-09</v>
      </c>
    </row>
    <row r="215" spans="1:59">
      <c r="A215" s="510" t="str">
        <f>VLOOKUP(F215,'Tenement Lookup'!A:BH,60,FALSE)</f>
        <v>M 80/269</v>
      </c>
      <c r="B215" t="s">
        <v>507</v>
      </c>
      <c r="C215" s="151" t="s">
        <v>508</v>
      </c>
      <c r="D215" s="1">
        <f t="shared" si="91"/>
        <v>45925.71</v>
      </c>
      <c r="E215" t="s">
        <v>172</v>
      </c>
      <c r="F215" s="501" t="s">
        <v>546</v>
      </c>
      <c r="H215" s="4"/>
      <c r="I215" s="4"/>
      <c r="J215" s="122" t="str">
        <f t="shared" si="87"/>
        <v/>
      </c>
      <c r="K215" s="21"/>
      <c r="L215" s="28"/>
      <c r="M215" s="22">
        <f t="shared" si="95"/>
        <v>0</v>
      </c>
      <c r="N215" s="30"/>
      <c r="O215" s="26"/>
      <c r="P215" s="31">
        <f t="shared" si="110"/>
        <v>0</v>
      </c>
      <c r="Q215" s="21"/>
      <c r="R215" s="28"/>
      <c r="S215" s="22">
        <f t="shared" si="84"/>
        <v>0</v>
      </c>
      <c r="T215" s="30"/>
      <c r="U215" s="26"/>
      <c r="V215" s="31">
        <f t="shared" si="112"/>
        <v>0</v>
      </c>
      <c r="W215" s="26">
        <f t="shared" si="108"/>
        <v>0</v>
      </c>
      <c r="X215" s="36">
        <f t="shared" si="109"/>
        <v>0</v>
      </c>
      <c r="Y215" s="301">
        <f t="shared" si="97"/>
        <v>0</v>
      </c>
      <c r="Z215" s="38"/>
      <c r="AA215" s="38"/>
      <c r="AB215" s="38"/>
      <c r="AC215" s="38"/>
      <c r="AD215" s="157">
        <f t="shared" si="92"/>
        <v>0</v>
      </c>
      <c r="AE215" s="29"/>
      <c r="AF215" s="29"/>
      <c r="AG215" s="40"/>
      <c r="AH215" s="44"/>
      <c r="AI215" s="13"/>
      <c r="AJ215" s="304"/>
      <c r="AK215" s="45"/>
      <c r="AL215" s="23"/>
      <c r="AM215" s="138"/>
      <c r="AN215" s="25">
        <f t="shared" ca="1" si="107"/>
        <v>0</v>
      </c>
      <c r="AO215" s="50"/>
      <c r="AP215" s="53">
        <f t="shared" si="113"/>
        <v>0</v>
      </c>
      <c r="AQ215" s="322"/>
      <c r="AR215" s="324" t="str">
        <f t="shared" si="93"/>
        <v/>
      </c>
      <c r="AS215" s="375">
        <f t="shared" si="111"/>
        <v>0</v>
      </c>
      <c r="AT215" s="375">
        <v>0</v>
      </c>
      <c r="AU215" s="344" t="str">
        <f t="shared" si="98"/>
        <v/>
      </c>
      <c r="AV215" s="18">
        <f>IF(F214="","",(SUM($AS$6:AS215)))</f>
        <v>1214692.6199999999</v>
      </c>
      <c r="AW215" s="18">
        <f>IFERROR(IF(AS215&lt;&gt;"", SUMIFS($AS$10:AS215, $BG$10:BG215, BG215), ""),"")</f>
        <v>226175.53</v>
      </c>
      <c r="AX215" s="123" t="str">
        <f t="shared" ca="1" si="99"/>
        <v>no drilling completed</v>
      </c>
      <c r="AY215" s="124" t="str">
        <f t="shared" ca="1" si="100"/>
        <v>LINK</v>
      </c>
      <c r="BA215" s="125" t="s">
        <v>332</v>
      </c>
      <c r="BB215" t="str">
        <f t="shared" si="101"/>
        <v>25</v>
      </c>
      <c r="BC215" t="str">
        <f t="shared" si="102"/>
        <v>09</v>
      </c>
      <c r="BD215">
        <f t="shared" si="103"/>
        <v>25</v>
      </c>
      <c r="BE215" t="str">
        <f t="shared" si="104"/>
        <v>N</v>
      </c>
      <c r="BF215" t="str">
        <f t="shared" si="106"/>
        <v>https://www.coreplan.io/app/ddh1-drilling/speewah-mining-speewah-fluorite-project-wa/plods/1665-250925N</v>
      </c>
      <c r="BG215" t="str">
        <f t="shared" si="105"/>
        <v>2025-09</v>
      </c>
    </row>
    <row r="216" spans="1:59">
      <c r="A216" s="510" t="str">
        <f>VLOOKUP(F216,'Tenement Lookup'!A:BH,60,FALSE)</f>
        <v>M 80/269</v>
      </c>
      <c r="B216" t="s">
        <v>507</v>
      </c>
      <c r="C216" s="151" t="s">
        <v>508</v>
      </c>
      <c r="D216" s="1">
        <f t="shared" si="91"/>
        <v>45926.21</v>
      </c>
      <c r="E216" t="s">
        <v>171</v>
      </c>
      <c r="F216" s="501" t="s">
        <v>552</v>
      </c>
      <c r="H216" s="4" t="s">
        <v>392</v>
      </c>
      <c r="I216" s="4">
        <v>4</v>
      </c>
      <c r="J216" s="122">
        <f t="shared" si="87"/>
        <v>520</v>
      </c>
      <c r="K216" s="21">
        <v>0</v>
      </c>
      <c r="L216" s="28">
        <v>5.9</v>
      </c>
      <c r="M216" s="22">
        <f t="shared" si="95"/>
        <v>5.9</v>
      </c>
      <c r="N216" s="30"/>
      <c r="O216" s="26"/>
      <c r="P216" s="31">
        <f t="shared" si="110"/>
        <v>0</v>
      </c>
      <c r="Q216" s="21"/>
      <c r="R216" s="28"/>
      <c r="S216" s="22">
        <f t="shared" si="84"/>
        <v>0</v>
      </c>
      <c r="T216" s="30"/>
      <c r="U216" s="26"/>
      <c r="V216" s="31">
        <f t="shared" si="112"/>
        <v>0</v>
      </c>
      <c r="W216" s="26">
        <f t="shared" si="108"/>
        <v>5.9</v>
      </c>
      <c r="X216" s="36">
        <f t="shared" si="109"/>
        <v>1032.5</v>
      </c>
      <c r="Y216" s="301">
        <f t="shared" si="97"/>
        <v>1495</v>
      </c>
      <c r="Z216" s="38">
        <v>1</v>
      </c>
      <c r="AA216" s="38">
        <v>1</v>
      </c>
      <c r="AB216" s="38">
        <v>1</v>
      </c>
      <c r="AC216" s="38">
        <v>13122</v>
      </c>
      <c r="AD216" s="157">
        <f t="shared" si="92"/>
        <v>750</v>
      </c>
      <c r="AE216" s="29">
        <v>3.25</v>
      </c>
      <c r="AF216" s="29">
        <v>7.75</v>
      </c>
      <c r="AG216" s="40"/>
      <c r="AH216" s="44">
        <v>1</v>
      </c>
      <c r="AI216" s="13"/>
      <c r="AJ216" s="304"/>
      <c r="AK216" s="45"/>
      <c r="AL216" s="23"/>
      <c r="AM216" s="138"/>
      <c r="AN216" s="25">
        <f t="shared" ca="1" si="107"/>
        <v>12</v>
      </c>
      <c r="AO216" s="50"/>
      <c r="AP216" s="53">
        <f t="shared" si="113"/>
        <v>3925</v>
      </c>
      <c r="AQ216" s="322">
        <v>1229.42</v>
      </c>
      <c r="AR216" s="324">
        <f t="shared" si="93"/>
        <v>709.42000000000007</v>
      </c>
      <c r="AS216" s="375">
        <f t="shared" si="111"/>
        <v>7399.42</v>
      </c>
      <c r="AT216" s="375">
        <v>7399.42</v>
      </c>
      <c r="AU216" s="344">
        <f t="shared" si="98"/>
        <v>7.0275778371818337E-2</v>
      </c>
      <c r="AV216" s="18">
        <f>IF(F215="","",(SUM($AS$6:AS216)))</f>
        <v>1222092.0399999998</v>
      </c>
      <c r="AW216" s="18">
        <f>IFERROR(IF(AS216&lt;&gt;"", SUMIFS($AS$10:AS216, $BG$10:BG216, BG216), ""),"")</f>
        <v>233574.95</v>
      </c>
      <c r="AX216" s="123">
        <f t="shared" ca="1" si="99"/>
        <v>1254.1389830508474</v>
      </c>
      <c r="AY216" s="124" t="str">
        <f t="shared" ca="1" si="100"/>
        <v>LINK</v>
      </c>
      <c r="AZ216" t="s">
        <v>553</v>
      </c>
      <c r="BA216" s="125" t="s">
        <v>332</v>
      </c>
      <c r="BB216" t="str">
        <f t="shared" si="101"/>
        <v>25</v>
      </c>
      <c r="BC216" t="str">
        <f t="shared" si="102"/>
        <v>09</v>
      </c>
      <c r="BD216">
        <f t="shared" si="103"/>
        <v>26</v>
      </c>
      <c r="BE216" t="str">
        <f t="shared" si="104"/>
        <v>D</v>
      </c>
      <c r="BF216" t="str">
        <f t="shared" si="106"/>
        <v>https://www.coreplan.io/app/ddh1-drilling/speewah-mining-speewah-fluorite-project-wa/plods/1665-250926D</v>
      </c>
      <c r="BG216" t="str">
        <f t="shared" si="105"/>
        <v>2025-09</v>
      </c>
    </row>
    <row r="217" spans="1:59">
      <c r="A217" s="510" t="str">
        <f>VLOOKUP(F217,'Tenement Lookup'!A:BH,60,FALSE)</f>
        <v>M 80/269</v>
      </c>
      <c r="B217" t="s">
        <v>507</v>
      </c>
      <c r="C217" s="151" t="s">
        <v>508</v>
      </c>
      <c r="D217" s="1">
        <f t="shared" si="91"/>
        <v>45926.71</v>
      </c>
      <c r="E217" t="s">
        <v>172</v>
      </c>
      <c r="F217" s="501" t="s">
        <v>552</v>
      </c>
      <c r="H217" s="4"/>
      <c r="I217" s="4"/>
      <c r="J217" s="122" t="str">
        <f t="shared" si="87"/>
        <v/>
      </c>
      <c r="K217" s="21"/>
      <c r="L217" s="28"/>
      <c r="M217" s="22">
        <f t="shared" si="95"/>
        <v>0</v>
      </c>
      <c r="N217" s="30"/>
      <c r="O217" s="26"/>
      <c r="P217" s="31">
        <f t="shared" si="110"/>
        <v>0</v>
      </c>
      <c r="Q217" s="21"/>
      <c r="R217" s="28"/>
      <c r="S217" s="22">
        <f t="shared" si="84"/>
        <v>0</v>
      </c>
      <c r="T217" s="30"/>
      <c r="U217" s="26"/>
      <c r="V217" s="31">
        <f t="shared" si="112"/>
        <v>0</v>
      </c>
      <c r="W217" s="26">
        <f t="shared" si="108"/>
        <v>0</v>
      </c>
      <c r="X217" s="36">
        <f t="shared" si="109"/>
        <v>0</v>
      </c>
      <c r="Y217" s="301">
        <f t="shared" si="97"/>
        <v>0</v>
      </c>
      <c r="Z217" s="38"/>
      <c r="AA217" s="38"/>
      <c r="AB217" s="38"/>
      <c r="AC217" s="38"/>
      <c r="AD217" s="157">
        <f t="shared" si="92"/>
        <v>0</v>
      </c>
      <c r="AE217" s="29"/>
      <c r="AF217" s="29"/>
      <c r="AG217" s="40"/>
      <c r="AH217" s="44"/>
      <c r="AI217" s="13"/>
      <c r="AJ217" s="304"/>
      <c r="AK217" s="45"/>
      <c r="AL217" s="23"/>
      <c r="AM217" s="138"/>
      <c r="AN217" s="25">
        <f t="shared" ca="1" si="107"/>
        <v>0</v>
      </c>
      <c r="AO217" s="50"/>
      <c r="AP217" s="53">
        <f t="shared" si="113"/>
        <v>0</v>
      </c>
      <c r="AQ217" s="322"/>
      <c r="AR217" s="324" t="str">
        <f t="shared" si="93"/>
        <v/>
      </c>
      <c r="AS217" s="375">
        <f t="shared" si="111"/>
        <v>0</v>
      </c>
      <c r="AT217" s="375">
        <v>0</v>
      </c>
      <c r="AU217" s="344" t="str">
        <f t="shared" si="98"/>
        <v/>
      </c>
      <c r="AV217" s="18">
        <f>IF(F216="","",(SUM($AS$6:AS217)))</f>
        <v>1222092.0399999998</v>
      </c>
      <c r="AW217" s="18">
        <f>IFERROR(IF(AS217&lt;&gt;"", SUMIFS($AS$10:AS217, $BG$10:BG217, BG217), ""),"")</f>
        <v>233574.95</v>
      </c>
      <c r="AX217" s="123" t="str">
        <f t="shared" ca="1" si="99"/>
        <v>no drilling completed</v>
      </c>
      <c r="AY217" s="124" t="str">
        <f t="shared" ca="1" si="100"/>
        <v>LINK</v>
      </c>
      <c r="BA217" s="125" t="s">
        <v>332</v>
      </c>
      <c r="BB217" t="str">
        <f t="shared" si="101"/>
        <v>25</v>
      </c>
      <c r="BC217" t="str">
        <f t="shared" si="102"/>
        <v>09</v>
      </c>
      <c r="BD217">
        <f t="shared" si="103"/>
        <v>26</v>
      </c>
      <c r="BE217" t="str">
        <f t="shared" si="104"/>
        <v>N</v>
      </c>
      <c r="BF217" t="str">
        <f t="shared" si="106"/>
        <v>https://www.coreplan.io/app/ddh1-drilling/speewah-mining-speewah-fluorite-project-wa/plods/1665-250926N</v>
      </c>
      <c r="BG217" t="str">
        <f t="shared" si="105"/>
        <v>2025-09</v>
      </c>
    </row>
    <row r="218" spans="1:59">
      <c r="A218" s="510" t="str">
        <f>VLOOKUP(F218,'Tenement Lookup'!A:BH,60,FALSE)</f>
        <v>M 80/269</v>
      </c>
      <c r="B218" t="s">
        <v>507</v>
      </c>
      <c r="C218" s="151" t="s">
        <v>508</v>
      </c>
      <c r="D218" s="1">
        <f t="shared" si="91"/>
        <v>45927.21</v>
      </c>
      <c r="E218" t="s">
        <v>171</v>
      </c>
      <c r="F218" s="501" t="s">
        <v>552</v>
      </c>
      <c r="H218" s="4" t="s">
        <v>392</v>
      </c>
      <c r="I218" s="4">
        <v>4</v>
      </c>
      <c r="J218" s="122">
        <f t="shared" si="87"/>
        <v>520</v>
      </c>
      <c r="K218" s="21">
        <v>5.9</v>
      </c>
      <c r="L218" s="28">
        <v>18.5</v>
      </c>
      <c r="M218" s="22">
        <f t="shared" si="95"/>
        <v>12.6</v>
      </c>
      <c r="N218" s="30"/>
      <c r="O218" s="26"/>
      <c r="P218" s="31">
        <f t="shared" si="110"/>
        <v>0</v>
      </c>
      <c r="Q218" s="21"/>
      <c r="R218" s="28"/>
      <c r="S218" s="22">
        <f t="shared" si="84"/>
        <v>0</v>
      </c>
      <c r="T218" s="30"/>
      <c r="U218" s="26"/>
      <c r="V218" s="31">
        <f t="shared" si="112"/>
        <v>0</v>
      </c>
      <c r="W218" s="26">
        <f t="shared" si="108"/>
        <v>12.6</v>
      </c>
      <c r="X218" s="36">
        <f t="shared" si="109"/>
        <v>2205</v>
      </c>
      <c r="Y218" s="301">
        <f t="shared" si="97"/>
        <v>4485</v>
      </c>
      <c r="Z218" s="38">
        <v>1</v>
      </c>
      <c r="AA218" s="38">
        <v>1</v>
      </c>
      <c r="AB218" s="38">
        <v>1</v>
      </c>
      <c r="AC218" s="38">
        <v>13122</v>
      </c>
      <c r="AD218" s="157">
        <f t="shared" si="92"/>
        <v>750</v>
      </c>
      <c r="AE218" s="29">
        <v>9.75</v>
      </c>
      <c r="AF218" s="29">
        <v>1.25</v>
      </c>
      <c r="AG218" s="40"/>
      <c r="AH218" s="44">
        <v>1</v>
      </c>
      <c r="AI218" s="13"/>
      <c r="AJ218" s="304"/>
      <c r="AK218" s="45"/>
      <c r="AL218" s="23"/>
      <c r="AM218" s="138"/>
      <c r="AN218" s="25">
        <f t="shared" ca="1" si="107"/>
        <v>12</v>
      </c>
      <c r="AO218" s="50"/>
      <c r="AP218" s="53">
        <f t="shared" si="113"/>
        <v>935</v>
      </c>
      <c r="AQ218" s="322">
        <v>928.42</v>
      </c>
      <c r="AR218" s="324">
        <f t="shared" si="93"/>
        <v>408.41999999999996</v>
      </c>
      <c r="AS218" s="375">
        <f t="shared" si="111"/>
        <v>7098.42</v>
      </c>
      <c r="AT218" s="375">
        <v>7098.42</v>
      </c>
      <c r="AU218" s="344">
        <f t="shared" si="98"/>
        <v>7.3255738600984444E-2</v>
      </c>
      <c r="AV218" s="18">
        <f>IF(F217="","",(SUM($AS$6:AS218)))</f>
        <v>1229190.4599999997</v>
      </c>
      <c r="AW218" s="18">
        <f>IFERROR(IF(AS218&lt;&gt;"", SUMIFS($AS$10:AS218, $BG$10:BG218, BG218), ""),"")</f>
        <v>240673.37000000002</v>
      </c>
      <c r="AX218" s="123">
        <f t="shared" ca="1" si="99"/>
        <v>563.36666666666667</v>
      </c>
      <c r="AY218" s="124" t="str">
        <f t="shared" ca="1" si="100"/>
        <v>LINK</v>
      </c>
      <c r="BA218" s="125" t="s">
        <v>332</v>
      </c>
      <c r="BB218" t="str">
        <f t="shared" si="101"/>
        <v>25</v>
      </c>
      <c r="BC218" t="str">
        <f t="shared" si="102"/>
        <v>09</v>
      </c>
      <c r="BD218">
        <f t="shared" si="103"/>
        <v>27</v>
      </c>
      <c r="BE218" t="str">
        <f t="shared" si="104"/>
        <v>D</v>
      </c>
      <c r="BF218" t="str">
        <f t="shared" si="106"/>
        <v>https://www.coreplan.io/app/ddh1-drilling/speewah-mining-speewah-fluorite-project-wa/plods/1665-250927D</v>
      </c>
      <c r="BG218" t="str">
        <f t="shared" si="105"/>
        <v>2025-09</v>
      </c>
    </row>
    <row r="219" spans="1:59">
      <c r="A219" s="510" t="str">
        <f>VLOOKUP(F219,'Tenement Lookup'!A:BH,60,FALSE)</f>
        <v>M 80/269</v>
      </c>
      <c r="B219" t="s">
        <v>507</v>
      </c>
      <c r="C219" s="151" t="s">
        <v>508</v>
      </c>
      <c r="D219" s="1">
        <f t="shared" si="91"/>
        <v>45927.71</v>
      </c>
      <c r="E219" t="s">
        <v>172</v>
      </c>
      <c r="F219" s="501" t="s">
        <v>552</v>
      </c>
      <c r="H219" s="4"/>
      <c r="I219" s="4"/>
      <c r="J219" s="122" t="str">
        <f t="shared" si="87"/>
        <v/>
      </c>
      <c r="K219" s="21"/>
      <c r="L219" s="28"/>
      <c r="M219" s="22">
        <f t="shared" si="95"/>
        <v>0</v>
      </c>
      <c r="N219" s="30"/>
      <c r="O219" s="26"/>
      <c r="P219" s="31">
        <f t="shared" si="110"/>
        <v>0</v>
      </c>
      <c r="Q219" s="21"/>
      <c r="R219" s="28"/>
      <c r="S219" s="22">
        <f t="shared" si="84"/>
        <v>0</v>
      </c>
      <c r="T219" s="30"/>
      <c r="U219" s="26"/>
      <c r="V219" s="31">
        <f t="shared" si="112"/>
        <v>0</v>
      </c>
      <c r="W219" s="26">
        <f t="shared" si="108"/>
        <v>0</v>
      </c>
      <c r="X219" s="36">
        <f t="shared" si="109"/>
        <v>0</v>
      </c>
      <c r="Y219" s="301">
        <f t="shared" si="97"/>
        <v>0</v>
      </c>
      <c r="Z219" s="38"/>
      <c r="AA219" s="38"/>
      <c r="AB219" s="38"/>
      <c r="AC219" s="38"/>
      <c r="AD219" s="157">
        <f t="shared" si="92"/>
        <v>0</v>
      </c>
      <c r="AE219" s="29"/>
      <c r="AF219" s="29"/>
      <c r="AG219" s="40"/>
      <c r="AH219" s="44"/>
      <c r="AI219" s="13"/>
      <c r="AJ219" s="304"/>
      <c r="AK219" s="45"/>
      <c r="AL219" s="23"/>
      <c r="AM219" s="138"/>
      <c r="AN219" s="25">
        <f t="shared" ca="1" si="107"/>
        <v>0</v>
      </c>
      <c r="AO219" s="50"/>
      <c r="AP219" s="53">
        <f t="shared" si="113"/>
        <v>0</v>
      </c>
      <c r="AQ219" s="322"/>
      <c r="AR219" s="324" t="str">
        <f t="shared" si="93"/>
        <v/>
      </c>
      <c r="AS219" s="375">
        <f t="shared" si="111"/>
        <v>0</v>
      </c>
      <c r="AT219" s="375"/>
      <c r="AU219" s="344" t="str">
        <f t="shared" si="98"/>
        <v/>
      </c>
      <c r="AV219" s="18">
        <f>IF(F218="","",(SUM($AS$6:AS219)))</f>
        <v>1229190.4599999997</v>
      </c>
      <c r="AW219" s="18">
        <f>IFERROR(IF(AS219&lt;&gt;"", SUMIFS($AS$10:AS219, $BG$10:BG219, BG219), ""),"")</f>
        <v>240673.37000000002</v>
      </c>
      <c r="AX219" s="123" t="str">
        <f t="shared" ca="1" si="99"/>
        <v>no drilling completed</v>
      </c>
      <c r="AY219" s="124" t="str">
        <f t="shared" ca="1" si="100"/>
        <v>LINK</v>
      </c>
      <c r="BA219" s="125" t="s">
        <v>332</v>
      </c>
      <c r="BB219" t="str">
        <f t="shared" si="101"/>
        <v>25</v>
      </c>
      <c r="BC219" t="str">
        <f t="shared" si="102"/>
        <v>09</v>
      </c>
      <c r="BD219">
        <f t="shared" si="103"/>
        <v>27</v>
      </c>
      <c r="BE219" t="str">
        <f t="shared" si="104"/>
        <v>N</v>
      </c>
      <c r="BF219" t="str">
        <f t="shared" si="106"/>
        <v>https://www.coreplan.io/app/ddh1-drilling/speewah-mining-speewah-fluorite-project-wa/plods/1665-250927N</v>
      </c>
      <c r="BG219" t="str">
        <f t="shared" si="105"/>
        <v>2025-09</v>
      </c>
    </row>
    <row r="220" spans="1:59">
      <c r="A220" s="510" t="str">
        <f>VLOOKUP(F220,'Tenement Lookup'!A:BH,60,FALSE)</f>
        <v>M 80/269</v>
      </c>
      <c r="B220" t="s">
        <v>507</v>
      </c>
      <c r="C220" s="151" t="s">
        <v>508</v>
      </c>
      <c r="D220" s="1">
        <f t="shared" si="91"/>
        <v>45928.21</v>
      </c>
      <c r="E220" t="s">
        <v>171</v>
      </c>
      <c r="F220" s="501" t="s">
        <v>552</v>
      </c>
      <c r="H220" s="4" t="s">
        <v>392</v>
      </c>
      <c r="I220" s="4">
        <v>4</v>
      </c>
      <c r="J220" s="122">
        <f t="shared" si="87"/>
        <v>520</v>
      </c>
      <c r="K220" s="21">
        <v>18.5</v>
      </c>
      <c r="L220" s="28">
        <v>45.5</v>
      </c>
      <c r="M220" s="22">
        <f t="shared" si="95"/>
        <v>27</v>
      </c>
      <c r="N220" s="30"/>
      <c r="O220" s="26"/>
      <c r="P220" s="31">
        <f t="shared" si="110"/>
        <v>0</v>
      </c>
      <c r="Q220" s="21"/>
      <c r="R220" s="28"/>
      <c r="S220" s="22">
        <f t="shared" ref="S220:S278" si="114">IF(ISBLANK(Q220),,R220-Q220)</f>
        <v>0</v>
      </c>
      <c r="T220" s="30"/>
      <c r="U220" s="26"/>
      <c r="V220" s="31">
        <f t="shared" si="112"/>
        <v>0</v>
      </c>
      <c r="W220" s="26">
        <f t="shared" si="108"/>
        <v>27</v>
      </c>
      <c r="X220" s="36">
        <f t="shared" si="109"/>
        <v>4725</v>
      </c>
      <c r="Y220" s="301">
        <f t="shared" ref="Y220:Y251" si="115">IF(F220&lt;&gt;"",IF(X220&lt;(AE220*$AE$2),(AE220*$AE$2),X220),"")</f>
        <v>4725</v>
      </c>
      <c r="Z220" s="38">
        <v>1</v>
      </c>
      <c r="AA220" s="38">
        <v>1</v>
      </c>
      <c r="AB220" s="38">
        <v>1</v>
      </c>
      <c r="AC220" s="38">
        <v>13122</v>
      </c>
      <c r="AD220" s="157">
        <f t="shared" si="92"/>
        <v>750</v>
      </c>
      <c r="AE220" s="29">
        <v>9.5</v>
      </c>
      <c r="AF220" s="29">
        <v>1</v>
      </c>
      <c r="AG220" s="40"/>
      <c r="AH220" s="44">
        <v>1</v>
      </c>
      <c r="AI220" s="13"/>
      <c r="AJ220" s="304"/>
      <c r="AK220" s="45">
        <v>0.5</v>
      </c>
      <c r="AL220" s="23"/>
      <c r="AM220" s="138" t="s">
        <v>275</v>
      </c>
      <c r="AN220" s="25">
        <f t="shared" ca="1" si="107"/>
        <v>12</v>
      </c>
      <c r="AO220" s="50"/>
      <c r="AP220" s="53">
        <f t="shared" si="113"/>
        <v>820</v>
      </c>
      <c r="AQ220" s="322">
        <v>928.42</v>
      </c>
      <c r="AR220" s="324">
        <f t="shared" si="93"/>
        <v>408.41999999999996</v>
      </c>
      <c r="AS220" s="375">
        <f t="shared" si="111"/>
        <v>7223.42</v>
      </c>
      <c r="AT220" s="375">
        <v>7223.42</v>
      </c>
      <c r="AU220" s="344">
        <f t="shared" si="98"/>
        <v>7.1988061056950867E-2</v>
      </c>
      <c r="AV220" s="18">
        <f>IF(F219="","",(SUM($AS$6:AS220)))</f>
        <v>1236413.8799999997</v>
      </c>
      <c r="AW220" s="18">
        <f>IFERROR(IF(AS220&lt;&gt;"", SUMIFS($AS$10:AS220, $BG$10:BG220, BG220), ""),"")</f>
        <v>247896.79000000004</v>
      </c>
      <c r="AX220" s="123">
        <f t="shared" ca="1" si="99"/>
        <v>267.53407407407406</v>
      </c>
      <c r="AY220" s="124" t="str">
        <f t="shared" ca="1" si="100"/>
        <v>LINK</v>
      </c>
      <c r="AZ220" t="s">
        <v>554</v>
      </c>
      <c r="BA220" s="125" t="s">
        <v>332</v>
      </c>
      <c r="BB220" t="str">
        <f t="shared" si="101"/>
        <v>25</v>
      </c>
      <c r="BC220" t="str">
        <f t="shared" si="102"/>
        <v>09</v>
      </c>
      <c r="BD220">
        <f t="shared" si="103"/>
        <v>28</v>
      </c>
      <c r="BE220" t="str">
        <f t="shared" si="104"/>
        <v>D</v>
      </c>
      <c r="BF220" t="str">
        <f t="shared" si="106"/>
        <v>https://www.coreplan.io/app/ddh1-drilling/speewah-mining-speewah-fluorite-project-wa/plods/1665-250928D</v>
      </c>
      <c r="BG220" t="str">
        <f t="shared" si="105"/>
        <v>2025-09</v>
      </c>
    </row>
    <row r="221" spans="1:59">
      <c r="A221" s="510" t="str">
        <f>VLOOKUP(F221,'Tenement Lookup'!A:BH,60,FALSE)</f>
        <v>M 80/269</v>
      </c>
      <c r="B221" t="s">
        <v>507</v>
      </c>
      <c r="C221" s="151" t="s">
        <v>508</v>
      </c>
      <c r="D221" s="1">
        <f t="shared" si="91"/>
        <v>45928.71</v>
      </c>
      <c r="E221" t="s">
        <v>172</v>
      </c>
      <c r="F221" s="501" t="s">
        <v>552</v>
      </c>
      <c r="H221" s="4"/>
      <c r="I221" s="4"/>
      <c r="J221" s="122" t="str">
        <f t="shared" si="87"/>
        <v/>
      </c>
      <c r="K221" s="21"/>
      <c r="L221" s="28"/>
      <c r="M221" s="22">
        <f t="shared" si="95"/>
        <v>0</v>
      </c>
      <c r="N221" s="30"/>
      <c r="O221" s="26"/>
      <c r="P221" s="31">
        <f t="shared" si="110"/>
        <v>0</v>
      </c>
      <c r="Q221" s="21"/>
      <c r="R221" s="28"/>
      <c r="S221" s="22">
        <f t="shared" si="114"/>
        <v>0</v>
      </c>
      <c r="T221" s="30"/>
      <c r="U221" s="26"/>
      <c r="V221" s="31">
        <f t="shared" si="112"/>
        <v>0</v>
      </c>
      <c r="W221" s="26">
        <f t="shared" si="108"/>
        <v>0</v>
      </c>
      <c r="X221" s="36">
        <f t="shared" si="109"/>
        <v>0</v>
      </c>
      <c r="Y221" s="301">
        <f t="shared" si="115"/>
        <v>0</v>
      </c>
      <c r="Z221" s="38"/>
      <c r="AA221" s="38"/>
      <c r="AB221" s="38"/>
      <c r="AC221" s="38"/>
      <c r="AD221" s="157">
        <f t="shared" si="92"/>
        <v>0</v>
      </c>
      <c r="AE221" s="29"/>
      <c r="AF221" s="29"/>
      <c r="AG221" s="40"/>
      <c r="AH221" s="44"/>
      <c r="AI221" s="13"/>
      <c r="AJ221" s="304"/>
      <c r="AK221" s="45"/>
      <c r="AL221" s="23"/>
      <c r="AM221" s="138"/>
      <c r="AN221" s="25">
        <f t="shared" ca="1" si="107"/>
        <v>0</v>
      </c>
      <c r="AO221" s="50"/>
      <c r="AP221" s="53">
        <f t="shared" si="113"/>
        <v>0</v>
      </c>
      <c r="AQ221" s="322"/>
      <c r="AR221" s="324" t="str">
        <f t="shared" si="93"/>
        <v/>
      </c>
      <c r="AS221" s="375">
        <f t="shared" si="111"/>
        <v>0</v>
      </c>
      <c r="AT221" s="375"/>
      <c r="AU221" s="344" t="str">
        <f t="shared" si="98"/>
        <v/>
      </c>
      <c r="AV221" s="18">
        <f>IF(F220="","",(SUM($AS$6:AS221)))</f>
        <v>1236413.8799999997</v>
      </c>
      <c r="AW221" s="18">
        <f>IFERROR(IF(AS221&lt;&gt;"", SUMIFS($AS$10:AS221, $BG$10:BG221, BG221), ""),"")</f>
        <v>247896.79000000004</v>
      </c>
      <c r="AX221" s="123" t="str">
        <f t="shared" ca="1" si="99"/>
        <v>no drilling completed</v>
      </c>
      <c r="AY221" s="124" t="str">
        <f t="shared" ca="1" si="100"/>
        <v>LINK</v>
      </c>
      <c r="BA221" s="125" t="s">
        <v>332</v>
      </c>
      <c r="BB221" t="str">
        <f t="shared" si="101"/>
        <v>25</v>
      </c>
      <c r="BC221" t="str">
        <f t="shared" si="102"/>
        <v>09</v>
      </c>
      <c r="BD221">
        <f t="shared" si="103"/>
        <v>28</v>
      </c>
      <c r="BE221" t="str">
        <f t="shared" si="104"/>
        <v>N</v>
      </c>
      <c r="BF221" t="str">
        <f t="shared" si="106"/>
        <v>https://www.coreplan.io/app/ddh1-drilling/speewah-mining-speewah-fluorite-project-wa/plods/1665-250928N</v>
      </c>
      <c r="BG221" t="str">
        <f t="shared" si="105"/>
        <v>2025-09</v>
      </c>
    </row>
    <row r="222" spans="1:59">
      <c r="A222" s="510" t="str">
        <f>VLOOKUP(F222,'Tenement Lookup'!A:BH,60,FALSE)</f>
        <v>M 80/269</v>
      </c>
      <c r="B222" t="s">
        <v>507</v>
      </c>
      <c r="C222" s="151" t="s">
        <v>508</v>
      </c>
      <c r="D222" s="1">
        <f t="shared" si="91"/>
        <v>45929.21</v>
      </c>
      <c r="E222" t="s">
        <v>171</v>
      </c>
      <c r="F222" s="501" t="s">
        <v>552</v>
      </c>
      <c r="H222" s="4" t="s">
        <v>392</v>
      </c>
      <c r="I222" s="4">
        <v>4</v>
      </c>
      <c r="J222" s="122">
        <f t="shared" si="87"/>
        <v>520</v>
      </c>
      <c r="K222" s="21">
        <v>45.5</v>
      </c>
      <c r="L222" s="28">
        <v>63.5</v>
      </c>
      <c r="M222" s="22">
        <f t="shared" si="95"/>
        <v>18</v>
      </c>
      <c r="N222" s="30"/>
      <c r="O222" s="26"/>
      <c r="P222" s="31">
        <f t="shared" si="110"/>
        <v>0</v>
      </c>
      <c r="Q222" s="21"/>
      <c r="R222" s="28"/>
      <c r="S222" s="22">
        <f t="shared" si="114"/>
        <v>0</v>
      </c>
      <c r="T222" s="30"/>
      <c r="U222" s="26"/>
      <c r="V222" s="31">
        <f t="shared" si="112"/>
        <v>0</v>
      </c>
      <c r="W222" s="26">
        <f t="shared" si="108"/>
        <v>18</v>
      </c>
      <c r="X222" s="36">
        <f t="shared" si="109"/>
        <v>3150</v>
      </c>
      <c r="Y222" s="301">
        <f t="shared" si="115"/>
        <v>4370</v>
      </c>
      <c r="Z222" s="38">
        <v>1</v>
      </c>
      <c r="AA222" s="38">
        <v>1</v>
      </c>
      <c r="AB222" s="38">
        <v>1</v>
      </c>
      <c r="AC222" s="38">
        <v>13122</v>
      </c>
      <c r="AD222" s="157">
        <f t="shared" si="92"/>
        <v>750</v>
      </c>
      <c r="AE222" s="29">
        <v>9.5</v>
      </c>
      <c r="AF222" s="29">
        <v>1.5</v>
      </c>
      <c r="AG222" s="40"/>
      <c r="AH222" s="44">
        <v>1</v>
      </c>
      <c r="AI222" s="13"/>
      <c r="AJ222" s="304"/>
      <c r="AK222" s="45"/>
      <c r="AL222" s="23"/>
      <c r="AM222" s="138"/>
      <c r="AN222" s="25">
        <f t="shared" ca="1" si="107"/>
        <v>12</v>
      </c>
      <c r="AO222" s="50"/>
      <c r="AP222" s="53">
        <f t="shared" si="113"/>
        <v>1050</v>
      </c>
      <c r="AQ222" s="322">
        <v>628.92999999999995</v>
      </c>
      <c r="AR222" s="324">
        <f t="shared" si="93"/>
        <v>108.92999999999995</v>
      </c>
      <c r="AS222" s="375">
        <f t="shared" si="111"/>
        <v>6798.93</v>
      </c>
      <c r="AT222" s="375">
        <v>6798.93</v>
      </c>
      <c r="AU222" s="344">
        <f t="shared" si="98"/>
        <v>7.6482623000972208E-2</v>
      </c>
      <c r="AV222" s="18">
        <f>IF(F221="","",(SUM($AS$6:AS222)))</f>
        <v>1243212.8099999996</v>
      </c>
      <c r="AW222" s="18">
        <f>IFERROR(IF(AS222&lt;&gt;"", SUMIFS($AS$10:AS222, $BG$10:BG222, BG222), ""),"")</f>
        <v>254695.72000000003</v>
      </c>
      <c r="AX222" s="123">
        <f t="shared" ca="1" si="99"/>
        <v>377.71833333333336</v>
      </c>
      <c r="AY222" s="124" t="str">
        <f t="shared" ca="1" si="100"/>
        <v>LINK</v>
      </c>
      <c r="AZ222" t="s">
        <v>555</v>
      </c>
      <c r="BA222" s="125" t="s">
        <v>332</v>
      </c>
      <c r="BB222" t="str">
        <f t="shared" si="101"/>
        <v>25</v>
      </c>
      <c r="BC222" t="str">
        <f t="shared" si="102"/>
        <v>09</v>
      </c>
      <c r="BD222">
        <f t="shared" si="103"/>
        <v>29</v>
      </c>
      <c r="BE222" t="str">
        <f t="shared" si="104"/>
        <v>D</v>
      </c>
      <c r="BF222" t="str">
        <f t="shared" si="106"/>
        <v>https://www.coreplan.io/app/ddh1-drilling/speewah-mining-speewah-fluorite-project-wa/plods/1665-250929D</v>
      </c>
      <c r="BG222" t="str">
        <f t="shared" si="105"/>
        <v>2025-09</v>
      </c>
    </row>
    <row r="223" spans="1:59">
      <c r="A223" s="510" t="str">
        <f>VLOOKUP(F223,'Tenement Lookup'!A:BH,60,FALSE)</f>
        <v>M 80/269</v>
      </c>
      <c r="B223" t="s">
        <v>507</v>
      </c>
      <c r="C223" s="151" t="s">
        <v>508</v>
      </c>
      <c r="D223" s="1">
        <f t="shared" si="91"/>
        <v>45929.71</v>
      </c>
      <c r="E223" t="s">
        <v>172</v>
      </c>
      <c r="F223" s="501" t="s">
        <v>552</v>
      </c>
      <c r="H223" s="4" t="s">
        <v>394</v>
      </c>
      <c r="I223" s="4">
        <v>3</v>
      </c>
      <c r="J223" s="122">
        <f t="shared" si="87"/>
        <v>390</v>
      </c>
      <c r="K223" s="21">
        <v>63.5</v>
      </c>
      <c r="L223" s="28">
        <v>93.5</v>
      </c>
      <c r="M223" s="22">
        <f t="shared" si="95"/>
        <v>30</v>
      </c>
      <c r="N223" s="30"/>
      <c r="O223" s="26"/>
      <c r="P223" s="31">
        <f t="shared" si="110"/>
        <v>0</v>
      </c>
      <c r="Q223" s="21"/>
      <c r="R223" s="28"/>
      <c r="S223" s="22">
        <f t="shared" si="114"/>
        <v>0</v>
      </c>
      <c r="T223" s="30"/>
      <c r="U223" s="26"/>
      <c r="V223" s="31">
        <f t="shared" si="112"/>
        <v>0</v>
      </c>
      <c r="W223" s="26">
        <f t="shared" si="108"/>
        <v>30</v>
      </c>
      <c r="X223" s="36">
        <f t="shared" si="109"/>
        <v>5250</v>
      </c>
      <c r="Y223" s="301">
        <f t="shared" si="115"/>
        <v>5250</v>
      </c>
      <c r="Z223" s="38"/>
      <c r="AA223" s="38"/>
      <c r="AB223" s="38"/>
      <c r="AC223" s="38"/>
      <c r="AD223" s="157">
        <f t="shared" si="92"/>
        <v>0</v>
      </c>
      <c r="AE223" s="29">
        <v>10</v>
      </c>
      <c r="AF223" s="29">
        <v>1</v>
      </c>
      <c r="AG223" s="40"/>
      <c r="AH223" s="44">
        <v>1</v>
      </c>
      <c r="AI223" s="13"/>
      <c r="AJ223" s="304"/>
      <c r="AK223" s="45"/>
      <c r="AL223" s="23"/>
      <c r="AM223" s="138"/>
      <c r="AN223" s="25">
        <f t="shared" ca="1" si="107"/>
        <v>12</v>
      </c>
      <c r="AO223" s="50"/>
      <c r="AP223" s="53">
        <f t="shared" si="113"/>
        <v>820</v>
      </c>
      <c r="AQ223" s="322">
        <v>507.93</v>
      </c>
      <c r="AR223" s="324">
        <f t="shared" si="93"/>
        <v>117.93</v>
      </c>
      <c r="AS223" s="375">
        <f t="shared" si="111"/>
        <v>6577.93</v>
      </c>
      <c r="AT223" s="375">
        <v>6577.93</v>
      </c>
      <c r="AU223" s="344">
        <f t="shared" si="98"/>
        <v>5.9289168477013279E-2</v>
      </c>
      <c r="AV223" s="18">
        <f>IF(F222="","",(SUM($AS$6:AS223)))</f>
        <v>1249790.7399999995</v>
      </c>
      <c r="AW223" s="18">
        <f>IFERROR(IF(AS223&lt;&gt;"", SUMIFS($AS$10:AS223, $BG$10:BG223, BG223), ""),"")</f>
        <v>261273.65000000002</v>
      </c>
      <c r="AX223" s="123">
        <f t="shared" ca="1" si="99"/>
        <v>219.26433333333335</v>
      </c>
      <c r="AY223" s="124" t="str">
        <f t="shared" ca="1" si="100"/>
        <v>LINK</v>
      </c>
      <c r="AZ223" t="s">
        <v>556</v>
      </c>
      <c r="BA223" s="125" t="s">
        <v>332</v>
      </c>
      <c r="BB223" t="str">
        <f t="shared" si="101"/>
        <v>25</v>
      </c>
      <c r="BC223" t="str">
        <f t="shared" si="102"/>
        <v>09</v>
      </c>
      <c r="BD223">
        <f t="shared" si="103"/>
        <v>29</v>
      </c>
      <c r="BE223" t="str">
        <f t="shared" si="104"/>
        <v>N</v>
      </c>
      <c r="BF223" t="str">
        <f t="shared" si="106"/>
        <v>https://www.coreplan.io/app/ddh1-drilling/speewah-mining-speewah-fluorite-project-wa/plods/1665-250929N</v>
      </c>
      <c r="BG223" t="str">
        <f t="shared" si="105"/>
        <v>2025-09</v>
      </c>
    </row>
    <row r="224" spans="1:59">
      <c r="A224" s="510" t="str">
        <f>VLOOKUP(F224,'Tenement Lookup'!A:BH,60,FALSE)</f>
        <v>M 80/269</v>
      </c>
      <c r="B224" t="s">
        <v>507</v>
      </c>
      <c r="C224" s="151" t="s">
        <v>508</v>
      </c>
      <c r="D224" s="1">
        <f t="shared" si="91"/>
        <v>45930.21</v>
      </c>
      <c r="E224" t="s">
        <v>171</v>
      </c>
      <c r="F224" s="501" t="s">
        <v>552</v>
      </c>
      <c r="G224" s="8" t="s">
        <v>557</v>
      </c>
      <c r="H224" s="4" t="s">
        <v>392</v>
      </c>
      <c r="I224" s="4">
        <v>4</v>
      </c>
      <c r="J224" s="122">
        <f t="shared" si="87"/>
        <v>520</v>
      </c>
      <c r="K224" s="21">
        <v>93.5</v>
      </c>
      <c r="L224" s="28">
        <v>100</v>
      </c>
      <c r="M224" s="22">
        <f t="shared" si="95"/>
        <v>6.5</v>
      </c>
      <c r="N224" s="30"/>
      <c r="O224" s="26"/>
      <c r="P224" s="31">
        <f t="shared" si="110"/>
        <v>0</v>
      </c>
      <c r="Q224" s="21">
        <v>0</v>
      </c>
      <c r="R224" s="28">
        <v>5.9</v>
      </c>
      <c r="S224" s="22">
        <f t="shared" si="114"/>
        <v>5.9</v>
      </c>
      <c r="T224" s="30"/>
      <c r="U224" s="26"/>
      <c r="V224" s="31">
        <f t="shared" si="112"/>
        <v>0</v>
      </c>
      <c r="W224" s="26">
        <f t="shared" si="108"/>
        <v>12.4</v>
      </c>
      <c r="X224" s="36">
        <f t="shared" si="109"/>
        <v>2170</v>
      </c>
      <c r="Y224" s="301">
        <f t="shared" si="115"/>
        <v>2170</v>
      </c>
      <c r="Z224" s="38">
        <v>1</v>
      </c>
      <c r="AA224" s="38">
        <v>1</v>
      </c>
      <c r="AB224" s="38">
        <v>1</v>
      </c>
      <c r="AC224" s="38">
        <v>13122</v>
      </c>
      <c r="AD224" s="157">
        <f t="shared" si="92"/>
        <v>750</v>
      </c>
      <c r="AE224" s="29">
        <v>3.25</v>
      </c>
      <c r="AF224" s="29">
        <v>7.75</v>
      </c>
      <c r="AG224" s="40"/>
      <c r="AH224" s="44">
        <v>1</v>
      </c>
      <c r="AI224" s="13"/>
      <c r="AJ224" s="304"/>
      <c r="AK224" s="45"/>
      <c r="AL224" s="23"/>
      <c r="AM224" s="138"/>
      <c r="AN224" s="25">
        <f t="shared" ca="1" si="107"/>
        <v>12</v>
      </c>
      <c r="AO224" s="50"/>
      <c r="AP224" s="53">
        <f t="shared" si="113"/>
        <v>3925</v>
      </c>
      <c r="AQ224" s="322">
        <v>1111.49</v>
      </c>
      <c r="AR224" s="324">
        <f t="shared" si="93"/>
        <v>591.49</v>
      </c>
      <c r="AS224" s="375">
        <f t="shared" si="111"/>
        <v>7956.49</v>
      </c>
      <c r="AT224" s="375">
        <v>7956.49</v>
      </c>
      <c r="AU224" s="344">
        <f t="shared" si="98"/>
        <v>6.5355451964371231E-2</v>
      </c>
      <c r="AV224" s="18">
        <f>IF(F223="","",(SUM($AS$6:AS224)))</f>
        <v>1257747.2299999995</v>
      </c>
      <c r="AW224" s="18">
        <f>IFERROR(IF(AS224&lt;&gt;"", SUMIFS($AS$10:AS224, $BG$10:BG224, BG224), ""),"")</f>
        <v>269230.14</v>
      </c>
      <c r="AX224" s="123">
        <f t="shared" ca="1" si="99"/>
        <v>641.65241935483868</v>
      </c>
      <c r="AY224" s="124" t="str">
        <f t="shared" ca="1" si="100"/>
        <v>LINK</v>
      </c>
      <c r="AZ224" t="s">
        <v>558</v>
      </c>
      <c r="BA224" s="125" t="s">
        <v>332</v>
      </c>
      <c r="BB224" t="str">
        <f t="shared" si="101"/>
        <v>25</v>
      </c>
      <c r="BC224" t="str">
        <f t="shared" si="102"/>
        <v>09</v>
      </c>
      <c r="BD224">
        <f t="shared" si="103"/>
        <v>30</v>
      </c>
      <c r="BE224" t="str">
        <f t="shared" si="104"/>
        <v>D</v>
      </c>
      <c r="BF224" t="str">
        <f t="shared" si="106"/>
        <v>https://www.coreplan.io/app/ddh1-drilling/speewah-mining-speewah-fluorite-project-wa/plods/1665-250930D</v>
      </c>
      <c r="BG224" t="str">
        <f t="shared" si="105"/>
        <v>2025-09</v>
      </c>
    </row>
    <row r="225" spans="1:59">
      <c r="A225" s="510" t="str">
        <f>VLOOKUP(F225,'Tenement Lookup'!A:BH,60,FALSE)</f>
        <v>M 80/269</v>
      </c>
      <c r="B225" t="s">
        <v>507</v>
      </c>
      <c r="C225" s="151" t="s">
        <v>508</v>
      </c>
      <c r="D225" s="1">
        <f t="shared" si="91"/>
        <v>45930.71</v>
      </c>
      <c r="E225" t="s">
        <v>172</v>
      </c>
      <c r="F225" s="501" t="s">
        <v>557</v>
      </c>
      <c r="H225" s="4" t="s">
        <v>394</v>
      </c>
      <c r="I225" s="4">
        <v>3</v>
      </c>
      <c r="J225" s="122">
        <f t="shared" si="87"/>
        <v>390</v>
      </c>
      <c r="K225" s="21">
        <v>5.9</v>
      </c>
      <c r="L225" s="28">
        <v>41.9</v>
      </c>
      <c r="M225" s="22">
        <f t="shared" si="95"/>
        <v>36</v>
      </c>
      <c r="N225" s="30"/>
      <c r="O225" s="26"/>
      <c r="P225" s="31">
        <f t="shared" si="110"/>
        <v>0</v>
      </c>
      <c r="Q225" s="21"/>
      <c r="R225" s="28"/>
      <c r="S225" s="22">
        <f t="shared" si="114"/>
        <v>0</v>
      </c>
      <c r="T225" s="30"/>
      <c r="U225" s="26"/>
      <c r="V225" s="31">
        <f t="shared" si="112"/>
        <v>0</v>
      </c>
      <c r="W225" s="26">
        <f t="shared" si="108"/>
        <v>36</v>
      </c>
      <c r="X225" s="36">
        <f t="shared" si="109"/>
        <v>6300</v>
      </c>
      <c r="Y225" s="301">
        <f t="shared" si="115"/>
        <v>6300</v>
      </c>
      <c r="Z225" s="38"/>
      <c r="AA225" s="38"/>
      <c r="AB225" s="38"/>
      <c r="AC225" s="38"/>
      <c r="AD225" s="157">
        <f t="shared" si="92"/>
        <v>0</v>
      </c>
      <c r="AE225" s="29">
        <v>9.5</v>
      </c>
      <c r="AF225" s="29">
        <v>1.5</v>
      </c>
      <c r="AG225" s="40"/>
      <c r="AH225" s="44">
        <v>1</v>
      </c>
      <c r="AI225" s="13"/>
      <c r="AJ225" s="304"/>
      <c r="AK225" s="45"/>
      <c r="AL225" s="23"/>
      <c r="AM225" s="138"/>
      <c r="AN225" s="25">
        <f t="shared" ca="1" si="107"/>
        <v>12</v>
      </c>
      <c r="AO225" s="50"/>
      <c r="AP225" s="53">
        <f t="shared" si="113"/>
        <v>1050</v>
      </c>
      <c r="AQ225" s="322">
        <v>12130.84</v>
      </c>
      <c r="AR225" s="324">
        <f t="shared" si="93"/>
        <v>11740.84</v>
      </c>
      <c r="AS225" s="375">
        <f t="shared" si="111"/>
        <v>19480.84</v>
      </c>
      <c r="AT225" s="375">
        <v>19480.84</v>
      </c>
      <c r="AU225" s="344">
        <f t="shared" si="98"/>
        <v>2.0019670609686235E-2</v>
      </c>
      <c r="AV225" s="18">
        <f>IF(F224="","",(SUM($AS$6:AS225)))</f>
        <v>1277228.0699999996</v>
      </c>
      <c r="AW225" s="18">
        <f>IFERROR(IF(AS225&lt;&gt;"", SUMIFS($AS$10:AS225, $BG$10:BG225, BG225), ""),"")</f>
        <v>288710.98000000004</v>
      </c>
      <c r="AX225" s="123">
        <f t="shared" ca="1" si="99"/>
        <v>541.1344444444444</v>
      </c>
      <c r="AY225" s="124" t="str">
        <f t="shared" ca="1" si="100"/>
        <v>LINK</v>
      </c>
      <c r="AZ225" t="s">
        <v>559</v>
      </c>
      <c r="BA225" s="125" t="s">
        <v>332</v>
      </c>
      <c r="BB225" t="str">
        <f t="shared" si="101"/>
        <v>25</v>
      </c>
      <c r="BC225" t="str">
        <f t="shared" si="102"/>
        <v>09</v>
      </c>
      <c r="BD225">
        <f t="shared" si="103"/>
        <v>30</v>
      </c>
      <c r="BE225" t="str">
        <f t="shared" si="104"/>
        <v>N</v>
      </c>
      <c r="BF225" t="str">
        <f t="shared" si="106"/>
        <v>https://www.coreplan.io/app/ddh1-drilling/speewah-mining-speewah-fluorite-project-wa/plods/1665-250930N</v>
      </c>
      <c r="BG225" t="str">
        <f t="shared" si="105"/>
        <v>2025-09</v>
      </c>
    </row>
    <row r="226" spans="1:59">
      <c r="A226" s="510" t="str">
        <f>VLOOKUP(F226,'Tenement Lookup'!A:BH,60,FALSE)</f>
        <v>M 80/269</v>
      </c>
      <c r="B226" t="s">
        <v>507</v>
      </c>
      <c r="C226" s="151" t="s">
        <v>508</v>
      </c>
      <c r="D226" s="1">
        <f t="shared" si="91"/>
        <v>45931.21</v>
      </c>
      <c r="E226" t="s">
        <v>171</v>
      </c>
      <c r="F226" s="501" t="s">
        <v>557</v>
      </c>
      <c r="H226" s="4" t="s">
        <v>392</v>
      </c>
      <c r="I226" s="4">
        <v>4</v>
      </c>
      <c r="J226" s="122">
        <f t="shared" si="87"/>
        <v>520</v>
      </c>
      <c r="K226" s="21">
        <v>41.9</v>
      </c>
      <c r="L226" s="28">
        <v>53.6</v>
      </c>
      <c r="M226" s="22">
        <f t="shared" si="95"/>
        <v>11.700000000000003</v>
      </c>
      <c r="N226" s="30"/>
      <c r="O226" s="26"/>
      <c r="P226" s="31">
        <f t="shared" si="110"/>
        <v>0</v>
      </c>
      <c r="Q226" s="21"/>
      <c r="R226" s="28"/>
      <c r="S226" s="22">
        <f t="shared" si="114"/>
        <v>0</v>
      </c>
      <c r="T226" s="30"/>
      <c r="U226" s="26"/>
      <c r="V226" s="31">
        <f t="shared" si="112"/>
        <v>0</v>
      </c>
      <c r="W226" s="26">
        <f t="shared" si="108"/>
        <v>11.700000000000003</v>
      </c>
      <c r="X226" s="36">
        <f t="shared" si="109"/>
        <v>2047.5000000000005</v>
      </c>
      <c r="Y226" s="301">
        <f t="shared" si="115"/>
        <v>4600</v>
      </c>
      <c r="Z226" s="38">
        <v>1</v>
      </c>
      <c r="AA226" s="38">
        <v>1</v>
      </c>
      <c r="AB226" s="38">
        <v>1</v>
      </c>
      <c r="AC226" s="38">
        <v>13122</v>
      </c>
      <c r="AD226" s="157">
        <f t="shared" si="92"/>
        <v>750</v>
      </c>
      <c r="AE226" s="29">
        <v>10</v>
      </c>
      <c r="AF226" s="29">
        <v>1</v>
      </c>
      <c r="AG226" s="40"/>
      <c r="AH226" s="44">
        <v>1</v>
      </c>
      <c r="AI226" s="13"/>
      <c r="AJ226" s="304"/>
      <c r="AK226" s="45"/>
      <c r="AL226" s="23"/>
      <c r="AM226" s="138"/>
      <c r="AN226" s="25">
        <f t="shared" ca="1" si="107"/>
        <v>12</v>
      </c>
      <c r="AO226" s="50"/>
      <c r="AP226" s="53">
        <f t="shared" si="113"/>
        <v>820</v>
      </c>
      <c r="AQ226" s="322">
        <v>520</v>
      </c>
      <c r="AR226" s="324">
        <f t="shared" si="93"/>
        <v>0</v>
      </c>
      <c r="AS226" s="375">
        <f t="shared" si="111"/>
        <v>6690</v>
      </c>
      <c r="AT226" s="375">
        <v>6690</v>
      </c>
      <c r="AU226" s="344">
        <f t="shared" si="98"/>
        <v>7.7727952167414044E-2</v>
      </c>
      <c r="AV226" s="18">
        <f>IF(F225="","",(SUM($AS$6:AS226)))</f>
        <v>1283918.0699999996</v>
      </c>
      <c r="AW226" s="18">
        <f>IFERROR(IF(AS226&lt;&gt;"", SUMIFS($AS$10:AS226, $BG$10:BG226, BG226), ""),"")</f>
        <v>6690</v>
      </c>
      <c r="AX226" s="123">
        <f t="shared" ca="1" si="99"/>
        <v>571.79487179487171</v>
      </c>
      <c r="AY226" s="124" t="str">
        <f t="shared" ca="1" si="100"/>
        <v>LINK</v>
      </c>
      <c r="AZ226" t="s">
        <v>560</v>
      </c>
      <c r="BA226" s="125" t="s">
        <v>332</v>
      </c>
      <c r="BB226" t="str">
        <f t="shared" si="101"/>
        <v>25</v>
      </c>
      <c r="BC226">
        <f t="shared" si="102"/>
        <v>10</v>
      </c>
      <c r="BD226" t="str">
        <f t="shared" si="103"/>
        <v>01</v>
      </c>
      <c r="BE226" t="str">
        <f t="shared" si="104"/>
        <v>D</v>
      </c>
      <c r="BF226" t="str">
        <f t="shared" si="106"/>
        <v>https://www.coreplan.io/app/ddh1-drilling/speewah-mining-speewah-fluorite-project-wa/plods/1665-251001D</v>
      </c>
      <c r="BG226" t="str">
        <f t="shared" si="105"/>
        <v>2025-10</v>
      </c>
    </row>
    <row r="227" spans="1:59">
      <c r="A227" s="510" t="str">
        <f>VLOOKUP(F227,'Tenement Lookup'!A:BH,60,FALSE)</f>
        <v>M 80/269</v>
      </c>
      <c r="B227" t="s">
        <v>507</v>
      </c>
      <c r="C227" s="151" t="s">
        <v>508</v>
      </c>
      <c r="D227" s="1">
        <f t="shared" si="91"/>
        <v>45931.71</v>
      </c>
      <c r="E227" t="s">
        <v>172</v>
      </c>
      <c r="F227" s="501" t="s">
        <v>557</v>
      </c>
      <c r="H227" s="4" t="s">
        <v>394</v>
      </c>
      <c r="I227" s="4">
        <v>3</v>
      </c>
      <c r="J227" s="122">
        <f t="shared" si="87"/>
        <v>390</v>
      </c>
      <c r="K227" s="21">
        <v>53.6</v>
      </c>
      <c r="L227" s="28">
        <v>73.099999999999994</v>
      </c>
      <c r="M227" s="22">
        <f t="shared" si="95"/>
        <v>19.499999999999993</v>
      </c>
      <c r="N227" s="30"/>
      <c r="O227" s="26"/>
      <c r="P227" s="31">
        <f t="shared" si="110"/>
        <v>0</v>
      </c>
      <c r="Q227" s="21"/>
      <c r="R227" s="28"/>
      <c r="S227" s="22">
        <f t="shared" si="114"/>
        <v>0</v>
      </c>
      <c r="T227" s="30"/>
      <c r="U227" s="26"/>
      <c r="V227" s="31">
        <f t="shared" si="112"/>
        <v>0</v>
      </c>
      <c r="W227" s="26">
        <f t="shared" si="108"/>
        <v>19.499999999999993</v>
      </c>
      <c r="X227" s="36">
        <f t="shared" si="109"/>
        <v>3412.4999999999986</v>
      </c>
      <c r="Y227" s="301">
        <f t="shared" si="115"/>
        <v>3910</v>
      </c>
      <c r="Z227" s="38"/>
      <c r="AA227" s="38"/>
      <c r="AB227" s="38"/>
      <c r="AC227" s="38"/>
      <c r="AD227" s="157">
        <f t="shared" si="92"/>
        <v>0</v>
      </c>
      <c r="AE227" s="29">
        <v>8.5</v>
      </c>
      <c r="AF227" s="29">
        <v>2.5</v>
      </c>
      <c r="AG227" s="40"/>
      <c r="AH227" s="44">
        <v>1</v>
      </c>
      <c r="AI227" s="13"/>
      <c r="AJ227" s="304"/>
      <c r="AK227" s="45"/>
      <c r="AL227" s="23"/>
      <c r="AM227" s="138"/>
      <c r="AN227" s="25">
        <f t="shared" ca="1" si="107"/>
        <v>12</v>
      </c>
      <c r="AO227" s="50"/>
      <c r="AP227" s="53">
        <f t="shared" si="113"/>
        <v>1510</v>
      </c>
      <c r="AQ227" s="322">
        <v>727.93</v>
      </c>
      <c r="AR227" s="324">
        <f t="shared" si="93"/>
        <v>337.92999999999995</v>
      </c>
      <c r="AS227" s="375">
        <f t="shared" si="111"/>
        <v>6147.93</v>
      </c>
      <c r="AT227" s="375">
        <v>6147.93</v>
      </c>
      <c r="AU227" s="344">
        <f t="shared" si="98"/>
        <v>6.3435985770820422E-2</v>
      </c>
      <c r="AV227" s="18">
        <f>IF(F226="","",(SUM($AS$6:AS227)))</f>
        <v>1290065.9999999995</v>
      </c>
      <c r="AW227" s="18">
        <f>IFERROR(IF(AS227&lt;&gt;"", SUMIFS($AS$10:AS227, $BG$10:BG227, BG227), ""),"")</f>
        <v>12837.93</v>
      </c>
      <c r="AX227" s="123">
        <f t="shared" ca="1" si="99"/>
        <v>315.27846153846167</v>
      </c>
      <c r="AY227" s="124" t="str">
        <f t="shared" ca="1" si="100"/>
        <v>LINK</v>
      </c>
      <c r="AZ227" t="s">
        <v>561</v>
      </c>
      <c r="BA227" s="125" t="s">
        <v>332</v>
      </c>
      <c r="BB227" t="str">
        <f t="shared" si="101"/>
        <v>25</v>
      </c>
      <c r="BC227">
        <f t="shared" si="102"/>
        <v>10</v>
      </c>
      <c r="BD227" t="str">
        <f t="shared" si="103"/>
        <v>01</v>
      </c>
      <c r="BE227" t="str">
        <f t="shared" si="104"/>
        <v>N</v>
      </c>
      <c r="BF227" t="str">
        <f t="shared" si="106"/>
        <v>https://www.coreplan.io/app/ddh1-drilling/speewah-mining-speewah-fluorite-project-wa/plods/1665-251001N</v>
      </c>
      <c r="BG227" t="str">
        <f t="shared" si="105"/>
        <v>2025-10</v>
      </c>
    </row>
    <row r="228" spans="1:59">
      <c r="A228" s="510" t="str">
        <f>VLOOKUP(F228,'Tenement Lookup'!A:BH,60,FALSE)</f>
        <v>M 80/269</v>
      </c>
      <c r="B228" t="s">
        <v>507</v>
      </c>
      <c r="C228" s="151" t="s">
        <v>508</v>
      </c>
      <c r="D228" s="1">
        <f t="shared" si="91"/>
        <v>45932.21</v>
      </c>
      <c r="E228" t="s">
        <v>171</v>
      </c>
      <c r="F228" s="501" t="s">
        <v>557</v>
      </c>
      <c r="H228" s="4" t="s">
        <v>392</v>
      </c>
      <c r="I228" s="4">
        <v>4</v>
      </c>
      <c r="J228" s="122">
        <f t="shared" si="87"/>
        <v>520</v>
      </c>
      <c r="K228" s="21">
        <v>73.099999999999994</v>
      </c>
      <c r="L228" s="28">
        <v>88.7</v>
      </c>
      <c r="M228" s="22">
        <f t="shared" si="95"/>
        <v>15.600000000000009</v>
      </c>
      <c r="N228" s="30"/>
      <c r="O228" s="26"/>
      <c r="P228" s="31">
        <f t="shared" si="110"/>
        <v>0</v>
      </c>
      <c r="Q228" s="21"/>
      <c r="R228" s="28"/>
      <c r="S228" s="22">
        <f t="shared" si="114"/>
        <v>0</v>
      </c>
      <c r="T228" s="30"/>
      <c r="U228" s="26"/>
      <c r="V228" s="31">
        <f t="shared" si="112"/>
        <v>0</v>
      </c>
      <c r="W228" s="26">
        <f t="shared" si="108"/>
        <v>15.600000000000009</v>
      </c>
      <c r="X228" s="36">
        <f t="shared" si="109"/>
        <v>2730.0000000000014</v>
      </c>
      <c r="Y228" s="301">
        <f t="shared" si="115"/>
        <v>4370</v>
      </c>
      <c r="Z228" s="38">
        <v>1</v>
      </c>
      <c r="AA228" s="38">
        <v>1</v>
      </c>
      <c r="AB228" s="38">
        <v>1</v>
      </c>
      <c r="AC228" s="38">
        <v>13122</v>
      </c>
      <c r="AD228" s="157">
        <f t="shared" si="92"/>
        <v>750</v>
      </c>
      <c r="AE228" s="29">
        <v>9.5</v>
      </c>
      <c r="AF228" s="29">
        <v>1.5</v>
      </c>
      <c r="AG228" s="40"/>
      <c r="AH228" s="44">
        <v>1</v>
      </c>
      <c r="AI228" s="13"/>
      <c r="AJ228" s="304"/>
      <c r="AK228" s="45"/>
      <c r="AL228" s="23"/>
      <c r="AM228" s="138"/>
      <c r="AN228" s="25">
        <f t="shared" ca="1" si="107"/>
        <v>12</v>
      </c>
      <c r="AO228" s="50"/>
      <c r="AP228" s="53">
        <f t="shared" si="113"/>
        <v>1050</v>
      </c>
      <c r="AQ228" s="322">
        <v>520</v>
      </c>
      <c r="AR228" s="324">
        <f t="shared" si="93"/>
        <v>0</v>
      </c>
      <c r="AS228" s="375">
        <f t="shared" si="111"/>
        <v>6690</v>
      </c>
      <c r="AT228" s="375">
        <v>6690</v>
      </c>
      <c r="AU228" s="344">
        <f t="shared" si="98"/>
        <v>7.7727952167414044E-2</v>
      </c>
      <c r="AV228" s="18">
        <f>IF(F227="","",(SUM($AS$6:AS228)))</f>
        <v>1296755.9999999995</v>
      </c>
      <c r="AW228" s="18">
        <f>IFERROR(IF(AS228&lt;&gt;"", SUMIFS($AS$10:AS228, $BG$10:BG228, BG228), ""),"")</f>
        <v>19527.93</v>
      </c>
      <c r="AX228" s="123">
        <f t="shared" ca="1" si="99"/>
        <v>428.84615384615358</v>
      </c>
      <c r="AY228" s="124" t="str">
        <f t="shared" ca="1" si="100"/>
        <v>LINK</v>
      </c>
      <c r="AZ228" t="s">
        <v>562</v>
      </c>
      <c r="BA228" s="125" t="s">
        <v>332</v>
      </c>
      <c r="BB228" t="str">
        <f t="shared" si="101"/>
        <v>25</v>
      </c>
      <c r="BC228">
        <f t="shared" si="102"/>
        <v>10</v>
      </c>
      <c r="BD228" t="str">
        <f t="shared" si="103"/>
        <v>02</v>
      </c>
      <c r="BE228" t="str">
        <f t="shared" si="104"/>
        <v>D</v>
      </c>
      <c r="BF228" t="str">
        <f t="shared" si="106"/>
        <v>https://www.coreplan.io/app/ddh1-drilling/speewah-mining-speewah-fluorite-project-wa/plods/1665-251002D</v>
      </c>
      <c r="BG228" t="str">
        <f t="shared" si="105"/>
        <v>2025-10</v>
      </c>
    </row>
    <row r="229" spans="1:59">
      <c r="A229" s="510" t="str">
        <f>VLOOKUP(F229,'Tenement Lookup'!A:BH,60,FALSE)</f>
        <v>M 80/269</v>
      </c>
      <c r="B229" t="s">
        <v>507</v>
      </c>
      <c r="C229" s="151" t="s">
        <v>508</v>
      </c>
      <c r="D229" s="1">
        <f t="shared" si="91"/>
        <v>45932.71</v>
      </c>
      <c r="E229" t="s">
        <v>172</v>
      </c>
      <c r="F229" s="501" t="s">
        <v>557</v>
      </c>
      <c r="H229" s="4" t="s">
        <v>394</v>
      </c>
      <c r="I229" s="4">
        <v>3</v>
      </c>
      <c r="J229" s="122">
        <f t="shared" si="87"/>
        <v>390</v>
      </c>
      <c r="K229" s="21">
        <v>88.7</v>
      </c>
      <c r="L229" s="28">
        <v>110.1</v>
      </c>
      <c r="M229" s="22">
        <f t="shared" si="95"/>
        <v>21.399999999999991</v>
      </c>
      <c r="N229" s="30"/>
      <c r="O229" s="26"/>
      <c r="P229" s="31">
        <f t="shared" si="110"/>
        <v>0</v>
      </c>
      <c r="Q229" s="21"/>
      <c r="R229" s="28"/>
      <c r="S229" s="22">
        <f t="shared" si="114"/>
        <v>0</v>
      </c>
      <c r="T229" s="30"/>
      <c r="U229" s="26"/>
      <c r="V229" s="31">
        <f t="shared" si="112"/>
        <v>0</v>
      </c>
      <c r="W229" s="26">
        <f t="shared" si="108"/>
        <v>21.399999999999991</v>
      </c>
      <c r="X229" s="36">
        <f t="shared" si="109"/>
        <v>3744.9999999999986</v>
      </c>
      <c r="Y229" s="301">
        <f t="shared" si="115"/>
        <v>4600</v>
      </c>
      <c r="Z229" s="38"/>
      <c r="AA229" s="38"/>
      <c r="AB229" s="38"/>
      <c r="AC229" s="38"/>
      <c r="AD229" s="157">
        <f t="shared" si="92"/>
        <v>0</v>
      </c>
      <c r="AE229" s="29">
        <v>10</v>
      </c>
      <c r="AF229" s="29">
        <v>1</v>
      </c>
      <c r="AG229" s="40"/>
      <c r="AH229" s="44">
        <v>1</v>
      </c>
      <c r="AI229" s="13"/>
      <c r="AJ229" s="304"/>
      <c r="AK229" s="45"/>
      <c r="AL229" s="23"/>
      <c r="AM229" s="138"/>
      <c r="AN229" s="25">
        <f t="shared" ca="1" si="107"/>
        <v>12</v>
      </c>
      <c r="AO229" s="50"/>
      <c r="AP229" s="53">
        <f t="shared" si="113"/>
        <v>820</v>
      </c>
      <c r="AQ229" s="322">
        <v>507.93</v>
      </c>
      <c r="AR229" s="324">
        <f t="shared" si="93"/>
        <v>117.93</v>
      </c>
      <c r="AS229" s="375">
        <f t="shared" si="111"/>
        <v>5927.93</v>
      </c>
      <c r="AT229" s="375">
        <v>5927.93</v>
      </c>
      <c r="AU229" s="344">
        <f t="shared" si="98"/>
        <v>6.5790250559638858E-2</v>
      </c>
      <c r="AV229" s="18">
        <f>IF(F228="","",(SUM($AS$6:AS229)))</f>
        <v>1302683.9299999995</v>
      </c>
      <c r="AW229" s="18">
        <f>IFERROR(IF(AS229&lt;&gt;"", SUMIFS($AS$10:AS229, $BG$10:BG229, BG229), ""),"")</f>
        <v>25455.86</v>
      </c>
      <c r="AX229" s="123">
        <f t="shared" ca="1" si="99"/>
        <v>277.00607476635525</v>
      </c>
      <c r="AY229" s="124" t="str">
        <f t="shared" ca="1" si="100"/>
        <v>LINK</v>
      </c>
      <c r="AZ229" t="s">
        <v>556</v>
      </c>
      <c r="BA229" s="125" t="s">
        <v>332</v>
      </c>
      <c r="BB229" t="str">
        <f t="shared" si="101"/>
        <v>25</v>
      </c>
      <c r="BC229">
        <f t="shared" si="102"/>
        <v>10</v>
      </c>
      <c r="BD229" t="str">
        <f t="shared" si="103"/>
        <v>02</v>
      </c>
      <c r="BE229" t="str">
        <f t="shared" si="104"/>
        <v>N</v>
      </c>
      <c r="BF229" t="str">
        <f t="shared" si="106"/>
        <v>https://www.coreplan.io/app/ddh1-drilling/speewah-mining-speewah-fluorite-project-wa/plods/1665-251002N</v>
      </c>
      <c r="BG229" t="str">
        <f t="shared" si="105"/>
        <v>2025-10</v>
      </c>
    </row>
    <row r="230" spans="1:59">
      <c r="A230" s="510" t="str">
        <f>VLOOKUP(F230,'Tenement Lookup'!A:BH,60,FALSE)</f>
        <v>M 80/269</v>
      </c>
      <c r="B230" t="s">
        <v>507</v>
      </c>
      <c r="C230" s="151" t="s">
        <v>508</v>
      </c>
      <c r="D230" s="1">
        <f t="shared" si="91"/>
        <v>45933.21</v>
      </c>
      <c r="E230" t="s">
        <v>171</v>
      </c>
      <c r="F230" s="501" t="s">
        <v>557</v>
      </c>
      <c r="H230" s="4" t="s">
        <v>392</v>
      </c>
      <c r="I230" s="4">
        <v>4</v>
      </c>
      <c r="J230" s="122">
        <f t="shared" si="87"/>
        <v>520</v>
      </c>
      <c r="K230" s="21">
        <v>110.1</v>
      </c>
      <c r="L230" s="28">
        <v>135.6</v>
      </c>
      <c r="M230" s="22">
        <f t="shared" si="95"/>
        <v>25.5</v>
      </c>
      <c r="N230" s="30"/>
      <c r="O230" s="26"/>
      <c r="P230" s="31">
        <f t="shared" si="110"/>
        <v>0</v>
      </c>
      <c r="Q230" s="21"/>
      <c r="R230" s="28"/>
      <c r="S230" s="22">
        <f t="shared" si="114"/>
        <v>0</v>
      </c>
      <c r="T230" s="30"/>
      <c r="U230" s="26"/>
      <c r="V230" s="31">
        <f t="shared" si="112"/>
        <v>0</v>
      </c>
      <c r="W230" s="26">
        <f t="shared" si="108"/>
        <v>25.5</v>
      </c>
      <c r="X230" s="36">
        <f t="shared" si="109"/>
        <v>4462.5</v>
      </c>
      <c r="Y230" s="301">
        <f t="shared" si="115"/>
        <v>4462.5</v>
      </c>
      <c r="Z230" s="38">
        <v>1</v>
      </c>
      <c r="AA230" s="38">
        <v>1</v>
      </c>
      <c r="AB230" s="38">
        <v>1</v>
      </c>
      <c r="AC230" s="38">
        <v>13122</v>
      </c>
      <c r="AD230" s="157">
        <f t="shared" si="92"/>
        <v>750</v>
      </c>
      <c r="AE230" s="29">
        <v>8.5</v>
      </c>
      <c r="AF230" s="29">
        <v>0.5</v>
      </c>
      <c r="AG230" s="40"/>
      <c r="AH230" s="44">
        <v>1</v>
      </c>
      <c r="AI230" s="13">
        <v>2</v>
      </c>
      <c r="AJ230" s="304" t="s">
        <v>563</v>
      </c>
      <c r="AK230" s="45"/>
      <c r="AL230" s="23"/>
      <c r="AM230" s="138"/>
      <c r="AN230" s="25">
        <f t="shared" ca="1" si="107"/>
        <v>12</v>
      </c>
      <c r="AO230" s="50"/>
      <c r="AP230" s="53">
        <f t="shared" si="113"/>
        <v>1310</v>
      </c>
      <c r="AQ230" s="322">
        <v>520</v>
      </c>
      <c r="AR230" s="324">
        <f t="shared" si="93"/>
        <v>0</v>
      </c>
      <c r="AS230" s="375">
        <f t="shared" si="111"/>
        <v>7042.5</v>
      </c>
      <c r="AT230" s="375">
        <v>7042.5</v>
      </c>
      <c r="AU230" s="344">
        <f t="shared" si="98"/>
        <v>7.3837415690450839E-2</v>
      </c>
      <c r="AV230" s="18">
        <f>IF(F229="","",(SUM($AS$6:AS230)))</f>
        <v>1309726.4299999995</v>
      </c>
      <c r="AW230" s="18">
        <f>IFERROR(IF(AS230&lt;&gt;"", SUMIFS($AS$10:AS230, $BG$10:BG230, BG230), ""),"")</f>
        <v>32498.36</v>
      </c>
      <c r="AX230" s="123">
        <f t="shared" ref="AX230:AX261" ca="1" si="116">IF(AND(D230&gt;TODAY(),ISBLANK(H230)),"",IF(ISBLANK(AE230),"no drilling completed",AS230/(W230)))</f>
        <v>276.1764705882353</v>
      </c>
      <c r="AY230" s="124" t="str">
        <f t="shared" ca="1" si="100"/>
        <v>LINK</v>
      </c>
      <c r="AZ230" t="s">
        <v>564</v>
      </c>
      <c r="BA230" s="125" t="s">
        <v>332</v>
      </c>
      <c r="BB230" t="str">
        <f t="shared" si="101"/>
        <v>25</v>
      </c>
      <c r="BC230">
        <f t="shared" si="102"/>
        <v>10</v>
      </c>
      <c r="BD230" t="str">
        <f t="shared" si="103"/>
        <v>03</v>
      </c>
      <c r="BE230" t="str">
        <f t="shared" si="104"/>
        <v>D</v>
      </c>
      <c r="BF230" t="str">
        <f t="shared" si="106"/>
        <v>https://www.coreplan.io/app/ddh1-drilling/speewah-mining-speewah-fluorite-project-wa/plods/1665-251003D</v>
      </c>
      <c r="BG230" t="str">
        <f t="shared" si="105"/>
        <v>2025-10</v>
      </c>
    </row>
    <row r="231" spans="1:59">
      <c r="A231" s="510" t="str">
        <f>VLOOKUP(F231,'Tenement Lookup'!A:BH,60,FALSE)</f>
        <v>M 80/269</v>
      </c>
      <c r="B231" t="s">
        <v>507</v>
      </c>
      <c r="C231" s="151" t="s">
        <v>508</v>
      </c>
      <c r="D231" s="1">
        <f t="shared" si="91"/>
        <v>45933.71</v>
      </c>
      <c r="E231" t="s">
        <v>172</v>
      </c>
      <c r="F231" s="501" t="s">
        <v>557</v>
      </c>
      <c r="G231" s="8" t="s">
        <v>565</v>
      </c>
      <c r="H231" s="4" t="s">
        <v>394</v>
      </c>
      <c r="I231" s="4">
        <v>3</v>
      </c>
      <c r="J231" s="122">
        <f t="shared" si="87"/>
        <v>390</v>
      </c>
      <c r="K231" s="21">
        <v>135.6</v>
      </c>
      <c r="L231" s="28">
        <v>140</v>
      </c>
      <c r="M231" s="22">
        <f t="shared" si="95"/>
        <v>4.4000000000000057</v>
      </c>
      <c r="N231" s="30"/>
      <c r="O231" s="26"/>
      <c r="P231" s="31">
        <f t="shared" si="110"/>
        <v>0</v>
      </c>
      <c r="Q231" s="21">
        <v>0</v>
      </c>
      <c r="R231" s="28">
        <v>2.8</v>
      </c>
      <c r="S231" s="22">
        <f t="shared" si="114"/>
        <v>2.8</v>
      </c>
      <c r="T231" s="30"/>
      <c r="U231" s="26"/>
      <c r="V231" s="31">
        <f t="shared" si="112"/>
        <v>0</v>
      </c>
      <c r="W231" s="26">
        <f t="shared" si="108"/>
        <v>7.2000000000000055</v>
      </c>
      <c r="X231" s="36">
        <f t="shared" si="109"/>
        <v>1260.0000000000009</v>
      </c>
      <c r="Y231" s="301">
        <f t="shared" si="115"/>
        <v>1610</v>
      </c>
      <c r="Z231" s="38"/>
      <c r="AA231" s="38"/>
      <c r="AB231" s="38"/>
      <c r="AC231" s="38"/>
      <c r="AD231" s="157">
        <f t="shared" si="92"/>
        <v>0</v>
      </c>
      <c r="AE231" s="29">
        <v>3.5</v>
      </c>
      <c r="AF231" s="29">
        <v>7.5</v>
      </c>
      <c r="AG231" s="40"/>
      <c r="AH231" s="44">
        <v>1</v>
      </c>
      <c r="AI231" s="13"/>
      <c r="AJ231" s="304"/>
      <c r="AK231" s="45"/>
      <c r="AL231" s="23"/>
      <c r="AM231" s="138"/>
      <c r="AN231" s="25">
        <f t="shared" ca="1" si="107"/>
        <v>12</v>
      </c>
      <c r="AO231" s="50"/>
      <c r="AP231" s="53">
        <f t="shared" si="113"/>
        <v>3810</v>
      </c>
      <c r="AQ231" s="322">
        <v>646.63</v>
      </c>
      <c r="AR231" s="324">
        <f t="shared" si="93"/>
        <v>256.63</v>
      </c>
      <c r="AS231" s="375">
        <f t="shared" si="111"/>
        <v>6066.63</v>
      </c>
      <c r="AT231" s="375">
        <v>6066.63</v>
      </c>
      <c r="AU231" s="344">
        <f t="shared" si="98"/>
        <v>6.4286102828094022E-2</v>
      </c>
      <c r="AV231" s="18">
        <f>IF(F230="","",(SUM($AS$6:AS231)))</f>
        <v>1315793.0599999994</v>
      </c>
      <c r="AW231" s="18">
        <f>IFERROR(IF(AS231&lt;&gt;"", SUMIFS($AS$10:AS231, $BG$10:BG231, BG231), ""),"")</f>
        <v>38564.99</v>
      </c>
      <c r="AX231" s="123">
        <f t="shared" ca="1" si="116"/>
        <v>842.58749999999941</v>
      </c>
      <c r="AY231" s="124" t="str">
        <f t="shared" ca="1" si="100"/>
        <v>LINK</v>
      </c>
      <c r="AZ231" t="s">
        <v>566</v>
      </c>
      <c r="BA231" s="125" t="s">
        <v>332</v>
      </c>
      <c r="BB231" t="str">
        <f t="shared" si="101"/>
        <v>25</v>
      </c>
      <c r="BC231">
        <f t="shared" si="102"/>
        <v>10</v>
      </c>
      <c r="BD231" t="str">
        <f t="shared" si="103"/>
        <v>03</v>
      </c>
      <c r="BE231" t="str">
        <f t="shared" si="104"/>
        <v>N</v>
      </c>
      <c r="BF231" t="str">
        <f t="shared" si="106"/>
        <v>https://www.coreplan.io/app/ddh1-drilling/speewah-mining-speewah-fluorite-project-wa/plods/1665-251003N</v>
      </c>
      <c r="BG231" t="str">
        <f t="shared" si="105"/>
        <v>2025-10</v>
      </c>
    </row>
    <row r="232" spans="1:59">
      <c r="A232" s="510" t="str">
        <f>VLOOKUP(F232,'Tenement Lookup'!A:BH,60,FALSE)</f>
        <v>M 80/269</v>
      </c>
      <c r="B232" t="s">
        <v>507</v>
      </c>
      <c r="C232" s="151" t="s">
        <v>508</v>
      </c>
      <c r="D232" s="1">
        <f t="shared" si="91"/>
        <v>45934.21</v>
      </c>
      <c r="E232" t="s">
        <v>171</v>
      </c>
      <c r="F232" s="501" t="s">
        <v>565</v>
      </c>
      <c r="H232" s="4" t="s">
        <v>392</v>
      </c>
      <c r="I232" s="4">
        <v>4</v>
      </c>
      <c r="J232" s="122">
        <f t="shared" ref="J232:J285" si="117">IF(ISBLANK(I232),"",I232*$J$2)</f>
        <v>520</v>
      </c>
      <c r="K232" s="21">
        <v>2.8</v>
      </c>
      <c r="L232" s="28">
        <v>12.5</v>
      </c>
      <c r="M232" s="22">
        <f t="shared" si="95"/>
        <v>9.6999999999999993</v>
      </c>
      <c r="N232" s="30"/>
      <c r="O232" s="26"/>
      <c r="P232" s="31">
        <f t="shared" si="110"/>
        <v>0</v>
      </c>
      <c r="Q232" s="21"/>
      <c r="R232" s="28"/>
      <c r="S232" s="22">
        <f t="shared" si="114"/>
        <v>0</v>
      </c>
      <c r="T232" s="30"/>
      <c r="U232" s="26"/>
      <c r="V232" s="31">
        <f t="shared" si="112"/>
        <v>0</v>
      </c>
      <c r="W232" s="26">
        <f t="shared" si="108"/>
        <v>9.6999999999999993</v>
      </c>
      <c r="X232" s="36">
        <f t="shared" si="109"/>
        <v>1697.4999999999998</v>
      </c>
      <c r="Y232" s="301">
        <f t="shared" si="115"/>
        <v>2990</v>
      </c>
      <c r="Z232" s="38">
        <v>1</v>
      </c>
      <c r="AA232" s="38">
        <v>1</v>
      </c>
      <c r="AB232" s="38">
        <v>1</v>
      </c>
      <c r="AC232" s="38">
        <v>13122</v>
      </c>
      <c r="AD232" s="157">
        <f t="shared" si="92"/>
        <v>750</v>
      </c>
      <c r="AE232" s="29">
        <v>6.5</v>
      </c>
      <c r="AF232" s="29">
        <v>4.5</v>
      </c>
      <c r="AG232" s="40"/>
      <c r="AH232" s="44">
        <v>1</v>
      </c>
      <c r="AI232" s="13"/>
      <c r="AJ232" s="304"/>
      <c r="AK232" s="45"/>
      <c r="AL232" s="23"/>
      <c r="AM232" s="138"/>
      <c r="AN232" s="25">
        <f t="shared" ca="1" si="107"/>
        <v>12</v>
      </c>
      <c r="AO232" s="50"/>
      <c r="AP232" s="53">
        <f t="shared" si="113"/>
        <v>2430</v>
      </c>
      <c r="AQ232" s="322">
        <v>520</v>
      </c>
      <c r="AR232" s="324">
        <f t="shared" si="93"/>
        <v>0</v>
      </c>
      <c r="AS232" s="375">
        <f t="shared" si="111"/>
        <v>6690</v>
      </c>
      <c r="AT232" s="375">
        <v>6690</v>
      </c>
      <c r="AU232" s="344">
        <f t="shared" si="98"/>
        <v>7.7727952167414044E-2</v>
      </c>
      <c r="AV232" s="18">
        <f>IF(F231="","",(SUM($AS$6:AS232)))</f>
        <v>1322483.0599999994</v>
      </c>
      <c r="AW232" s="18">
        <f>IFERROR(IF(AS232&lt;&gt;"", SUMIFS($AS$10:AS232, $BG$10:BG232, BG232), ""),"")</f>
        <v>45254.99</v>
      </c>
      <c r="AX232" s="123">
        <f t="shared" ca="1" si="116"/>
        <v>689.69072164948454</v>
      </c>
      <c r="AY232" s="124" t="str">
        <f t="shared" ca="1" si="100"/>
        <v>LINK</v>
      </c>
      <c r="AZ232" t="s">
        <v>567</v>
      </c>
      <c r="BA232" s="125" t="s">
        <v>332</v>
      </c>
      <c r="BB232" t="str">
        <f t="shared" si="101"/>
        <v>25</v>
      </c>
      <c r="BC232">
        <f t="shared" si="102"/>
        <v>10</v>
      </c>
      <c r="BD232" t="str">
        <f t="shared" si="103"/>
        <v>04</v>
      </c>
      <c r="BE232" t="str">
        <f t="shared" si="104"/>
        <v>D</v>
      </c>
      <c r="BF232" t="str">
        <f t="shared" si="106"/>
        <v>https://www.coreplan.io/app/ddh1-drilling/speewah-mining-speewah-fluorite-project-wa/plods/1665-251004D</v>
      </c>
      <c r="BG232" t="str">
        <f t="shared" si="105"/>
        <v>2025-10</v>
      </c>
    </row>
    <row r="233" spans="1:59">
      <c r="A233" s="510" t="str">
        <f>VLOOKUP(F233,'Tenement Lookup'!A:BH,60,FALSE)</f>
        <v>M 80/269</v>
      </c>
      <c r="B233" t="s">
        <v>507</v>
      </c>
      <c r="C233" s="151" t="s">
        <v>508</v>
      </c>
      <c r="D233" s="1">
        <f t="shared" si="91"/>
        <v>45934.71</v>
      </c>
      <c r="E233" t="s">
        <v>172</v>
      </c>
      <c r="F233" s="501" t="s">
        <v>565</v>
      </c>
      <c r="H233" s="4" t="s">
        <v>394</v>
      </c>
      <c r="I233" s="4">
        <v>3</v>
      </c>
      <c r="J233" s="122">
        <f t="shared" si="117"/>
        <v>390</v>
      </c>
      <c r="K233" s="21">
        <v>12.5</v>
      </c>
      <c r="L233" s="28">
        <v>30</v>
      </c>
      <c r="M233" s="22">
        <f t="shared" si="95"/>
        <v>17.5</v>
      </c>
      <c r="N233" s="30"/>
      <c r="O233" s="26"/>
      <c r="P233" s="31">
        <f t="shared" si="110"/>
        <v>0</v>
      </c>
      <c r="Q233" s="21"/>
      <c r="R233" s="28"/>
      <c r="S233" s="22">
        <f t="shared" si="114"/>
        <v>0</v>
      </c>
      <c r="T233" s="30"/>
      <c r="U233" s="26"/>
      <c r="V233" s="31">
        <f t="shared" si="112"/>
        <v>0</v>
      </c>
      <c r="W233" s="26">
        <f t="shared" si="108"/>
        <v>17.5</v>
      </c>
      <c r="X233" s="36">
        <f t="shared" si="109"/>
        <v>3062.5</v>
      </c>
      <c r="Y233" s="301">
        <f t="shared" si="115"/>
        <v>4600</v>
      </c>
      <c r="Z233" s="38"/>
      <c r="AA233" s="38"/>
      <c r="AB233" s="38"/>
      <c r="AC233" s="38"/>
      <c r="AD233" s="157">
        <f t="shared" si="92"/>
        <v>0</v>
      </c>
      <c r="AE233" s="29">
        <v>10</v>
      </c>
      <c r="AF233" s="29">
        <v>1</v>
      </c>
      <c r="AG233" s="40"/>
      <c r="AH233" s="44">
        <v>1</v>
      </c>
      <c r="AI233" s="13"/>
      <c r="AJ233" s="304"/>
      <c r="AK233" s="45"/>
      <c r="AL233" s="23"/>
      <c r="AM233" s="138"/>
      <c r="AN233" s="25">
        <f t="shared" ca="1" si="107"/>
        <v>12</v>
      </c>
      <c r="AO233" s="50"/>
      <c r="AP233" s="53">
        <f t="shared" si="113"/>
        <v>820</v>
      </c>
      <c r="AQ233" s="322">
        <v>646.63</v>
      </c>
      <c r="AR233" s="324">
        <f t="shared" si="93"/>
        <v>256.63</v>
      </c>
      <c r="AS233" s="375">
        <f t="shared" si="111"/>
        <v>6066.63</v>
      </c>
      <c r="AT233" s="375">
        <v>6066.63</v>
      </c>
      <c r="AU233" s="344">
        <f t="shared" si="98"/>
        <v>6.4286102828094022E-2</v>
      </c>
      <c r="AV233" s="18">
        <f>IF(F232="","",(SUM($AS$6:AS233)))</f>
        <v>1328549.6899999992</v>
      </c>
      <c r="AW233" s="18">
        <f>IFERROR(IF(AS233&lt;&gt;"", SUMIFS($AS$10:AS233, $BG$10:BG233, BG233), ""),"")</f>
        <v>51321.619999999995</v>
      </c>
      <c r="AX233" s="123">
        <f t="shared" ca="1" si="116"/>
        <v>346.66457142857143</v>
      </c>
      <c r="AY233" s="124" t="str">
        <f t="shared" ca="1" si="100"/>
        <v>LINK</v>
      </c>
      <c r="AZ233" t="s">
        <v>568</v>
      </c>
      <c r="BA233" s="125" t="s">
        <v>332</v>
      </c>
      <c r="BB233" t="str">
        <f t="shared" si="101"/>
        <v>25</v>
      </c>
      <c r="BC233">
        <f t="shared" si="102"/>
        <v>10</v>
      </c>
      <c r="BD233" t="str">
        <f t="shared" si="103"/>
        <v>04</v>
      </c>
      <c r="BE233" t="str">
        <f t="shared" si="104"/>
        <v>N</v>
      </c>
      <c r="BF233" t="str">
        <f t="shared" si="106"/>
        <v>https://www.coreplan.io/app/ddh1-drilling/speewah-mining-speewah-fluorite-project-wa/plods/1665-251004N</v>
      </c>
      <c r="BG233" t="str">
        <f t="shared" si="105"/>
        <v>2025-10</v>
      </c>
    </row>
    <row r="234" spans="1:59">
      <c r="A234" s="510" t="str">
        <f>VLOOKUP(F234,'Tenement Lookup'!A:BH,60,FALSE)</f>
        <v>M 80/269</v>
      </c>
      <c r="B234" t="s">
        <v>507</v>
      </c>
      <c r="C234" s="151" t="s">
        <v>508</v>
      </c>
      <c r="D234" s="1">
        <f t="shared" si="91"/>
        <v>45935.21</v>
      </c>
      <c r="E234" t="s">
        <v>171</v>
      </c>
      <c r="F234" s="501" t="s">
        <v>565</v>
      </c>
      <c r="H234" s="4" t="s">
        <v>392</v>
      </c>
      <c r="I234" s="4">
        <v>2</v>
      </c>
      <c r="J234" s="122">
        <f t="shared" si="117"/>
        <v>260</v>
      </c>
      <c r="K234" s="21">
        <v>30</v>
      </c>
      <c r="L234" s="28">
        <v>30</v>
      </c>
      <c r="M234" s="22">
        <f t="shared" si="95"/>
        <v>0</v>
      </c>
      <c r="N234" s="30"/>
      <c r="O234" s="26"/>
      <c r="P234" s="31">
        <f t="shared" si="110"/>
        <v>0</v>
      </c>
      <c r="Q234" s="21"/>
      <c r="R234" s="28"/>
      <c r="S234" s="22">
        <f t="shared" si="114"/>
        <v>0</v>
      </c>
      <c r="T234" s="30"/>
      <c r="U234" s="26"/>
      <c r="V234" s="31">
        <f t="shared" si="112"/>
        <v>0</v>
      </c>
      <c r="W234" s="26">
        <f t="shared" si="108"/>
        <v>0</v>
      </c>
      <c r="X234" s="36">
        <f t="shared" si="109"/>
        <v>0</v>
      </c>
      <c r="Y234" s="301">
        <f t="shared" si="115"/>
        <v>0</v>
      </c>
      <c r="Z234" s="38">
        <v>1</v>
      </c>
      <c r="AA234" s="38">
        <v>1</v>
      </c>
      <c r="AB234" s="38">
        <v>1</v>
      </c>
      <c r="AC234" s="38">
        <v>13122</v>
      </c>
      <c r="AD234" s="157">
        <f t="shared" si="92"/>
        <v>750</v>
      </c>
      <c r="AE234" s="29">
        <v>0</v>
      </c>
      <c r="AF234" s="29">
        <v>0</v>
      </c>
      <c r="AG234" s="40"/>
      <c r="AH234" s="44">
        <v>1</v>
      </c>
      <c r="AI234" s="13"/>
      <c r="AJ234" s="304"/>
      <c r="AK234" s="45">
        <v>11</v>
      </c>
      <c r="AL234" s="23"/>
      <c r="AM234" s="138" t="s">
        <v>569</v>
      </c>
      <c r="AN234" s="25">
        <f t="shared" ca="1" si="107"/>
        <v>12</v>
      </c>
      <c r="AO234" s="50"/>
      <c r="AP234" s="53">
        <f t="shared" si="113"/>
        <v>360</v>
      </c>
      <c r="AQ234" s="322">
        <v>260</v>
      </c>
      <c r="AR234" s="324">
        <f t="shared" si="93"/>
        <v>0</v>
      </c>
      <c r="AS234" s="375">
        <f t="shared" si="111"/>
        <v>1370</v>
      </c>
      <c r="AT234" s="375">
        <v>1370</v>
      </c>
      <c r="AU234" s="344">
        <f t="shared" si="98"/>
        <v>0.18978102189781021</v>
      </c>
      <c r="AV234" s="18">
        <f>IF(F233="","",(SUM($AS$6:AS234)))</f>
        <v>1329919.6899999992</v>
      </c>
      <c r="AW234" s="18">
        <f>IFERROR(IF(AS234&lt;&gt;"", SUMIFS($AS$10:AS234, $BG$10:BG234, BG234), ""),"")</f>
        <v>52691.619999999995</v>
      </c>
      <c r="AX234" s="123" t="e">
        <f t="shared" ca="1" si="116"/>
        <v>#DIV/0!</v>
      </c>
      <c r="AY234" s="124" t="str">
        <f t="shared" ca="1" si="100"/>
        <v>LINK</v>
      </c>
      <c r="AZ234" t="s">
        <v>570</v>
      </c>
      <c r="BA234" s="125" t="s">
        <v>332</v>
      </c>
      <c r="BB234" t="str">
        <f t="shared" si="101"/>
        <v>25</v>
      </c>
      <c r="BC234">
        <f t="shared" si="102"/>
        <v>10</v>
      </c>
      <c r="BD234" t="str">
        <f t="shared" si="103"/>
        <v>05</v>
      </c>
      <c r="BE234" t="str">
        <f t="shared" si="104"/>
        <v>D</v>
      </c>
      <c r="BF234" t="str">
        <f t="shared" si="106"/>
        <v>https://www.coreplan.io/app/ddh1-drilling/speewah-mining-speewah-fluorite-project-wa/plods/1665-251005D</v>
      </c>
      <c r="BG234" t="str">
        <f t="shared" si="105"/>
        <v>2025-10</v>
      </c>
    </row>
    <row r="235" spans="1:59">
      <c r="A235" s="510" t="str">
        <f>VLOOKUP(F235,'Tenement Lookup'!A:BH,60,FALSE)</f>
        <v>M 80/269</v>
      </c>
      <c r="B235" t="s">
        <v>507</v>
      </c>
      <c r="C235" s="151" t="s">
        <v>508</v>
      </c>
      <c r="D235" s="1">
        <f t="shared" si="91"/>
        <v>45935.71</v>
      </c>
      <c r="E235" t="s">
        <v>172</v>
      </c>
      <c r="F235" s="501" t="s">
        <v>565</v>
      </c>
      <c r="G235" s="8" t="s">
        <v>571</v>
      </c>
      <c r="H235" s="4" t="s">
        <v>394</v>
      </c>
      <c r="I235" s="4">
        <v>3</v>
      </c>
      <c r="J235" s="122">
        <f t="shared" si="117"/>
        <v>390</v>
      </c>
      <c r="K235" s="21">
        <v>30</v>
      </c>
      <c r="L235" s="28">
        <v>33.9</v>
      </c>
      <c r="M235" s="22">
        <f t="shared" si="95"/>
        <v>3.8999999999999986</v>
      </c>
      <c r="N235" s="30"/>
      <c r="O235" s="26"/>
      <c r="P235" s="31">
        <f t="shared" si="110"/>
        <v>0</v>
      </c>
      <c r="Q235" s="21">
        <v>0</v>
      </c>
      <c r="R235" s="28">
        <v>2.9</v>
      </c>
      <c r="S235" s="22">
        <f t="shared" si="114"/>
        <v>2.9</v>
      </c>
      <c r="T235" s="30"/>
      <c r="U235" s="26"/>
      <c r="V235" s="31">
        <f t="shared" si="112"/>
        <v>0</v>
      </c>
      <c r="W235" s="26">
        <f t="shared" si="108"/>
        <v>6.7999999999999989</v>
      </c>
      <c r="X235" s="36">
        <f t="shared" si="109"/>
        <v>1189.9999999999998</v>
      </c>
      <c r="Y235" s="301">
        <f t="shared" si="115"/>
        <v>1265</v>
      </c>
      <c r="Z235" s="38"/>
      <c r="AA235" s="38"/>
      <c r="AB235" s="38"/>
      <c r="AC235" s="38"/>
      <c r="AD235" s="157">
        <f t="shared" si="92"/>
        <v>0</v>
      </c>
      <c r="AE235" s="29">
        <v>2.75</v>
      </c>
      <c r="AF235" s="29">
        <v>7.75</v>
      </c>
      <c r="AG235" s="40"/>
      <c r="AH235" s="44">
        <v>1</v>
      </c>
      <c r="AI235" s="13"/>
      <c r="AJ235" s="304"/>
      <c r="AK235" s="45">
        <v>0.5</v>
      </c>
      <c r="AL235" s="23"/>
      <c r="AM235" s="138" t="s">
        <v>275</v>
      </c>
      <c r="AN235" s="25">
        <f t="shared" ca="1" si="107"/>
        <v>12</v>
      </c>
      <c r="AO235" s="50"/>
      <c r="AP235" s="53">
        <f t="shared" si="113"/>
        <v>3925</v>
      </c>
      <c r="AQ235" s="322">
        <v>390</v>
      </c>
      <c r="AR235" s="324">
        <f t="shared" si="93"/>
        <v>0</v>
      </c>
      <c r="AS235" s="375">
        <f t="shared" si="111"/>
        <v>5580</v>
      </c>
      <c r="AT235" s="375">
        <v>5580</v>
      </c>
      <c r="AU235" s="344">
        <f t="shared" si="98"/>
        <v>6.9892473118279563E-2</v>
      </c>
      <c r="AV235" s="18">
        <f>IF(F234="","",(SUM($AS$6:AS235)))</f>
        <v>1335499.6899999992</v>
      </c>
      <c r="AW235" s="18">
        <f>IFERROR(IF(AS235&lt;&gt;"", SUMIFS($AS$10:AS235, $BG$10:BG235, BG235), ""),"")</f>
        <v>58271.619999999995</v>
      </c>
      <c r="AX235" s="123">
        <f t="shared" ca="1" si="116"/>
        <v>820.58823529411779</v>
      </c>
      <c r="AY235" s="124" t="str">
        <f t="shared" ca="1" si="100"/>
        <v>LINK</v>
      </c>
      <c r="AZ235" t="s">
        <v>572</v>
      </c>
      <c r="BA235" s="125" t="s">
        <v>332</v>
      </c>
      <c r="BB235" t="str">
        <f t="shared" si="101"/>
        <v>25</v>
      </c>
      <c r="BC235">
        <f t="shared" si="102"/>
        <v>10</v>
      </c>
      <c r="BD235" t="str">
        <f t="shared" si="103"/>
        <v>05</v>
      </c>
      <c r="BE235" t="str">
        <f t="shared" si="104"/>
        <v>N</v>
      </c>
      <c r="BF235" t="str">
        <f t="shared" ref="BF235:BF248" si="118">CONCATENATE(BA235,BB235,BC235,BD235,BE235)</f>
        <v>https://www.coreplan.io/app/ddh1-drilling/speewah-mining-speewah-fluorite-project-wa/plods/1665-251005N</v>
      </c>
      <c r="BG235" t="str">
        <f t="shared" si="105"/>
        <v>2025-10</v>
      </c>
    </row>
    <row r="236" spans="1:59">
      <c r="A236" s="510" t="str">
        <f>VLOOKUP(F236,'Tenement Lookup'!A:BH,60,FALSE)</f>
        <v>M 80/269</v>
      </c>
      <c r="B236" t="s">
        <v>507</v>
      </c>
      <c r="C236" s="151" t="s">
        <v>508</v>
      </c>
      <c r="D236" s="1">
        <f t="shared" si="91"/>
        <v>45936.21</v>
      </c>
      <c r="E236" t="s">
        <v>171</v>
      </c>
      <c r="F236" s="501" t="s">
        <v>571</v>
      </c>
      <c r="H236" s="4" t="s">
        <v>392</v>
      </c>
      <c r="I236" s="4">
        <v>2</v>
      </c>
      <c r="J236" s="122">
        <f t="shared" si="117"/>
        <v>260</v>
      </c>
      <c r="K236" s="21">
        <v>2.9</v>
      </c>
      <c r="L236" s="28">
        <v>2.9</v>
      </c>
      <c r="M236" s="22">
        <f t="shared" si="95"/>
        <v>0</v>
      </c>
      <c r="N236" s="30"/>
      <c r="O236" s="26"/>
      <c r="P236" s="31">
        <f t="shared" si="110"/>
        <v>0</v>
      </c>
      <c r="Q236" s="21"/>
      <c r="R236" s="28"/>
      <c r="S236" s="22">
        <f t="shared" si="114"/>
        <v>0</v>
      </c>
      <c r="T236" s="30"/>
      <c r="U236" s="26"/>
      <c r="V236" s="31">
        <f t="shared" si="112"/>
        <v>0</v>
      </c>
      <c r="W236" s="26">
        <f t="shared" si="108"/>
        <v>0</v>
      </c>
      <c r="X236" s="36">
        <f t="shared" si="109"/>
        <v>0</v>
      </c>
      <c r="Y236" s="301">
        <f t="shared" si="115"/>
        <v>0</v>
      </c>
      <c r="Z236" s="38">
        <v>1</v>
      </c>
      <c r="AA236" s="38">
        <v>1</v>
      </c>
      <c r="AB236" s="38">
        <v>1</v>
      </c>
      <c r="AC236" s="38">
        <v>13122</v>
      </c>
      <c r="AD236" s="157">
        <f t="shared" si="92"/>
        <v>750</v>
      </c>
      <c r="AE236" s="29">
        <v>0</v>
      </c>
      <c r="AF236" s="29">
        <v>0</v>
      </c>
      <c r="AG236" s="40"/>
      <c r="AH236" s="44">
        <v>1</v>
      </c>
      <c r="AI236" s="13"/>
      <c r="AJ236" s="304"/>
      <c r="AK236" s="45">
        <v>11</v>
      </c>
      <c r="AL236" s="23"/>
      <c r="AM236" s="138" t="s">
        <v>569</v>
      </c>
      <c r="AN236" s="25">
        <f t="shared" ca="1" si="107"/>
        <v>12</v>
      </c>
      <c r="AO236" s="50"/>
      <c r="AP236" s="53">
        <f t="shared" si="113"/>
        <v>360</v>
      </c>
      <c r="AQ236" s="322">
        <v>260</v>
      </c>
      <c r="AR236" s="324">
        <f t="shared" si="93"/>
        <v>0</v>
      </c>
      <c r="AS236" s="375">
        <f t="shared" si="111"/>
        <v>1370</v>
      </c>
      <c r="AT236" s="375">
        <v>1370</v>
      </c>
      <c r="AU236" s="344">
        <f t="shared" si="98"/>
        <v>0.18978102189781021</v>
      </c>
      <c r="AV236" s="18">
        <f>IF(F235="","",(SUM($AS$6:AS236)))</f>
        <v>1336869.6899999992</v>
      </c>
      <c r="AW236" s="18">
        <f>IFERROR(IF(AS236&lt;&gt;"", SUMIFS($AS$10:AS236, $BG$10:BG236, BG236), ""),"")</f>
        <v>59641.619999999995</v>
      </c>
      <c r="AX236" s="123" t="e">
        <f t="shared" ca="1" si="116"/>
        <v>#DIV/0!</v>
      </c>
      <c r="AY236" s="124" t="str">
        <f t="shared" ca="1" si="100"/>
        <v>LINK</v>
      </c>
      <c r="AZ236" t="s">
        <v>573</v>
      </c>
      <c r="BA236" s="125" t="s">
        <v>332</v>
      </c>
      <c r="BB236" t="str">
        <f t="shared" si="101"/>
        <v>25</v>
      </c>
      <c r="BC236">
        <f t="shared" si="102"/>
        <v>10</v>
      </c>
      <c r="BD236" t="str">
        <f t="shared" si="103"/>
        <v>06</v>
      </c>
      <c r="BE236" t="str">
        <f t="shared" si="104"/>
        <v>D</v>
      </c>
      <c r="BF236" t="str">
        <f t="shared" si="118"/>
        <v>https://www.coreplan.io/app/ddh1-drilling/speewah-mining-speewah-fluorite-project-wa/plods/1665-251006D</v>
      </c>
      <c r="BG236" t="str">
        <f t="shared" si="105"/>
        <v>2025-10</v>
      </c>
    </row>
    <row r="237" spans="1:59">
      <c r="A237" s="510" t="str">
        <f>VLOOKUP(F237,'Tenement Lookup'!A:BH,60,FALSE)</f>
        <v>M 80/269</v>
      </c>
      <c r="B237" t="s">
        <v>507</v>
      </c>
      <c r="C237" s="151" t="s">
        <v>508</v>
      </c>
      <c r="D237" s="1">
        <f t="shared" si="91"/>
        <v>45936.71</v>
      </c>
      <c r="E237" t="s">
        <v>172</v>
      </c>
      <c r="F237" s="501" t="s">
        <v>571</v>
      </c>
      <c r="H237" s="4" t="s">
        <v>394</v>
      </c>
      <c r="I237" s="4">
        <v>3</v>
      </c>
      <c r="J237" s="122">
        <f t="shared" si="117"/>
        <v>390</v>
      </c>
      <c r="K237" s="21">
        <v>2.9</v>
      </c>
      <c r="L237" s="28">
        <v>13.8</v>
      </c>
      <c r="M237" s="22">
        <f t="shared" si="95"/>
        <v>10.9</v>
      </c>
      <c r="N237" s="30"/>
      <c r="O237" s="26"/>
      <c r="P237" s="31">
        <f t="shared" si="110"/>
        <v>0</v>
      </c>
      <c r="Q237" s="21"/>
      <c r="R237" s="28"/>
      <c r="S237" s="22">
        <f t="shared" si="114"/>
        <v>0</v>
      </c>
      <c r="T237" s="30"/>
      <c r="U237" s="26"/>
      <c r="V237" s="31">
        <f t="shared" si="112"/>
        <v>0</v>
      </c>
      <c r="W237" s="26">
        <f t="shared" si="108"/>
        <v>10.9</v>
      </c>
      <c r="X237" s="36">
        <f t="shared" si="109"/>
        <v>1907.5</v>
      </c>
      <c r="Y237" s="301">
        <f t="shared" si="115"/>
        <v>3910</v>
      </c>
      <c r="Z237" s="38"/>
      <c r="AA237" s="38"/>
      <c r="AB237" s="38"/>
      <c r="AC237" s="38"/>
      <c r="AD237" s="157">
        <f t="shared" si="92"/>
        <v>0</v>
      </c>
      <c r="AE237" s="29">
        <v>8.5</v>
      </c>
      <c r="AF237" s="29">
        <v>2.5</v>
      </c>
      <c r="AG237" s="40"/>
      <c r="AH237" s="44">
        <v>1</v>
      </c>
      <c r="AI237" s="13"/>
      <c r="AJ237" s="304"/>
      <c r="AK237" s="45"/>
      <c r="AL237" s="23"/>
      <c r="AM237" s="138"/>
      <c r="AN237" s="25">
        <f t="shared" ca="1" si="107"/>
        <v>12</v>
      </c>
      <c r="AO237" s="50"/>
      <c r="AP237" s="53">
        <f t="shared" si="113"/>
        <v>1510</v>
      </c>
      <c r="AQ237" s="322">
        <v>830.7</v>
      </c>
      <c r="AR237" s="324">
        <f t="shared" si="93"/>
        <v>440.70000000000005</v>
      </c>
      <c r="AS237" s="375">
        <f t="shared" si="111"/>
        <v>6250.7</v>
      </c>
      <c r="AT237" s="375">
        <v>6250.7</v>
      </c>
      <c r="AU237" s="344">
        <f t="shared" si="98"/>
        <v>6.2393011982657946E-2</v>
      </c>
      <c r="AV237" s="18">
        <f>IF(F236="","",(SUM($AS$6:AS237)))</f>
        <v>1343120.3899999992</v>
      </c>
      <c r="AW237" s="18">
        <f>IFERROR(IF(AS237&lt;&gt;"", SUMIFS($AS$10:AS237, $BG$10:BG237, BG237), ""),"")</f>
        <v>65892.319999999992</v>
      </c>
      <c r="AX237" s="123">
        <f t="shared" ca="1" si="116"/>
        <v>573.45871559633019</v>
      </c>
      <c r="AY237" s="124" t="str">
        <f t="shared" ca="1" si="100"/>
        <v>LINK</v>
      </c>
      <c r="AZ237" t="s">
        <v>574</v>
      </c>
      <c r="BA237" s="125" t="s">
        <v>332</v>
      </c>
      <c r="BB237" t="str">
        <f t="shared" si="101"/>
        <v>25</v>
      </c>
      <c r="BC237">
        <f t="shared" si="102"/>
        <v>10</v>
      </c>
      <c r="BD237" t="str">
        <f t="shared" si="103"/>
        <v>06</v>
      </c>
      <c r="BE237" t="str">
        <f t="shared" si="104"/>
        <v>N</v>
      </c>
      <c r="BF237" t="str">
        <f t="shared" si="118"/>
        <v>https://www.coreplan.io/app/ddh1-drilling/speewah-mining-speewah-fluorite-project-wa/plods/1665-251006N</v>
      </c>
      <c r="BG237" t="str">
        <f t="shared" si="105"/>
        <v>2025-10</v>
      </c>
    </row>
    <row r="238" spans="1:59">
      <c r="A238" s="510" t="str">
        <f>VLOOKUP(F238,'Tenement Lookup'!A:BH,60,FALSE)</f>
        <v>M 80/269</v>
      </c>
      <c r="B238" t="s">
        <v>507</v>
      </c>
      <c r="C238" s="151" t="s">
        <v>508</v>
      </c>
      <c r="D238" s="1">
        <f t="shared" si="91"/>
        <v>45937.21</v>
      </c>
      <c r="E238" t="s">
        <v>171</v>
      </c>
      <c r="F238" s="501" t="s">
        <v>571</v>
      </c>
      <c r="H238" s="4" t="s">
        <v>392</v>
      </c>
      <c r="I238" s="4">
        <v>2</v>
      </c>
      <c r="J238" s="122">
        <f t="shared" si="117"/>
        <v>260</v>
      </c>
      <c r="K238" s="21">
        <v>13.8</v>
      </c>
      <c r="L238" s="28">
        <v>13.8</v>
      </c>
      <c r="M238" s="22">
        <f t="shared" si="95"/>
        <v>0</v>
      </c>
      <c r="N238" s="30"/>
      <c r="O238" s="26"/>
      <c r="P238" s="31">
        <f t="shared" si="110"/>
        <v>0</v>
      </c>
      <c r="Q238" s="21"/>
      <c r="R238" s="28"/>
      <c r="S238" s="22">
        <f t="shared" si="114"/>
        <v>0</v>
      </c>
      <c r="T238" s="30"/>
      <c r="U238" s="26"/>
      <c r="V238" s="31">
        <f t="shared" si="112"/>
        <v>0</v>
      </c>
      <c r="W238" s="26">
        <f t="shared" si="108"/>
        <v>0</v>
      </c>
      <c r="X238" s="36">
        <f t="shared" si="109"/>
        <v>0</v>
      </c>
      <c r="Y238" s="301">
        <f t="shared" si="115"/>
        <v>0</v>
      </c>
      <c r="Z238" s="38">
        <v>1</v>
      </c>
      <c r="AA238" s="38">
        <v>1</v>
      </c>
      <c r="AB238" s="38">
        <v>1</v>
      </c>
      <c r="AC238" s="38">
        <v>13122</v>
      </c>
      <c r="AD238" s="157">
        <f t="shared" si="92"/>
        <v>750</v>
      </c>
      <c r="AE238" s="29"/>
      <c r="AF238" s="29"/>
      <c r="AG238" s="40"/>
      <c r="AH238" s="44">
        <v>1</v>
      </c>
      <c r="AI238" s="13"/>
      <c r="AJ238" s="304"/>
      <c r="AK238" s="45">
        <v>11</v>
      </c>
      <c r="AL238" s="23"/>
      <c r="AM238" s="138" t="s">
        <v>569</v>
      </c>
      <c r="AN238" s="25">
        <f t="shared" ca="1" si="107"/>
        <v>12</v>
      </c>
      <c r="AO238" s="50"/>
      <c r="AP238" s="53">
        <f t="shared" si="113"/>
        <v>360</v>
      </c>
      <c r="AQ238" s="322">
        <v>260</v>
      </c>
      <c r="AR238" s="324">
        <f t="shared" si="93"/>
        <v>0</v>
      </c>
      <c r="AS238" s="375">
        <f t="shared" si="111"/>
        <v>1370</v>
      </c>
      <c r="AT238" s="375">
        <v>1370</v>
      </c>
      <c r="AU238" s="344">
        <f t="shared" si="98"/>
        <v>0.18978102189781021</v>
      </c>
      <c r="AV238" s="18">
        <f>IF(F237="","",(SUM($AS$6:AS238)))</f>
        <v>1344490.3899999992</v>
      </c>
      <c r="AW238" s="18">
        <f>IFERROR(IF(AS238&lt;&gt;"", SUMIFS($AS$10:AS238, $BG$10:BG238, BG238), ""),"")</f>
        <v>67262.319999999992</v>
      </c>
      <c r="AX238" s="123" t="str">
        <f t="shared" ca="1" si="116"/>
        <v>no drilling completed</v>
      </c>
      <c r="AY238" s="124" t="str">
        <f t="shared" ca="1" si="100"/>
        <v>LINK</v>
      </c>
      <c r="AZ238" t="s">
        <v>573</v>
      </c>
      <c r="BA238" s="125" t="s">
        <v>332</v>
      </c>
      <c r="BB238" t="str">
        <f t="shared" si="101"/>
        <v>25</v>
      </c>
      <c r="BC238">
        <f t="shared" si="102"/>
        <v>10</v>
      </c>
      <c r="BD238" t="str">
        <f t="shared" si="103"/>
        <v>07</v>
      </c>
      <c r="BE238" t="str">
        <f t="shared" si="104"/>
        <v>D</v>
      </c>
      <c r="BF238" t="str">
        <f t="shared" si="118"/>
        <v>https://www.coreplan.io/app/ddh1-drilling/speewah-mining-speewah-fluorite-project-wa/plods/1665-251007D</v>
      </c>
      <c r="BG238" t="str">
        <f t="shared" si="105"/>
        <v>2025-10</v>
      </c>
    </row>
    <row r="239" spans="1:59">
      <c r="A239" s="510" t="str">
        <f>VLOOKUP(F239,'Tenement Lookup'!A:BH,60,FALSE)</f>
        <v>M 80/269</v>
      </c>
      <c r="B239" t="s">
        <v>507</v>
      </c>
      <c r="C239" s="151" t="s">
        <v>508</v>
      </c>
      <c r="D239" s="1">
        <f t="shared" si="91"/>
        <v>45937.71</v>
      </c>
      <c r="E239" t="s">
        <v>172</v>
      </c>
      <c r="F239" s="501" t="s">
        <v>571</v>
      </c>
      <c r="H239" s="4" t="s">
        <v>394</v>
      </c>
      <c r="I239" s="4">
        <v>3</v>
      </c>
      <c r="J239" s="122">
        <f t="shared" si="117"/>
        <v>390</v>
      </c>
      <c r="K239" s="21">
        <v>13.8</v>
      </c>
      <c r="L239" s="28">
        <v>25.8</v>
      </c>
      <c r="M239" s="22">
        <f t="shared" si="95"/>
        <v>12</v>
      </c>
      <c r="N239" s="30"/>
      <c r="O239" s="26"/>
      <c r="P239" s="31">
        <f t="shared" si="110"/>
        <v>0</v>
      </c>
      <c r="Q239" s="21"/>
      <c r="R239" s="28"/>
      <c r="S239" s="22">
        <f t="shared" si="114"/>
        <v>0</v>
      </c>
      <c r="T239" s="30"/>
      <c r="U239" s="26"/>
      <c r="V239" s="31">
        <f t="shared" si="112"/>
        <v>0</v>
      </c>
      <c r="W239" s="26">
        <f t="shared" ref="W239:W270" si="119">IF(F239="","",(M239+P239+S239+V239))</f>
        <v>12</v>
      </c>
      <c r="X239" s="36">
        <f t="shared" ref="X239:X270" si="120">IF(F239="","",((M239*$M$2)+(P239*$P$2)+(S239*$S$2)+(V239*$V$2)))</f>
        <v>2100</v>
      </c>
      <c r="Y239" s="301">
        <f t="shared" si="115"/>
        <v>2100</v>
      </c>
      <c r="Z239" s="38"/>
      <c r="AA239" s="38"/>
      <c r="AB239" s="38"/>
      <c r="AC239" s="38"/>
      <c r="AD239" s="157">
        <f t="shared" si="92"/>
        <v>0</v>
      </c>
      <c r="AE239" s="29">
        <v>4.5</v>
      </c>
      <c r="AF239" s="29">
        <v>3.5</v>
      </c>
      <c r="AG239" s="40" t="s">
        <v>575</v>
      </c>
      <c r="AH239" s="44">
        <v>1</v>
      </c>
      <c r="AI239" s="13"/>
      <c r="AJ239" s="304"/>
      <c r="AK239" s="45">
        <v>3</v>
      </c>
      <c r="AL239" s="23"/>
      <c r="AM239" s="138"/>
      <c r="AN239" s="25">
        <f t="shared" ca="1" si="107"/>
        <v>12</v>
      </c>
      <c r="AO239" s="50"/>
      <c r="AP239" s="53">
        <f t="shared" si="113"/>
        <v>1970</v>
      </c>
      <c r="AQ239" s="322">
        <v>1050.7</v>
      </c>
      <c r="AR239" s="324">
        <f t="shared" si="93"/>
        <v>660.7</v>
      </c>
      <c r="AS239" s="375">
        <f t="shared" si="111"/>
        <v>5120.7</v>
      </c>
      <c r="AT239" s="375">
        <v>5120.7</v>
      </c>
      <c r="AU239" s="344">
        <f t="shared" si="98"/>
        <v>7.6161462300076158E-2</v>
      </c>
      <c r="AV239" s="18">
        <f>IF(F238="","",(SUM($AS$6:AS239)))</f>
        <v>1349611.0899999992</v>
      </c>
      <c r="AW239" s="18">
        <f>IFERROR(IF(AS239&lt;&gt;"", SUMIFS($AS$10:AS239, $BG$10:BG239, BG239), ""),"")</f>
        <v>72383.01999999999</v>
      </c>
      <c r="AX239" s="123">
        <f t="shared" ca="1" si="116"/>
        <v>426.72499999999997</v>
      </c>
      <c r="AY239" s="124" t="str">
        <f t="shared" ca="1" si="100"/>
        <v>LINK</v>
      </c>
      <c r="AZ239" t="s">
        <v>576</v>
      </c>
      <c r="BA239" s="125" t="s">
        <v>332</v>
      </c>
      <c r="BB239" t="str">
        <f t="shared" si="101"/>
        <v>25</v>
      </c>
      <c r="BC239">
        <f t="shared" si="102"/>
        <v>10</v>
      </c>
      <c r="BD239" t="str">
        <f t="shared" si="103"/>
        <v>07</v>
      </c>
      <c r="BE239" t="str">
        <f t="shared" si="104"/>
        <v>N</v>
      </c>
      <c r="BF239" t="str">
        <f t="shared" si="118"/>
        <v>https://www.coreplan.io/app/ddh1-drilling/speewah-mining-speewah-fluorite-project-wa/plods/1665-251007N</v>
      </c>
      <c r="BG239" t="str">
        <f t="shared" si="105"/>
        <v>2025-10</v>
      </c>
    </row>
    <row r="240" spans="1:59">
      <c r="A240" s="510" t="str">
        <f>VLOOKUP(F240,'Tenement Lookup'!A:BH,60,FALSE)</f>
        <v>M 80/269</v>
      </c>
      <c r="B240" t="s">
        <v>507</v>
      </c>
      <c r="C240" s="151" t="s">
        <v>508</v>
      </c>
      <c r="D240" s="1">
        <f t="shared" ref="D240:D303" si="121">D238+1</f>
        <v>45938.21</v>
      </c>
      <c r="E240" t="s">
        <v>171</v>
      </c>
      <c r="F240" s="501" t="s">
        <v>571</v>
      </c>
      <c r="H240" s="4" t="s">
        <v>577</v>
      </c>
      <c r="I240" s="4">
        <v>4</v>
      </c>
      <c r="J240" s="122">
        <f t="shared" si="117"/>
        <v>520</v>
      </c>
      <c r="K240" s="21">
        <v>25.8</v>
      </c>
      <c r="L240" s="28">
        <v>30.5</v>
      </c>
      <c r="M240" s="22">
        <f t="shared" si="95"/>
        <v>4.6999999999999993</v>
      </c>
      <c r="N240" s="30"/>
      <c r="O240" s="26"/>
      <c r="P240" s="31">
        <f t="shared" si="110"/>
        <v>0</v>
      </c>
      <c r="Q240" s="21"/>
      <c r="R240" s="28"/>
      <c r="S240" s="22">
        <f t="shared" si="114"/>
        <v>0</v>
      </c>
      <c r="T240" s="30"/>
      <c r="U240" s="26"/>
      <c r="V240" s="31">
        <f t="shared" si="112"/>
        <v>0</v>
      </c>
      <c r="W240" s="26">
        <f t="shared" si="119"/>
        <v>4.6999999999999993</v>
      </c>
      <c r="X240" s="36">
        <f t="shared" si="120"/>
        <v>822.49999999999989</v>
      </c>
      <c r="Y240" s="301">
        <f t="shared" si="115"/>
        <v>1610</v>
      </c>
      <c r="Z240" s="38">
        <v>1</v>
      </c>
      <c r="AA240" s="38">
        <v>1</v>
      </c>
      <c r="AB240" s="38">
        <v>1</v>
      </c>
      <c r="AC240" s="38">
        <v>13122</v>
      </c>
      <c r="AD240" s="157">
        <f t="shared" ref="AD240:AD285" si="122">IF(Y240="","",SUMPRODUCT(Z240:AB240,$Z$2:$AB$2))</f>
        <v>750</v>
      </c>
      <c r="AE240" s="29">
        <v>3.5</v>
      </c>
      <c r="AF240" s="29">
        <v>1.25</v>
      </c>
      <c r="AG240" s="40" t="s">
        <v>242</v>
      </c>
      <c r="AH240" s="44">
        <v>1</v>
      </c>
      <c r="AI240" s="13"/>
      <c r="AJ240" s="304"/>
      <c r="AK240" s="45">
        <v>6.25</v>
      </c>
      <c r="AL240" s="23"/>
      <c r="AM240" s="138" t="s">
        <v>242</v>
      </c>
      <c r="AN240" s="25">
        <f t="shared" ca="1" si="107"/>
        <v>12</v>
      </c>
      <c r="AO240" s="50"/>
      <c r="AP240" s="53">
        <f t="shared" si="113"/>
        <v>935</v>
      </c>
      <c r="AQ240" s="322">
        <v>520</v>
      </c>
      <c r="AR240" s="324">
        <f t="shared" ref="AR240:AR285" si="123">IFERROR(AQ240-J240,"")</f>
        <v>0</v>
      </c>
      <c r="AS240" s="375">
        <f t="shared" si="111"/>
        <v>3815</v>
      </c>
      <c r="AT240" s="375">
        <v>3815</v>
      </c>
      <c r="AU240" s="344">
        <f t="shared" si="98"/>
        <v>0.13630406290956751</v>
      </c>
      <c r="AV240" s="18">
        <f>IF(F239="","",(SUM($AS$6:AS240)))</f>
        <v>1353426.0899999992</v>
      </c>
      <c r="AW240" s="18">
        <f>IFERROR(IF(AS240&lt;&gt;"", SUMIFS($AS$10:AS240, $BG$10:BG240, BG240), ""),"")</f>
        <v>76198.01999999999</v>
      </c>
      <c r="AX240" s="123">
        <f t="shared" ca="1" si="116"/>
        <v>811.70212765957456</v>
      </c>
      <c r="AY240" s="124" t="str">
        <f t="shared" ca="1" si="100"/>
        <v>LINK</v>
      </c>
      <c r="AZ240" t="s">
        <v>578</v>
      </c>
      <c r="BA240" s="125" t="s">
        <v>332</v>
      </c>
      <c r="BB240" t="str">
        <f t="shared" si="101"/>
        <v>25</v>
      </c>
      <c r="BC240">
        <f t="shared" si="102"/>
        <v>10</v>
      </c>
      <c r="BD240" t="str">
        <f t="shared" si="103"/>
        <v>08</v>
      </c>
      <c r="BE240" t="str">
        <f t="shared" si="104"/>
        <v>D</v>
      </c>
      <c r="BF240" t="str">
        <f t="shared" si="118"/>
        <v>https://www.coreplan.io/app/ddh1-drilling/speewah-mining-speewah-fluorite-project-wa/plods/1665-251008D</v>
      </c>
      <c r="BG240" t="str">
        <f t="shared" si="105"/>
        <v>2025-10</v>
      </c>
    </row>
    <row r="241" spans="1:59">
      <c r="A241" s="510" t="str">
        <f>VLOOKUP(F241,'Tenement Lookup'!A:BH,60,FALSE)</f>
        <v>M 80/269</v>
      </c>
      <c r="B241" t="s">
        <v>507</v>
      </c>
      <c r="C241" s="151" t="s">
        <v>508</v>
      </c>
      <c r="D241" s="1">
        <f t="shared" si="121"/>
        <v>45938.71</v>
      </c>
      <c r="E241" t="s">
        <v>172</v>
      </c>
      <c r="F241" s="501" t="s">
        <v>571</v>
      </c>
      <c r="H241" s="4"/>
      <c r="I241" s="4"/>
      <c r="J241" s="122" t="str">
        <f t="shared" si="117"/>
        <v/>
      </c>
      <c r="K241" s="21">
        <v>30.5</v>
      </c>
      <c r="L241" s="28">
        <v>30.5</v>
      </c>
      <c r="M241" s="22">
        <f t="shared" si="95"/>
        <v>0</v>
      </c>
      <c r="N241" s="30"/>
      <c r="O241" s="26"/>
      <c r="P241" s="31">
        <f t="shared" si="110"/>
        <v>0</v>
      </c>
      <c r="Q241" s="21"/>
      <c r="R241" s="28"/>
      <c r="S241" s="22">
        <f t="shared" si="114"/>
        <v>0</v>
      </c>
      <c r="T241" s="30"/>
      <c r="U241" s="26"/>
      <c r="V241" s="31">
        <f t="shared" si="112"/>
        <v>0</v>
      </c>
      <c r="W241" s="26">
        <f t="shared" si="119"/>
        <v>0</v>
      </c>
      <c r="X241" s="36">
        <f t="shared" si="120"/>
        <v>0</v>
      </c>
      <c r="Y241" s="301">
        <f t="shared" si="115"/>
        <v>0</v>
      </c>
      <c r="Z241" s="38"/>
      <c r="AA241" s="38"/>
      <c r="AB241" s="38"/>
      <c r="AC241" s="38"/>
      <c r="AD241" s="157">
        <f t="shared" si="122"/>
        <v>0</v>
      </c>
      <c r="AE241" s="29"/>
      <c r="AF241" s="29"/>
      <c r="AG241" s="40"/>
      <c r="AH241" s="44"/>
      <c r="AI241" s="13"/>
      <c r="AJ241" s="304"/>
      <c r="AK241" s="45">
        <v>12</v>
      </c>
      <c r="AL241" s="23"/>
      <c r="AM241" s="138" t="s">
        <v>579</v>
      </c>
      <c r="AN241" s="25">
        <f t="shared" ca="1" si="107"/>
        <v>12</v>
      </c>
      <c r="AO241" s="50"/>
      <c r="AP241" s="53">
        <f t="shared" si="113"/>
        <v>0</v>
      </c>
      <c r="AQ241" s="322"/>
      <c r="AR241" s="324" t="str">
        <f t="shared" si="123"/>
        <v/>
      </c>
      <c r="AS241" s="375">
        <f t="shared" ref="AS241:AS272" si="124">IF(F240="","",(SUM(Y241,AP241,AR241,AD241,J241)))</f>
        <v>0</v>
      </c>
      <c r="AT241" s="375"/>
      <c r="AU241" s="344" t="str">
        <f t="shared" si="98"/>
        <v/>
      </c>
      <c r="AV241" s="18">
        <f>IF(F240="","",(SUM($AS$6:AS241)))</f>
        <v>1353426.0899999992</v>
      </c>
      <c r="AW241" s="18">
        <f>IFERROR(IF(AS241&lt;&gt;"", SUMIFS($AS$10:AS241, $BG$10:BG241, BG241), ""),"")</f>
        <v>76198.01999999999</v>
      </c>
      <c r="AX241" s="123" t="str">
        <f t="shared" ca="1" si="116"/>
        <v>no drilling completed</v>
      </c>
      <c r="AY241" s="124" t="str">
        <f t="shared" ca="1" si="100"/>
        <v>LINK</v>
      </c>
      <c r="AZ241" t="s">
        <v>532</v>
      </c>
      <c r="BA241" s="125" t="s">
        <v>332</v>
      </c>
      <c r="BB241" t="str">
        <f t="shared" si="101"/>
        <v>25</v>
      </c>
      <c r="BC241">
        <f t="shared" si="102"/>
        <v>10</v>
      </c>
      <c r="BD241" t="str">
        <f t="shared" si="103"/>
        <v>08</v>
      </c>
      <c r="BE241" t="str">
        <f t="shared" si="104"/>
        <v>N</v>
      </c>
      <c r="BF241" t="str">
        <f t="shared" si="118"/>
        <v>https://www.coreplan.io/app/ddh1-drilling/speewah-mining-speewah-fluorite-project-wa/plods/1665-251008N</v>
      </c>
      <c r="BG241" t="str">
        <f t="shared" si="105"/>
        <v>2025-10</v>
      </c>
    </row>
    <row r="242" spans="1:59">
      <c r="A242" s="510" t="str">
        <f>VLOOKUP(F242,'Tenement Lookup'!A:BH,60,FALSE)</f>
        <v>M 80/269</v>
      </c>
      <c r="B242" t="s">
        <v>507</v>
      </c>
      <c r="C242" s="151" t="s">
        <v>508</v>
      </c>
      <c r="D242" s="1">
        <f t="shared" si="121"/>
        <v>45939.21</v>
      </c>
      <c r="E242" t="s">
        <v>171</v>
      </c>
      <c r="F242" s="501" t="s">
        <v>571</v>
      </c>
      <c r="H242" s="4" t="s">
        <v>577</v>
      </c>
      <c r="I242" s="4">
        <v>5</v>
      </c>
      <c r="J242" s="122">
        <f t="shared" si="117"/>
        <v>650</v>
      </c>
      <c r="K242" s="21">
        <v>30.5</v>
      </c>
      <c r="L242" s="28">
        <v>69.5</v>
      </c>
      <c r="M242" s="22">
        <f t="shared" ref="M242:M285" si="125">IF(ISBLANK(K242),0,L242-K242)</f>
        <v>39</v>
      </c>
      <c r="N242" s="30"/>
      <c r="O242" s="26"/>
      <c r="P242" s="31">
        <f t="shared" si="110"/>
        <v>0</v>
      </c>
      <c r="Q242" s="21"/>
      <c r="R242" s="28"/>
      <c r="S242" s="22">
        <f t="shared" si="114"/>
        <v>0</v>
      </c>
      <c r="T242" s="30"/>
      <c r="U242" s="26"/>
      <c r="V242" s="31">
        <f t="shared" si="112"/>
        <v>0</v>
      </c>
      <c r="W242" s="26">
        <f t="shared" si="119"/>
        <v>39</v>
      </c>
      <c r="X242" s="36">
        <f t="shared" si="120"/>
        <v>6825</v>
      </c>
      <c r="Y242" s="301">
        <f t="shared" si="115"/>
        <v>6825</v>
      </c>
      <c r="Z242" s="38">
        <v>1</v>
      </c>
      <c r="AA242" s="38">
        <v>1</v>
      </c>
      <c r="AB242" s="38">
        <v>1</v>
      </c>
      <c r="AC242" s="38">
        <v>13122</v>
      </c>
      <c r="AD242" s="157">
        <f t="shared" si="122"/>
        <v>750</v>
      </c>
      <c r="AE242" s="29">
        <v>10</v>
      </c>
      <c r="AF242" s="29">
        <v>1</v>
      </c>
      <c r="AG242" s="40"/>
      <c r="AH242" s="44">
        <v>1</v>
      </c>
      <c r="AI242" s="13"/>
      <c r="AJ242" s="304"/>
      <c r="AK242" s="45"/>
      <c r="AL242" s="23"/>
      <c r="AM242" s="138"/>
      <c r="AN242" s="25">
        <f t="shared" ca="1" si="107"/>
        <v>12</v>
      </c>
      <c r="AO242" s="50"/>
      <c r="AP242" s="53">
        <f t="shared" si="113"/>
        <v>820</v>
      </c>
      <c r="AQ242" s="322">
        <v>1092.28</v>
      </c>
      <c r="AR242" s="324">
        <f t="shared" si="123"/>
        <v>442.28</v>
      </c>
      <c r="AS242" s="375">
        <f t="shared" si="124"/>
        <v>9487.2799999999988</v>
      </c>
      <c r="AT242" s="375">
        <v>9487.2800000000007</v>
      </c>
      <c r="AU242" s="344">
        <f t="shared" si="98"/>
        <v>6.8512787648303847E-2</v>
      </c>
      <c r="AV242" s="18">
        <f>IF(F241="","",(SUM($AS$6:AS242)))</f>
        <v>1362913.3699999992</v>
      </c>
      <c r="AW242" s="18">
        <f>IFERROR(IF(AS242&lt;&gt;"", SUMIFS($AS$10:AS242, $BG$10:BG242, BG242), ""),"")</f>
        <v>85685.299999999988</v>
      </c>
      <c r="AX242" s="123">
        <f t="shared" ca="1" si="116"/>
        <v>243.2635897435897</v>
      </c>
      <c r="AY242" s="124" t="str">
        <f t="shared" ca="1" si="100"/>
        <v>LINK</v>
      </c>
      <c r="AZ242" t="s">
        <v>580</v>
      </c>
      <c r="BA242" s="125" t="s">
        <v>332</v>
      </c>
      <c r="BB242" t="str">
        <f t="shared" si="101"/>
        <v>25</v>
      </c>
      <c r="BC242">
        <f t="shared" si="102"/>
        <v>10</v>
      </c>
      <c r="BD242" t="str">
        <f t="shared" si="103"/>
        <v>09</v>
      </c>
      <c r="BE242" t="str">
        <f t="shared" si="104"/>
        <v>D</v>
      </c>
      <c r="BF242" t="str">
        <f t="shared" si="118"/>
        <v>https://www.coreplan.io/app/ddh1-drilling/speewah-mining-speewah-fluorite-project-wa/plods/1665-251009D</v>
      </c>
      <c r="BG242" t="str">
        <f t="shared" si="105"/>
        <v>2025-10</v>
      </c>
    </row>
    <row r="243" spans="1:59">
      <c r="A243" s="510" t="str">
        <f>VLOOKUP(F243,'Tenement Lookup'!A:BH,60,FALSE)</f>
        <v>M 80/269</v>
      </c>
      <c r="B243" t="s">
        <v>507</v>
      </c>
      <c r="C243" s="151" t="s">
        <v>508</v>
      </c>
      <c r="D243" s="1">
        <f t="shared" si="121"/>
        <v>45939.71</v>
      </c>
      <c r="E243" t="s">
        <v>172</v>
      </c>
      <c r="F243" s="501" t="s">
        <v>571</v>
      </c>
      <c r="H243" s="4"/>
      <c r="I243" s="4"/>
      <c r="J243" s="122" t="str">
        <f t="shared" si="117"/>
        <v/>
      </c>
      <c r="K243" s="21"/>
      <c r="L243" s="28"/>
      <c r="M243" s="22">
        <f t="shared" si="125"/>
        <v>0</v>
      </c>
      <c r="N243" s="30"/>
      <c r="O243" s="26"/>
      <c r="P243" s="31">
        <f t="shared" si="110"/>
        <v>0</v>
      </c>
      <c r="Q243" s="21"/>
      <c r="R243" s="28"/>
      <c r="S243" s="22">
        <f t="shared" si="114"/>
        <v>0</v>
      </c>
      <c r="T243" s="30"/>
      <c r="U243" s="26"/>
      <c r="V243" s="31">
        <f t="shared" si="112"/>
        <v>0</v>
      </c>
      <c r="W243" s="26">
        <f t="shared" si="119"/>
        <v>0</v>
      </c>
      <c r="X243" s="36">
        <f t="shared" si="120"/>
        <v>0</v>
      </c>
      <c r="Y243" s="301">
        <f t="shared" si="115"/>
        <v>0</v>
      </c>
      <c r="Z243" s="38"/>
      <c r="AA243" s="38"/>
      <c r="AB243" s="38"/>
      <c r="AC243" s="38"/>
      <c r="AD243" s="157">
        <f t="shared" si="122"/>
        <v>0</v>
      </c>
      <c r="AE243" s="29"/>
      <c r="AF243" s="29"/>
      <c r="AG243" s="40"/>
      <c r="AH243" s="44"/>
      <c r="AI243" s="13"/>
      <c r="AJ243" s="304"/>
      <c r="AK243" s="45">
        <v>12</v>
      </c>
      <c r="AL243" s="23"/>
      <c r="AM243" s="138" t="s">
        <v>579</v>
      </c>
      <c r="AN243" s="25">
        <f t="shared" ca="1" si="107"/>
        <v>12</v>
      </c>
      <c r="AO243" s="50"/>
      <c r="AP243" s="53">
        <f t="shared" si="113"/>
        <v>0</v>
      </c>
      <c r="AQ243" s="322"/>
      <c r="AR243" s="324" t="str">
        <f t="shared" si="123"/>
        <v/>
      </c>
      <c r="AS243" s="375">
        <f t="shared" si="124"/>
        <v>0</v>
      </c>
      <c r="AT243" s="375"/>
      <c r="AU243" s="344" t="str">
        <f t="shared" si="98"/>
        <v/>
      </c>
      <c r="AV243" s="18">
        <f>IF(F242="","",(SUM($AS$6:AS243)))</f>
        <v>1362913.3699999992</v>
      </c>
      <c r="AW243" s="18">
        <f>IFERROR(IF(AS243&lt;&gt;"", SUMIFS($AS$10:AS243, $BG$10:BG243, BG243), ""),"")</f>
        <v>85685.299999999988</v>
      </c>
      <c r="AX243" s="123" t="str">
        <f t="shared" ca="1" si="116"/>
        <v>no drilling completed</v>
      </c>
      <c r="AY243" s="124" t="str">
        <f t="shared" ca="1" si="100"/>
        <v>LINK</v>
      </c>
      <c r="AZ243" t="s">
        <v>532</v>
      </c>
      <c r="BA243" s="125" t="s">
        <v>332</v>
      </c>
      <c r="BB243" t="str">
        <f t="shared" si="101"/>
        <v>25</v>
      </c>
      <c r="BC243">
        <f t="shared" si="102"/>
        <v>10</v>
      </c>
      <c r="BD243" t="str">
        <f t="shared" si="103"/>
        <v>09</v>
      </c>
      <c r="BE243" t="str">
        <f t="shared" si="104"/>
        <v>N</v>
      </c>
      <c r="BF243" t="str">
        <f t="shared" si="118"/>
        <v>https://www.coreplan.io/app/ddh1-drilling/speewah-mining-speewah-fluorite-project-wa/plods/1665-251009N</v>
      </c>
      <c r="BG243" t="str">
        <f t="shared" si="105"/>
        <v>2025-10</v>
      </c>
    </row>
    <row r="244" spans="1:59">
      <c r="A244" s="510" t="str">
        <f>VLOOKUP(F244,'Tenement Lookup'!A:BH,60,FALSE)</f>
        <v>M 80/269</v>
      </c>
      <c r="B244" t="s">
        <v>507</v>
      </c>
      <c r="C244" s="151" t="s">
        <v>508</v>
      </c>
      <c r="D244" s="1">
        <f t="shared" si="121"/>
        <v>45940.21</v>
      </c>
      <c r="E244" t="s">
        <v>171</v>
      </c>
      <c r="F244" s="501" t="s">
        <v>571</v>
      </c>
      <c r="H244" s="4" t="s">
        <v>577</v>
      </c>
      <c r="I244" s="4">
        <v>5</v>
      </c>
      <c r="J244" s="122">
        <f t="shared" si="117"/>
        <v>650</v>
      </c>
      <c r="K244" s="21">
        <v>69.5</v>
      </c>
      <c r="L244" s="28">
        <v>71.599999999999994</v>
      </c>
      <c r="M244" s="22">
        <f t="shared" si="125"/>
        <v>2.0999999999999943</v>
      </c>
      <c r="N244" s="30">
        <v>71.599999999999994</v>
      </c>
      <c r="O244" s="26">
        <v>78.400000000000006</v>
      </c>
      <c r="P244" s="31">
        <f t="shared" si="110"/>
        <v>6.8000000000000114</v>
      </c>
      <c r="Q244" s="21"/>
      <c r="R244" s="28"/>
      <c r="S244" s="22">
        <f t="shared" si="114"/>
        <v>0</v>
      </c>
      <c r="T244" s="30"/>
      <c r="U244" s="26"/>
      <c r="V244" s="31">
        <f t="shared" si="112"/>
        <v>0</v>
      </c>
      <c r="W244" s="26">
        <f t="shared" si="119"/>
        <v>8.9000000000000057</v>
      </c>
      <c r="X244" s="36">
        <f t="shared" si="120"/>
        <v>1285.5000000000005</v>
      </c>
      <c r="Y244" s="301">
        <f t="shared" si="115"/>
        <v>1380</v>
      </c>
      <c r="Z244" s="38">
        <v>1</v>
      </c>
      <c r="AA244" s="38">
        <v>1</v>
      </c>
      <c r="AB244" s="38">
        <v>1</v>
      </c>
      <c r="AC244" s="38">
        <v>13122</v>
      </c>
      <c r="AD244" s="157">
        <f t="shared" si="122"/>
        <v>750</v>
      </c>
      <c r="AE244" s="29">
        <v>3</v>
      </c>
      <c r="AF244" s="29">
        <v>5</v>
      </c>
      <c r="AG244" s="40" t="s">
        <v>581</v>
      </c>
      <c r="AH244" s="44">
        <v>1</v>
      </c>
      <c r="AI244" s="13">
        <v>3</v>
      </c>
      <c r="AJ244" s="304" t="s">
        <v>581</v>
      </c>
      <c r="AK244" s="45"/>
      <c r="AL244" s="23"/>
      <c r="AM244" s="138"/>
      <c r="AN244" s="25">
        <f t="shared" ca="1" si="107"/>
        <v>12</v>
      </c>
      <c r="AO244" s="50"/>
      <c r="AP244" s="53">
        <f t="shared" si="113"/>
        <v>3740</v>
      </c>
      <c r="AQ244" s="322">
        <v>767.93</v>
      </c>
      <c r="AR244" s="324">
        <f t="shared" si="123"/>
        <v>117.92999999999995</v>
      </c>
      <c r="AS244" s="375">
        <f t="shared" si="124"/>
        <v>6637.93</v>
      </c>
      <c r="AT244" s="375">
        <v>6637.93</v>
      </c>
      <c r="AU244" s="344">
        <f t="shared" si="98"/>
        <v>9.7922093182663872E-2</v>
      </c>
      <c r="AV244" s="18">
        <f>IF(F243="","",(SUM($AS$6:AS244)))</f>
        <v>1369551.2999999991</v>
      </c>
      <c r="AW244" s="18">
        <f>IFERROR(IF(AS244&lt;&gt;"", SUMIFS($AS$10:AS244, $BG$10:BG244, BG244), ""),"")</f>
        <v>92323.229999999981</v>
      </c>
      <c r="AX244" s="123">
        <f t="shared" ca="1" si="116"/>
        <v>745.83483146067374</v>
      </c>
      <c r="AY244" s="124" t="str">
        <f t="shared" ca="1" si="100"/>
        <v>LINK</v>
      </c>
      <c r="AZ244" t="s">
        <v>582</v>
      </c>
      <c r="BA244" s="125" t="s">
        <v>332</v>
      </c>
      <c r="BB244" t="str">
        <f t="shared" si="101"/>
        <v>25</v>
      </c>
      <c r="BC244">
        <f t="shared" si="102"/>
        <v>10</v>
      </c>
      <c r="BD244">
        <f t="shared" si="103"/>
        <v>10</v>
      </c>
      <c r="BE244" t="str">
        <f t="shared" si="104"/>
        <v>D</v>
      </c>
      <c r="BF244" t="str">
        <f t="shared" si="118"/>
        <v>https://www.coreplan.io/app/ddh1-drilling/speewah-mining-speewah-fluorite-project-wa/plods/1665-251010D</v>
      </c>
      <c r="BG244" t="str">
        <f t="shared" si="105"/>
        <v>2025-10</v>
      </c>
    </row>
    <row r="245" spans="1:59">
      <c r="A245" s="510" t="str">
        <f>VLOOKUP(F245,'Tenement Lookup'!A:BH,60,FALSE)</f>
        <v>M 80/269</v>
      </c>
      <c r="B245" t="s">
        <v>507</v>
      </c>
      <c r="C245" s="151" t="s">
        <v>508</v>
      </c>
      <c r="D245" s="1">
        <f t="shared" si="121"/>
        <v>45940.71</v>
      </c>
      <c r="E245" t="s">
        <v>172</v>
      </c>
      <c r="F245" s="501" t="s">
        <v>571</v>
      </c>
      <c r="H245" s="4"/>
      <c r="I245" s="4"/>
      <c r="J245" s="122" t="str">
        <f t="shared" si="117"/>
        <v/>
      </c>
      <c r="K245" s="21"/>
      <c r="L245" s="28"/>
      <c r="M245" s="22">
        <f t="shared" si="125"/>
        <v>0</v>
      </c>
      <c r="N245" s="30"/>
      <c r="O245" s="26"/>
      <c r="P245" s="31">
        <f t="shared" si="110"/>
        <v>0</v>
      </c>
      <c r="Q245" s="21"/>
      <c r="R245" s="28"/>
      <c r="S245" s="22">
        <f t="shared" si="114"/>
        <v>0</v>
      </c>
      <c r="T245" s="30"/>
      <c r="U245" s="26"/>
      <c r="V245" s="31">
        <f t="shared" si="112"/>
        <v>0</v>
      </c>
      <c r="W245" s="26">
        <f t="shared" si="119"/>
        <v>0</v>
      </c>
      <c r="X245" s="36">
        <f t="shared" si="120"/>
        <v>0</v>
      </c>
      <c r="Y245" s="301">
        <f t="shared" si="115"/>
        <v>0</v>
      </c>
      <c r="Z245" s="38"/>
      <c r="AA245" s="38"/>
      <c r="AB245" s="38"/>
      <c r="AC245" s="38"/>
      <c r="AD245" s="157">
        <f t="shared" si="122"/>
        <v>0</v>
      </c>
      <c r="AE245" s="29"/>
      <c r="AF245" s="29"/>
      <c r="AG245" s="40"/>
      <c r="AH245" s="44"/>
      <c r="AI245" s="13"/>
      <c r="AJ245" s="304"/>
      <c r="AK245" s="45">
        <v>12</v>
      </c>
      <c r="AL245" s="23"/>
      <c r="AM245" s="138" t="s">
        <v>579</v>
      </c>
      <c r="AN245" s="25">
        <f t="shared" ca="1" si="107"/>
        <v>12</v>
      </c>
      <c r="AO245" s="50"/>
      <c r="AP245" s="53">
        <f t="shared" si="113"/>
        <v>0</v>
      </c>
      <c r="AQ245" s="322"/>
      <c r="AR245" s="324" t="str">
        <f t="shared" si="123"/>
        <v/>
      </c>
      <c r="AS245" s="375">
        <f t="shared" si="124"/>
        <v>0</v>
      </c>
      <c r="AT245" s="375"/>
      <c r="AU245" s="344" t="str">
        <f t="shared" si="98"/>
        <v/>
      </c>
      <c r="AV245" s="18">
        <f>IF(F244="","",(SUM($AS$6:AS245)))</f>
        <v>1369551.2999999991</v>
      </c>
      <c r="AW245" s="18">
        <f>IFERROR(IF(AS245&lt;&gt;"", SUMIFS($AS$10:AS245, $BG$10:BG245, BG245), ""),"")</f>
        <v>92323.229999999981</v>
      </c>
      <c r="AX245" s="123" t="str">
        <f t="shared" ca="1" si="116"/>
        <v>no drilling completed</v>
      </c>
      <c r="AY245" s="124" t="str">
        <f t="shared" ca="1" si="100"/>
        <v>LINK</v>
      </c>
      <c r="AZ245" t="s">
        <v>532</v>
      </c>
      <c r="BA245" s="125" t="s">
        <v>332</v>
      </c>
      <c r="BB245" t="str">
        <f t="shared" si="101"/>
        <v>25</v>
      </c>
      <c r="BC245">
        <f t="shared" si="102"/>
        <v>10</v>
      </c>
      <c r="BD245">
        <f t="shared" si="103"/>
        <v>10</v>
      </c>
      <c r="BE245" t="str">
        <f t="shared" si="104"/>
        <v>N</v>
      </c>
      <c r="BF245" t="str">
        <f t="shared" si="118"/>
        <v>https://www.coreplan.io/app/ddh1-drilling/speewah-mining-speewah-fluorite-project-wa/plods/1665-251010N</v>
      </c>
      <c r="BG245" t="str">
        <f t="shared" si="105"/>
        <v>2025-10</v>
      </c>
    </row>
    <row r="246" spans="1:59">
      <c r="A246" s="510" t="str">
        <f>VLOOKUP(F246,'Tenement Lookup'!A:BH,60,FALSE)</f>
        <v>M 80/269</v>
      </c>
      <c r="B246" t="s">
        <v>507</v>
      </c>
      <c r="C246" s="151" t="s">
        <v>508</v>
      </c>
      <c r="D246" s="1">
        <f t="shared" si="121"/>
        <v>45941.21</v>
      </c>
      <c r="E246" t="s">
        <v>171</v>
      </c>
      <c r="F246" s="501" t="s">
        <v>571</v>
      </c>
      <c r="H246" s="4" t="s">
        <v>577</v>
      </c>
      <c r="I246" s="4">
        <v>5</v>
      </c>
      <c r="J246" s="122">
        <f t="shared" si="117"/>
        <v>650</v>
      </c>
      <c r="K246" s="21"/>
      <c r="L246" s="28"/>
      <c r="M246" s="22">
        <f t="shared" si="125"/>
        <v>0</v>
      </c>
      <c r="N246" s="30">
        <v>78.400000000000006</v>
      </c>
      <c r="O246" s="26">
        <v>105.4</v>
      </c>
      <c r="P246" s="31">
        <f t="shared" si="110"/>
        <v>27</v>
      </c>
      <c r="Q246" s="21"/>
      <c r="R246" s="28"/>
      <c r="S246" s="22">
        <f t="shared" si="114"/>
        <v>0</v>
      </c>
      <c r="T246" s="30"/>
      <c r="U246" s="26"/>
      <c r="V246" s="31">
        <f t="shared" si="112"/>
        <v>0</v>
      </c>
      <c r="W246" s="26">
        <f t="shared" si="119"/>
        <v>27</v>
      </c>
      <c r="X246" s="36">
        <f t="shared" si="120"/>
        <v>3645</v>
      </c>
      <c r="Y246" s="301">
        <f t="shared" si="115"/>
        <v>3645</v>
      </c>
      <c r="Z246" s="38">
        <v>1</v>
      </c>
      <c r="AA246" s="38">
        <v>1</v>
      </c>
      <c r="AB246" s="38">
        <v>1</v>
      </c>
      <c r="AC246" s="38">
        <v>13122</v>
      </c>
      <c r="AD246" s="157">
        <f t="shared" si="122"/>
        <v>750</v>
      </c>
      <c r="AE246" s="29">
        <v>7.5</v>
      </c>
      <c r="AF246" s="29">
        <v>0.5</v>
      </c>
      <c r="AG246" s="40" t="s">
        <v>581</v>
      </c>
      <c r="AH246" s="44">
        <v>1</v>
      </c>
      <c r="AI246" s="13">
        <v>3</v>
      </c>
      <c r="AJ246" s="304" t="s">
        <v>581</v>
      </c>
      <c r="AK246" s="45"/>
      <c r="AL246" s="23"/>
      <c r="AM246" s="138"/>
      <c r="AN246" s="25">
        <f t="shared" ca="1" si="107"/>
        <v>12</v>
      </c>
      <c r="AO246" s="50"/>
      <c r="AP246" s="53">
        <f t="shared" si="113"/>
        <v>1670</v>
      </c>
      <c r="AQ246" s="322">
        <v>767.93</v>
      </c>
      <c r="AR246" s="324">
        <f t="shared" si="123"/>
        <v>117.92999999999995</v>
      </c>
      <c r="AS246" s="375">
        <f t="shared" si="124"/>
        <v>6832.93</v>
      </c>
      <c r="AT246" s="375">
        <v>6832.93</v>
      </c>
      <c r="AU246" s="344">
        <f t="shared" si="98"/>
        <v>9.5127566066094627E-2</v>
      </c>
      <c r="AV246" s="18">
        <f>IF(F245="","",(SUM($AS$6:AS246)))</f>
        <v>1376384.2299999991</v>
      </c>
      <c r="AW246" s="18">
        <f>IFERROR(IF(AS246&lt;&gt;"", SUMIFS($AS$10:AS246, $BG$10:BG246, BG246), ""),"")</f>
        <v>99156.159999999974</v>
      </c>
      <c r="AX246" s="123">
        <f t="shared" ca="1" si="116"/>
        <v>253.0714814814815</v>
      </c>
      <c r="AY246" s="124" t="str">
        <f t="shared" ca="1" si="100"/>
        <v>LINK</v>
      </c>
      <c r="AZ246" s="423" t="s">
        <v>583</v>
      </c>
      <c r="BA246" s="125" t="s">
        <v>332</v>
      </c>
      <c r="BB246" t="str">
        <f t="shared" si="101"/>
        <v>25</v>
      </c>
      <c r="BC246">
        <f t="shared" si="102"/>
        <v>10</v>
      </c>
      <c r="BD246">
        <f t="shared" si="103"/>
        <v>11</v>
      </c>
      <c r="BE246" t="str">
        <f t="shared" si="104"/>
        <v>D</v>
      </c>
      <c r="BF246" t="str">
        <f t="shared" si="118"/>
        <v>https://www.coreplan.io/app/ddh1-drilling/speewah-mining-speewah-fluorite-project-wa/plods/1665-251011D</v>
      </c>
      <c r="BG246" t="str">
        <f t="shared" si="105"/>
        <v>2025-10</v>
      </c>
    </row>
    <row r="247" spans="1:59">
      <c r="A247" s="510" t="str">
        <f>VLOOKUP(F247,'Tenement Lookup'!A:BH,60,FALSE)</f>
        <v>M 80/269</v>
      </c>
      <c r="B247" t="s">
        <v>507</v>
      </c>
      <c r="C247" s="151" t="s">
        <v>508</v>
      </c>
      <c r="D247" s="1">
        <f t="shared" si="121"/>
        <v>45941.71</v>
      </c>
      <c r="E247" t="s">
        <v>172</v>
      </c>
      <c r="F247" s="501" t="s">
        <v>571</v>
      </c>
      <c r="H247" s="4"/>
      <c r="I247" s="4"/>
      <c r="J247" s="122" t="str">
        <f t="shared" si="117"/>
        <v/>
      </c>
      <c r="K247" s="21"/>
      <c r="L247" s="28"/>
      <c r="M247" s="22">
        <f t="shared" si="125"/>
        <v>0</v>
      </c>
      <c r="N247" s="30"/>
      <c r="O247" s="26"/>
      <c r="P247" s="31">
        <f t="shared" si="110"/>
        <v>0</v>
      </c>
      <c r="Q247" s="21"/>
      <c r="R247" s="28"/>
      <c r="S247" s="22">
        <f t="shared" si="114"/>
        <v>0</v>
      </c>
      <c r="T247" s="30"/>
      <c r="U247" s="26"/>
      <c r="V247" s="31">
        <f t="shared" si="112"/>
        <v>0</v>
      </c>
      <c r="W247" s="26">
        <f t="shared" si="119"/>
        <v>0</v>
      </c>
      <c r="X247" s="36">
        <f t="shared" si="120"/>
        <v>0</v>
      </c>
      <c r="Y247" s="301">
        <f t="shared" si="115"/>
        <v>0</v>
      </c>
      <c r="Z247" s="38"/>
      <c r="AA247" s="38"/>
      <c r="AB247" s="38"/>
      <c r="AC247" s="38"/>
      <c r="AD247" s="157">
        <f t="shared" si="122"/>
        <v>0</v>
      </c>
      <c r="AE247" s="29"/>
      <c r="AF247" s="29"/>
      <c r="AG247" s="40"/>
      <c r="AH247" s="44"/>
      <c r="AI247" s="13"/>
      <c r="AJ247" s="304"/>
      <c r="AK247" s="45">
        <v>12</v>
      </c>
      <c r="AL247" s="23"/>
      <c r="AM247" s="138" t="s">
        <v>579</v>
      </c>
      <c r="AN247" s="25">
        <f t="shared" ca="1" si="107"/>
        <v>12</v>
      </c>
      <c r="AO247" s="50"/>
      <c r="AP247" s="53">
        <f t="shared" si="113"/>
        <v>0</v>
      </c>
      <c r="AQ247" s="322"/>
      <c r="AR247" s="324" t="str">
        <f t="shared" si="123"/>
        <v/>
      </c>
      <c r="AS247" s="375">
        <f t="shared" si="124"/>
        <v>0</v>
      </c>
      <c r="AT247" s="375"/>
      <c r="AU247" s="344" t="str">
        <f t="shared" si="98"/>
        <v/>
      </c>
      <c r="AV247" s="18">
        <f>IF(F246="","",(SUM($AS$6:AS247)))</f>
        <v>1376384.2299999991</v>
      </c>
      <c r="AW247" s="18">
        <f>IFERROR(IF(AS247&lt;&gt;"", SUMIFS($AS$10:AS247, $BG$10:BG247, BG247), ""),"")</f>
        <v>99156.159999999974</v>
      </c>
      <c r="AX247" s="123" t="str">
        <f t="shared" ca="1" si="116"/>
        <v>no drilling completed</v>
      </c>
      <c r="AY247" s="124" t="str">
        <f t="shared" ca="1" si="100"/>
        <v>LINK</v>
      </c>
      <c r="AZ247" t="s">
        <v>532</v>
      </c>
      <c r="BA247" s="125" t="s">
        <v>332</v>
      </c>
      <c r="BB247" t="str">
        <f t="shared" si="101"/>
        <v>25</v>
      </c>
      <c r="BC247">
        <f t="shared" si="102"/>
        <v>10</v>
      </c>
      <c r="BD247">
        <f t="shared" si="103"/>
        <v>11</v>
      </c>
      <c r="BE247" t="str">
        <f t="shared" si="104"/>
        <v>N</v>
      </c>
      <c r="BF247" t="str">
        <f t="shared" si="118"/>
        <v>https://www.coreplan.io/app/ddh1-drilling/speewah-mining-speewah-fluorite-project-wa/plods/1665-251011N</v>
      </c>
      <c r="BG247" t="str">
        <f t="shared" si="105"/>
        <v>2025-10</v>
      </c>
    </row>
    <row r="248" spans="1:59">
      <c r="A248" s="510" t="str">
        <f>VLOOKUP(F248,'Tenement Lookup'!A:BH,60,FALSE)</f>
        <v>M 80/269</v>
      </c>
      <c r="B248" t="s">
        <v>507</v>
      </c>
      <c r="C248" s="151" t="s">
        <v>508</v>
      </c>
      <c r="D248" s="1">
        <f t="shared" si="121"/>
        <v>45942.21</v>
      </c>
      <c r="E248" t="s">
        <v>171</v>
      </c>
      <c r="F248" s="501" t="s">
        <v>571</v>
      </c>
      <c r="H248" s="4" t="s">
        <v>577</v>
      </c>
      <c r="I248" s="4">
        <v>5</v>
      </c>
      <c r="J248" s="122">
        <f t="shared" si="117"/>
        <v>650</v>
      </c>
      <c r="K248" s="21"/>
      <c r="L248" s="28"/>
      <c r="M248" s="22">
        <f t="shared" si="125"/>
        <v>0</v>
      </c>
      <c r="N248" s="30">
        <v>105.4</v>
      </c>
      <c r="O248" s="26">
        <v>126.4</v>
      </c>
      <c r="P248" s="31">
        <f t="shared" si="110"/>
        <v>21</v>
      </c>
      <c r="Q248" s="21"/>
      <c r="R248" s="28"/>
      <c r="S248" s="22">
        <f t="shared" si="114"/>
        <v>0</v>
      </c>
      <c r="T248" s="30"/>
      <c r="U248" s="26"/>
      <c r="V248" s="31">
        <f t="shared" si="112"/>
        <v>0</v>
      </c>
      <c r="W248" s="26">
        <f t="shared" si="119"/>
        <v>21</v>
      </c>
      <c r="X248" s="36">
        <f t="shared" si="120"/>
        <v>2835</v>
      </c>
      <c r="Y248" s="301">
        <f t="shared" si="115"/>
        <v>3450</v>
      </c>
      <c r="Z248" s="38">
        <v>1</v>
      </c>
      <c r="AA248" s="38">
        <v>1</v>
      </c>
      <c r="AB248" s="38">
        <v>1</v>
      </c>
      <c r="AC248" s="38">
        <v>13122</v>
      </c>
      <c r="AD248" s="157">
        <f t="shared" si="122"/>
        <v>750</v>
      </c>
      <c r="AE248" s="29">
        <v>7.5</v>
      </c>
      <c r="AF248" s="29">
        <v>0.25</v>
      </c>
      <c r="AG248" s="40" t="s">
        <v>581</v>
      </c>
      <c r="AH248" s="44">
        <v>1</v>
      </c>
      <c r="AI248" s="13">
        <v>3</v>
      </c>
      <c r="AJ248" s="304" t="s">
        <v>581</v>
      </c>
      <c r="AK248" s="45">
        <v>0.25</v>
      </c>
      <c r="AL248" s="23"/>
      <c r="AM248" s="138" t="s">
        <v>584</v>
      </c>
      <c r="AN248" s="25">
        <f t="shared" ca="1" si="107"/>
        <v>12</v>
      </c>
      <c r="AO248" s="50"/>
      <c r="AP248" s="53">
        <f t="shared" si="113"/>
        <v>1555</v>
      </c>
      <c r="AQ248" s="322">
        <v>767.93</v>
      </c>
      <c r="AR248" s="324">
        <f t="shared" si="123"/>
        <v>117.92999999999995</v>
      </c>
      <c r="AS248" s="375">
        <f t="shared" si="124"/>
        <v>6522.93</v>
      </c>
      <c r="AT248" s="375">
        <v>6522.93</v>
      </c>
      <c r="AU248" s="344">
        <f t="shared" si="98"/>
        <v>9.9648470855888377E-2</v>
      </c>
      <c r="AV248" s="18">
        <f>IF(F247="","",(SUM($AS$6:AS248)))</f>
        <v>1382907.159999999</v>
      </c>
      <c r="AW248" s="18">
        <f>IFERROR(IF(AS248&lt;&gt;"", SUMIFS($AS$10:AS248, $BG$10:BG248, BG248), ""),"")</f>
        <v>105679.08999999997</v>
      </c>
      <c r="AX248" s="123">
        <f t="shared" ca="1" si="116"/>
        <v>310.61571428571432</v>
      </c>
      <c r="AY248" s="124" t="str">
        <f t="shared" ca="1" si="100"/>
        <v>LINK</v>
      </c>
      <c r="AZ248" s="423" t="s">
        <v>583</v>
      </c>
      <c r="BA248" s="125" t="s">
        <v>332</v>
      </c>
      <c r="BB248" t="str">
        <f t="shared" si="101"/>
        <v>25</v>
      </c>
      <c r="BC248">
        <f t="shared" si="102"/>
        <v>10</v>
      </c>
      <c r="BD248">
        <f t="shared" si="103"/>
        <v>12</v>
      </c>
      <c r="BE248" t="str">
        <f t="shared" si="104"/>
        <v>D</v>
      </c>
      <c r="BF248" t="str">
        <f t="shared" si="118"/>
        <v>https://www.coreplan.io/app/ddh1-drilling/speewah-mining-speewah-fluorite-project-wa/plods/1665-251012D</v>
      </c>
      <c r="BG248" t="str">
        <f t="shared" si="105"/>
        <v>2025-10</v>
      </c>
    </row>
    <row r="249" spans="1:59">
      <c r="A249" s="510" t="str">
        <f>VLOOKUP(F249,'Tenement Lookup'!A:BH,60,FALSE)</f>
        <v>M 80/269</v>
      </c>
      <c r="B249" t="s">
        <v>507</v>
      </c>
      <c r="C249" s="151" t="s">
        <v>508</v>
      </c>
      <c r="D249" s="1">
        <f t="shared" si="121"/>
        <v>45942.71</v>
      </c>
      <c r="E249" t="s">
        <v>172</v>
      </c>
      <c r="F249" s="501" t="s">
        <v>571</v>
      </c>
      <c r="H249" s="4"/>
      <c r="I249" s="4"/>
      <c r="J249" s="122" t="str">
        <f t="shared" si="117"/>
        <v/>
      </c>
      <c r="K249" s="21"/>
      <c r="L249" s="28"/>
      <c r="M249" s="22">
        <f t="shared" si="125"/>
        <v>0</v>
      </c>
      <c r="N249" s="30"/>
      <c r="O249" s="26"/>
      <c r="P249" s="31">
        <f t="shared" si="110"/>
        <v>0</v>
      </c>
      <c r="Q249" s="21"/>
      <c r="R249" s="28"/>
      <c r="S249" s="22">
        <f t="shared" si="114"/>
        <v>0</v>
      </c>
      <c r="T249" s="30"/>
      <c r="U249" s="26"/>
      <c r="V249" s="31">
        <f t="shared" si="112"/>
        <v>0</v>
      </c>
      <c r="W249" s="26">
        <f t="shared" si="119"/>
        <v>0</v>
      </c>
      <c r="X249" s="36">
        <f t="shared" si="120"/>
        <v>0</v>
      </c>
      <c r="Y249" s="301">
        <f t="shared" si="115"/>
        <v>0</v>
      </c>
      <c r="Z249" s="38"/>
      <c r="AA249" s="38"/>
      <c r="AB249" s="38"/>
      <c r="AC249" s="38"/>
      <c r="AD249" s="157">
        <f t="shared" si="122"/>
        <v>0</v>
      </c>
      <c r="AE249" s="29"/>
      <c r="AF249" s="29"/>
      <c r="AG249" s="40"/>
      <c r="AH249" s="44"/>
      <c r="AI249" s="13"/>
      <c r="AJ249" s="304"/>
      <c r="AK249" s="45">
        <v>12</v>
      </c>
      <c r="AL249" s="23"/>
      <c r="AM249" s="138" t="s">
        <v>579</v>
      </c>
      <c r="AN249" s="25">
        <f t="shared" ca="1" si="107"/>
        <v>12</v>
      </c>
      <c r="AO249" s="50"/>
      <c r="AP249" s="53">
        <f t="shared" si="113"/>
        <v>0</v>
      </c>
      <c r="AQ249" s="322"/>
      <c r="AR249" s="324" t="str">
        <f t="shared" si="123"/>
        <v/>
      </c>
      <c r="AS249" s="375">
        <f t="shared" si="124"/>
        <v>0</v>
      </c>
      <c r="AT249" s="375"/>
      <c r="AU249" s="344" t="str">
        <f t="shared" si="98"/>
        <v/>
      </c>
      <c r="AV249" s="18">
        <f>IF(F248="","",(SUM($AS$6:AS249)))</f>
        <v>1382907.159999999</v>
      </c>
      <c r="AW249" s="18">
        <f>IFERROR(IF(AS249&lt;&gt;"", SUMIFS($AS$10:AS249, $BG$10:BG249, BG249), ""),"")</f>
        <v>105679.08999999997</v>
      </c>
      <c r="AX249" s="123" t="str">
        <f t="shared" ca="1" si="116"/>
        <v>no drilling completed</v>
      </c>
      <c r="AY249" s="124" t="str">
        <f t="shared" ca="1" si="100"/>
        <v>LINK</v>
      </c>
      <c r="AZ249" t="s">
        <v>532</v>
      </c>
      <c r="BA249" s="125" t="s">
        <v>332</v>
      </c>
      <c r="BB249" t="str">
        <f t="shared" si="101"/>
        <v>25</v>
      </c>
      <c r="BC249">
        <f t="shared" si="102"/>
        <v>10</v>
      </c>
      <c r="BD249">
        <f t="shared" si="103"/>
        <v>12</v>
      </c>
      <c r="BE249" t="str">
        <f t="shared" si="104"/>
        <v>N</v>
      </c>
      <c r="BF249" t="str">
        <f t="shared" ref="BF249:BF274" si="126">CONCATENATE(BA249,BB249,BC249,BD249,BE249)</f>
        <v>https://www.coreplan.io/app/ddh1-drilling/speewah-mining-speewah-fluorite-project-wa/plods/1665-251012N</v>
      </c>
      <c r="BG249" t="str">
        <f t="shared" si="105"/>
        <v>2025-10</v>
      </c>
    </row>
    <row r="250" spans="1:59">
      <c r="A250" s="510" t="str">
        <f>VLOOKUP(F250,'Tenement Lookup'!A:BH,60,FALSE)</f>
        <v>M 80/269</v>
      </c>
      <c r="B250" t="s">
        <v>507</v>
      </c>
      <c r="C250" s="151" t="s">
        <v>508</v>
      </c>
      <c r="D250" s="1">
        <f t="shared" si="121"/>
        <v>45943.21</v>
      </c>
      <c r="E250" t="s">
        <v>171</v>
      </c>
      <c r="F250" s="501" t="s">
        <v>571</v>
      </c>
      <c r="H250" s="4" t="s">
        <v>577</v>
      </c>
      <c r="I250" s="4">
        <v>5</v>
      </c>
      <c r="J250" s="122">
        <f t="shared" si="117"/>
        <v>650</v>
      </c>
      <c r="K250" s="21"/>
      <c r="L250" s="28"/>
      <c r="M250" s="22">
        <f t="shared" si="125"/>
        <v>0</v>
      </c>
      <c r="N250" s="30">
        <v>126.4</v>
      </c>
      <c r="O250" s="26">
        <v>147.4</v>
      </c>
      <c r="P250" s="31">
        <f t="shared" si="110"/>
        <v>21</v>
      </c>
      <c r="Q250" s="21"/>
      <c r="R250" s="28"/>
      <c r="S250" s="22">
        <f t="shared" si="114"/>
        <v>0</v>
      </c>
      <c r="T250" s="30"/>
      <c r="U250" s="26"/>
      <c r="V250" s="31">
        <f t="shared" si="112"/>
        <v>0</v>
      </c>
      <c r="W250" s="26">
        <f t="shared" si="119"/>
        <v>21</v>
      </c>
      <c r="X250" s="36">
        <f t="shared" si="120"/>
        <v>2835</v>
      </c>
      <c r="Y250" s="301">
        <f t="shared" si="115"/>
        <v>4370</v>
      </c>
      <c r="Z250" s="38">
        <v>1</v>
      </c>
      <c r="AA250" s="38">
        <v>1</v>
      </c>
      <c r="AB250" s="38">
        <v>1</v>
      </c>
      <c r="AC250" s="38">
        <v>13122</v>
      </c>
      <c r="AD250" s="157">
        <f t="shared" si="122"/>
        <v>750</v>
      </c>
      <c r="AE250" s="29">
        <v>9.5</v>
      </c>
      <c r="AF250" s="29">
        <v>1.5</v>
      </c>
      <c r="AG250" s="40"/>
      <c r="AH250" s="44">
        <v>1</v>
      </c>
      <c r="AI250" s="13"/>
      <c r="AJ250" s="304"/>
      <c r="AK250" s="45"/>
      <c r="AL250" s="23"/>
      <c r="AM250" s="138"/>
      <c r="AN250" s="25">
        <f t="shared" ca="1" si="107"/>
        <v>12</v>
      </c>
      <c r="AO250" s="50"/>
      <c r="AP250" s="53">
        <f t="shared" si="113"/>
        <v>1050</v>
      </c>
      <c r="AQ250" s="322">
        <v>1146.2</v>
      </c>
      <c r="AR250" s="324">
        <f t="shared" si="123"/>
        <v>496.20000000000005</v>
      </c>
      <c r="AS250" s="375">
        <f t="shared" si="124"/>
        <v>7316.2</v>
      </c>
      <c r="AT250" s="375">
        <v>7316.2</v>
      </c>
      <c r="AU250" s="344">
        <f t="shared" si="98"/>
        <v>8.8843935376288236E-2</v>
      </c>
      <c r="AV250" s="18">
        <f>IF(F249="","",(SUM($AS$6:AS250)))</f>
        <v>1390223.3599999989</v>
      </c>
      <c r="AW250" s="18">
        <f>IFERROR(IF(AS250&lt;&gt;"", SUMIFS($AS$10:AS250, $BG$10:BG250, BG250), ""),"")</f>
        <v>112995.28999999996</v>
      </c>
      <c r="AX250" s="123">
        <f t="shared" ca="1" si="116"/>
        <v>348.39047619047619</v>
      </c>
      <c r="AY250" s="124" t="str">
        <f t="shared" ca="1" si="100"/>
        <v>LINK</v>
      </c>
      <c r="AZ250" t="s">
        <v>585</v>
      </c>
      <c r="BA250" s="125" t="s">
        <v>332</v>
      </c>
      <c r="BB250" t="str">
        <f t="shared" si="101"/>
        <v>25</v>
      </c>
      <c r="BC250">
        <f t="shared" si="102"/>
        <v>10</v>
      </c>
      <c r="BD250">
        <f t="shared" si="103"/>
        <v>13</v>
      </c>
      <c r="BE250" t="str">
        <f t="shared" si="104"/>
        <v>D</v>
      </c>
      <c r="BF250" t="str">
        <f t="shared" si="126"/>
        <v>https://www.coreplan.io/app/ddh1-drilling/speewah-mining-speewah-fluorite-project-wa/plods/1665-251013D</v>
      </c>
      <c r="BG250" t="str">
        <f t="shared" si="105"/>
        <v>2025-10</v>
      </c>
    </row>
    <row r="251" spans="1:59">
      <c r="A251" s="510" t="str">
        <f>VLOOKUP(F251,'Tenement Lookup'!A:BH,60,FALSE)</f>
        <v>M 80/269</v>
      </c>
      <c r="B251" t="s">
        <v>507</v>
      </c>
      <c r="C251" s="151" t="s">
        <v>508</v>
      </c>
      <c r="D251" s="1">
        <f t="shared" si="121"/>
        <v>45943.71</v>
      </c>
      <c r="E251" t="s">
        <v>172</v>
      </c>
      <c r="F251" s="501" t="s">
        <v>571</v>
      </c>
      <c r="H251" s="4"/>
      <c r="I251" s="4"/>
      <c r="J251" s="122" t="str">
        <f t="shared" si="117"/>
        <v/>
      </c>
      <c r="K251" s="21"/>
      <c r="L251" s="28"/>
      <c r="M251" s="22">
        <f t="shared" si="125"/>
        <v>0</v>
      </c>
      <c r="N251" s="30"/>
      <c r="O251" s="26"/>
      <c r="P251" s="31">
        <f t="shared" si="110"/>
        <v>0</v>
      </c>
      <c r="Q251" s="21"/>
      <c r="R251" s="28"/>
      <c r="S251" s="22">
        <f t="shared" si="114"/>
        <v>0</v>
      </c>
      <c r="T251" s="30"/>
      <c r="U251" s="26"/>
      <c r="V251" s="31">
        <f t="shared" si="112"/>
        <v>0</v>
      </c>
      <c r="W251" s="26">
        <f t="shared" si="119"/>
        <v>0</v>
      </c>
      <c r="X251" s="36">
        <f t="shared" si="120"/>
        <v>0</v>
      </c>
      <c r="Y251" s="301">
        <f t="shared" si="115"/>
        <v>0</v>
      </c>
      <c r="Z251" s="38"/>
      <c r="AA251" s="38"/>
      <c r="AB251" s="38"/>
      <c r="AC251" s="38"/>
      <c r="AD251" s="157">
        <f t="shared" si="122"/>
        <v>0</v>
      </c>
      <c r="AE251" s="29"/>
      <c r="AF251" s="29"/>
      <c r="AG251" s="40"/>
      <c r="AH251" s="44"/>
      <c r="AI251" s="13"/>
      <c r="AJ251" s="304"/>
      <c r="AK251" s="45">
        <v>12</v>
      </c>
      <c r="AL251" s="23"/>
      <c r="AM251" s="138"/>
      <c r="AN251" s="25">
        <f t="shared" ca="1" si="107"/>
        <v>12</v>
      </c>
      <c r="AO251" s="50"/>
      <c r="AP251" s="53">
        <f t="shared" si="113"/>
        <v>0</v>
      </c>
      <c r="AQ251" s="322"/>
      <c r="AR251" s="324" t="str">
        <f t="shared" si="123"/>
        <v/>
      </c>
      <c r="AS251" s="375">
        <f t="shared" si="124"/>
        <v>0</v>
      </c>
      <c r="AT251" s="375"/>
      <c r="AU251" s="344" t="str">
        <f t="shared" si="98"/>
        <v/>
      </c>
      <c r="AV251" s="18">
        <f>IF(F250="","",(SUM($AS$6:AS251)))</f>
        <v>1390223.3599999989</v>
      </c>
      <c r="AW251" s="18">
        <f>IFERROR(IF(AS251&lt;&gt;"", SUMIFS($AS$10:AS251, $BG$10:BG251, BG251), ""),"")</f>
        <v>112995.28999999996</v>
      </c>
      <c r="AX251" s="123" t="str">
        <f t="shared" ca="1" si="116"/>
        <v>no drilling completed</v>
      </c>
      <c r="AY251" s="124" t="str">
        <f t="shared" ca="1" si="100"/>
        <v>LINK</v>
      </c>
      <c r="AZ251" t="s">
        <v>532</v>
      </c>
      <c r="BA251" s="125" t="s">
        <v>332</v>
      </c>
      <c r="BB251" t="str">
        <f t="shared" si="101"/>
        <v>25</v>
      </c>
      <c r="BC251">
        <f t="shared" si="102"/>
        <v>10</v>
      </c>
      <c r="BD251">
        <f t="shared" si="103"/>
        <v>13</v>
      </c>
      <c r="BE251" t="str">
        <f t="shared" si="104"/>
        <v>N</v>
      </c>
      <c r="BF251" t="str">
        <f t="shared" si="126"/>
        <v>https://www.coreplan.io/app/ddh1-drilling/speewah-mining-speewah-fluorite-project-wa/plods/1665-251013N</v>
      </c>
      <c r="BG251" t="str">
        <f t="shared" si="105"/>
        <v>2025-10</v>
      </c>
    </row>
    <row r="252" spans="1:59">
      <c r="A252" s="510" t="str">
        <f>VLOOKUP(F252,'Tenement Lookup'!A:BH,60,FALSE)</f>
        <v>M 80/269</v>
      </c>
      <c r="B252" t="s">
        <v>507</v>
      </c>
      <c r="C252" s="151" t="s">
        <v>508</v>
      </c>
      <c r="D252" s="1">
        <f t="shared" si="121"/>
        <v>45944.21</v>
      </c>
      <c r="E252" t="s">
        <v>171</v>
      </c>
      <c r="F252" s="501" t="s">
        <v>571</v>
      </c>
      <c r="H252" s="4" t="s">
        <v>577</v>
      </c>
      <c r="I252" s="4">
        <v>6</v>
      </c>
      <c r="J252" s="122">
        <f t="shared" si="117"/>
        <v>780</v>
      </c>
      <c r="K252" s="21"/>
      <c r="L252" s="28"/>
      <c r="M252" s="22">
        <f t="shared" si="125"/>
        <v>0</v>
      </c>
      <c r="N252" s="30">
        <v>147.4</v>
      </c>
      <c r="O252" s="26">
        <v>159.4</v>
      </c>
      <c r="P252" s="31">
        <v>0</v>
      </c>
      <c r="Q252" s="21"/>
      <c r="R252" s="28"/>
      <c r="S252" s="22">
        <f t="shared" si="114"/>
        <v>0</v>
      </c>
      <c r="T252" s="30"/>
      <c r="U252" s="26"/>
      <c r="V252" s="31">
        <f t="shared" si="112"/>
        <v>0</v>
      </c>
      <c r="W252" s="26">
        <f t="shared" si="119"/>
        <v>0</v>
      </c>
      <c r="X252" s="36">
        <f t="shared" si="120"/>
        <v>0</v>
      </c>
      <c r="Y252" s="301">
        <f t="shared" ref="Y252:Y283" si="127">IF(F252&lt;&gt;"",IF(X252&lt;(AE252*$AE$2),(AE252*$AE$2),X252),"")</f>
        <v>2185</v>
      </c>
      <c r="Z252" s="38">
        <v>1</v>
      </c>
      <c r="AA252" s="38">
        <v>1</v>
      </c>
      <c r="AB252" s="38">
        <v>1</v>
      </c>
      <c r="AC252" s="38">
        <v>13122</v>
      </c>
      <c r="AD252" s="157">
        <f t="shared" si="122"/>
        <v>750</v>
      </c>
      <c r="AE252" s="29">
        <v>4.75</v>
      </c>
      <c r="AF252" s="29">
        <v>6.25</v>
      </c>
      <c r="AG252" s="40"/>
      <c r="AH252" s="44">
        <v>1</v>
      </c>
      <c r="AI252" s="13"/>
      <c r="AJ252" s="304"/>
      <c r="AK252" s="45"/>
      <c r="AL252" s="23"/>
      <c r="AM252" s="138"/>
      <c r="AN252" s="25">
        <f t="shared" ca="1" si="107"/>
        <v>12</v>
      </c>
      <c r="AO252" s="50"/>
      <c r="AP252" s="53">
        <f t="shared" si="113"/>
        <v>3235</v>
      </c>
      <c r="AQ252" s="322">
        <v>6011.25</v>
      </c>
      <c r="AR252" s="324">
        <f t="shared" si="123"/>
        <v>5231.25</v>
      </c>
      <c r="AS252" s="375">
        <f t="shared" si="124"/>
        <v>12181.25</v>
      </c>
      <c r="AT252" s="375">
        <v>12181.25</v>
      </c>
      <c r="AU252" s="344">
        <f t="shared" si="98"/>
        <v>6.403283735248845E-2</v>
      </c>
      <c r="AV252" s="18">
        <f>IF(F251="","",(SUM($AS$6:AS252)))</f>
        <v>1402404.6099999989</v>
      </c>
      <c r="AW252" s="18">
        <f>IFERROR(IF(AS252&lt;&gt;"", SUMIFS($AS$10:AS252, $BG$10:BG252, BG252), ""),"")</f>
        <v>125176.53999999996</v>
      </c>
      <c r="AX252" s="123" t="e">
        <f t="shared" ca="1" si="116"/>
        <v>#DIV/0!</v>
      </c>
      <c r="AY252" s="124" t="str">
        <f t="shared" ca="1" si="100"/>
        <v>LINK</v>
      </c>
      <c r="AZ252" t="s">
        <v>586</v>
      </c>
      <c r="BA252" s="125" t="s">
        <v>332</v>
      </c>
      <c r="BB252" t="str">
        <f t="shared" si="101"/>
        <v>25</v>
      </c>
      <c r="BC252">
        <f t="shared" si="102"/>
        <v>10</v>
      </c>
      <c r="BD252">
        <f t="shared" si="103"/>
        <v>14</v>
      </c>
      <c r="BE252" t="str">
        <f t="shared" si="104"/>
        <v>D</v>
      </c>
      <c r="BF252" t="str">
        <f t="shared" si="126"/>
        <v>https://www.coreplan.io/app/ddh1-drilling/speewah-mining-speewah-fluorite-project-wa/plods/1665-251014D</v>
      </c>
      <c r="BG252" t="str">
        <f t="shared" si="105"/>
        <v>2025-10</v>
      </c>
    </row>
    <row r="253" spans="1:59">
      <c r="A253" s="510" t="str">
        <f>VLOOKUP(F253,'Tenement Lookup'!A:BH,60,FALSE)</f>
        <v>M 80/269</v>
      </c>
      <c r="B253" t="s">
        <v>507</v>
      </c>
      <c r="C253" s="151" t="s">
        <v>508</v>
      </c>
      <c r="D253" s="1">
        <f t="shared" si="121"/>
        <v>45944.71</v>
      </c>
      <c r="E253" t="s">
        <v>172</v>
      </c>
      <c r="F253" s="501" t="s">
        <v>587</v>
      </c>
      <c r="H253" s="4" t="s">
        <v>588</v>
      </c>
      <c r="I253" s="4">
        <v>0</v>
      </c>
      <c r="J253" s="122">
        <f t="shared" si="117"/>
        <v>0</v>
      </c>
      <c r="K253" s="21">
        <v>0</v>
      </c>
      <c r="L253" s="28">
        <v>10.7</v>
      </c>
      <c r="M253" s="22">
        <f t="shared" si="125"/>
        <v>10.7</v>
      </c>
      <c r="N253" s="30"/>
      <c r="O253" s="26"/>
      <c r="P253" s="31">
        <f t="shared" si="110"/>
        <v>0</v>
      </c>
      <c r="Q253" s="21"/>
      <c r="R253" s="28"/>
      <c r="S253" s="22">
        <f t="shared" si="114"/>
        <v>0</v>
      </c>
      <c r="T253" s="30"/>
      <c r="U253" s="26"/>
      <c r="V253" s="31">
        <f t="shared" si="112"/>
        <v>0</v>
      </c>
      <c r="W253" s="26">
        <f t="shared" si="119"/>
        <v>10.7</v>
      </c>
      <c r="X253" s="36">
        <f t="shared" si="120"/>
        <v>1872.4999999999998</v>
      </c>
      <c r="Y253" s="301">
        <f t="shared" si="127"/>
        <v>3335</v>
      </c>
      <c r="Z253" s="38"/>
      <c r="AA253" s="38"/>
      <c r="AB253" s="38"/>
      <c r="AC253" s="38"/>
      <c r="AD253" s="157">
        <f t="shared" si="122"/>
        <v>0</v>
      </c>
      <c r="AE253" s="29">
        <v>7.25</v>
      </c>
      <c r="AF253" s="29">
        <v>3.75</v>
      </c>
      <c r="AG253" s="40"/>
      <c r="AH253" s="44">
        <v>1</v>
      </c>
      <c r="AI253" s="13"/>
      <c r="AJ253" s="304"/>
      <c r="AK253" s="45"/>
      <c r="AL253" s="23"/>
      <c r="AM253" s="138"/>
      <c r="AN253" s="25">
        <f t="shared" ca="1" si="107"/>
        <v>12</v>
      </c>
      <c r="AO253" s="50"/>
      <c r="AP253" s="53">
        <f t="shared" si="113"/>
        <v>2085</v>
      </c>
      <c r="AQ253" s="322">
        <v>117.93</v>
      </c>
      <c r="AR253" s="324">
        <f t="shared" si="123"/>
        <v>117.93</v>
      </c>
      <c r="AS253" s="375">
        <f t="shared" si="124"/>
        <v>5537.93</v>
      </c>
      <c r="AT253" s="375">
        <v>5537.93</v>
      </c>
      <c r="AU253" s="344">
        <f t="shared" si="98"/>
        <v>0</v>
      </c>
      <c r="AV253" s="18">
        <f>IF(F252="","",(SUM($AS$6:AS253)))</f>
        <v>1407942.5399999989</v>
      </c>
      <c r="AW253" s="18">
        <f>IFERROR(IF(AS253&lt;&gt;"", SUMIFS($AS$10:AS253, $BG$10:BG253, BG253), ""),"")</f>
        <v>130714.46999999997</v>
      </c>
      <c r="AX253" s="123">
        <f t="shared" ca="1" si="116"/>
        <v>517.56355140186918</v>
      </c>
      <c r="AY253" s="124" t="str">
        <f t="shared" ca="1" si="100"/>
        <v>LINK</v>
      </c>
      <c r="AZ253" t="s">
        <v>589</v>
      </c>
      <c r="BA253" s="125" t="s">
        <v>332</v>
      </c>
      <c r="BB253" t="str">
        <f t="shared" si="101"/>
        <v>25</v>
      </c>
      <c r="BC253">
        <f t="shared" si="102"/>
        <v>10</v>
      </c>
      <c r="BD253">
        <f t="shared" si="103"/>
        <v>14</v>
      </c>
      <c r="BE253" t="str">
        <f t="shared" si="104"/>
        <v>N</v>
      </c>
      <c r="BF253" t="str">
        <f t="shared" si="126"/>
        <v>https://www.coreplan.io/app/ddh1-drilling/speewah-mining-speewah-fluorite-project-wa/plods/1665-251014N</v>
      </c>
      <c r="BG253" t="str">
        <f t="shared" si="105"/>
        <v>2025-10</v>
      </c>
    </row>
    <row r="254" spans="1:59">
      <c r="A254" s="510" t="str">
        <f>VLOOKUP(F254,'Tenement Lookup'!A:BH,60,FALSE)</f>
        <v>M 80/269</v>
      </c>
      <c r="B254" t="s">
        <v>507</v>
      </c>
      <c r="C254" s="151" t="s">
        <v>508</v>
      </c>
      <c r="D254" s="1">
        <f t="shared" si="121"/>
        <v>45945.21</v>
      </c>
      <c r="E254" t="s">
        <v>171</v>
      </c>
      <c r="F254" s="501" t="s">
        <v>587</v>
      </c>
      <c r="H254" s="4" t="s">
        <v>577</v>
      </c>
      <c r="I254" s="4">
        <v>6</v>
      </c>
      <c r="J254" s="122">
        <f t="shared" si="117"/>
        <v>780</v>
      </c>
      <c r="K254" s="21">
        <v>10.7</v>
      </c>
      <c r="L254" s="28">
        <v>21.6</v>
      </c>
      <c r="M254" s="22">
        <f t="shared" si="125"/>
        <v>10.900000000000002</v>
      </c>
      <c r="N254" s="30"/>
      <c r="O254" s="26"/>
      <c r="P254" s="31">
        <f t="shared" si="110"/>
        <v>0</v>
      </c>
      <c r="Q254" s="21"/>
      <c r="R254" s="28"/>
      <c r="S254" s="22">
        <f t="shared" si="114"/>
        <v>0</v>
      </c>
      <c r="T254" s="30"/>
      <c r="U254" s="26"/>
      <c r="V254" s="31">
        <f t="shared" si="112"/>
        <v>0</v>
      </c>
      <c r="W254" s="26">
        <f t="shared" si="119"/>
        <v>10.900000000000002</v>
      </c>
      <c r="X254" s="36">
        <f t="shared" si="120"/>
        <v>1907.5000000000005</v>
      </c>
      <c r="Y254" s="301">
        <f t="shared" si="127"/>
        <v>2530</v>
      </c>
      <c r="Z254" s="38">
        <v>1</v>
      </c>
      <c r="AA254" s="38">
        <v>1</v>
      </c>
      <c r="AB254" s="38">
        <v>1</v>
      </c>
      <c r="AC254" s="38">
        <v>13122</v>
      </c>
      <c r="AD254" s="157">
        <f t="shared" si="122"/>
        <v>750</v>
      </c>
      <c r="AE254" s="29">
        <v>5.5</v>
      </c>
      <c r="AF254" s="29">
        <v>5</v>
      </c>
      <c r="AG254" s="40"/>
      <c r="AH254" s="44">
        <v>1</v>
      </c>
      <c r="AI254" s="13"/>
      <c r="AJ254" s="304"/>
      <c r="AK254" s="45">
        <v>0.5</v>
      </c>
      <c r="AL254" s="23"/>
      <c r="AM254" s="138" t="s">
        <v>590</v>
      </c>
      <c r="AN254" s="25">
        <f t="shared" ca="1" si="107"/>
        <v>12</v>
      </c>
      <c r="AO254" s="50"/>
      <c r="AP254" s="53">
        <f t="shared" si="113"/>
        <v>2660</v>
      </c>
      <c r="AQ254" s="322">
        <v>1359.46</v>
      </c>
      <c r="AR254" s="324">
        <f t="shared" si="123"/>
        <v>579.46</v>
      </c>
      <c r="AS254" s="375">
        <f t="shared" si="124"/>
        <v>7299.46</v>
      </c>
      <c r="AT254" s="375">
        <v>7299.46</v>
      </c>
      <c r="AU254" s="344">
        <f t="shared" si="98"/>
        <v>0.10685721957514666</v>
      </c>
      <c r="AV254" s="18">
        <f>IF(F253="","",(SUM($AS$6:AS254)))</f>
        <v>1415241.9999999988</v>
      </c>
      <c r="AW254" s="18">
        <f>IFERROR(IF(AS254&lt;&gt;"", SUMIFS($AS$10:AS254, $BG$10:BG254, BG254), ""),"")</f>
        <v>138013.92999999996</v>
      </c>
      <c r="AX254" s="123">
        <f t="shared" ca="1" si="116"/>
        <v>669.675229357798</v>
      </c>
      <c r="AY254" s="124" t="str">
        <f t="shared" ca="1" si="100"/>
        <v>LINK</v>
      </c>
      <c r="AZ254" t="s">
        <v>591</v>
      </c>
      <c r="BA254" s="125" t="s">
        <v>332</v>
      </c>
      <c r="BB254" t="str">
        <f t="shared" si="101"/>
        <v>25</v>
      </c>
      <c r="BC254">
        <f t="shared" si="102"/>
        <v>10</v>
      </c>
      <c r="BD254">
        <f t="shared" si="103"/>
        <v>15</v>
      </c>
      <c r="BE254" t="str">
        <f t="shared" si="104"/>
        <v>D</v>
      </c>
      <c r="BF254" t="str">
        <f t="shared" si="126"/>
        <v>https://www.coreplan.io/app/ddh1-drilling/speewah-mining-speewah-fluorite-project-wa/plods/1665-251015D</v>
      </c>
      <c r="BG254" t="str">
        <f t="shared" si="105"/>
        <v>2025-10</v>
      </c>
    </row>
    <row r="255" spans="1:59">
      <c r="A255" s="510" t="str">
        <f>VLOOKUP(F255,'Tenement Lookup'!A:BH,60,FALSE)</f>
        <v>M 80/269</v>
      </c>
      <c r="B255" t="s">
        <v>507</v>
      </c>
      <c r="C255" s="151" t="s">
        <v>508</v>
      </c>
      <c r="D255" s="1">
        <f t="shared" si="121"/>
        <v>45945.71</v>
      </c>
      <c r="E255" t="s">
        <v>172</v>
      </c>
      <c r="F255" s="501" t="s">
        <v>587</v>
      </c>
      <c r="H255" s="4" t="s">
        <v>588</v>
      </c>
      <c r="I255" s="4">
        <v>0</v>
      </c>
      <c r="J255" s="122">
        <f t="shared" si="117"/>
        <v>0</v>
      </c>
      <c r="K255" s="21">
        <v>21.6</v>
      </c>
      <c r="L255" s="28">
        <v>40.799999999999997</v>
      </c>
      <c r="M255" s="22">
        <f t="shared" si="125"/>
        <v>19.199999999999996</v>
      </c>
      <c r="N255" s="30"/>
      <c r="O255" s="26"/>
      <c r="P255" s="31">
        <f t="shared" si="110"/>
        <v>0</v>
      </c>
      <c r="Q255" s="21"/>
      <c r="R255" s="28"/>
      <c r="S255" s="22">
        <f t="shared" si="114"/>
        <v>0</v>
      </c>
      <c r="T255" s="30"/>
      <c r="U255" s="26"/>
      <c r="V255" s="31">
        <f t="shared" si="112"/>
        <v>0</v>
      </c>
      <c r="W255" s="26">
        <f t="shared" si="119"/>
        <v>19.199999999999996</v>
      </c>
      <c r="X255" s="36">
        <f t="shared" si="120"/>
        <v>3359.9999999999991</v>
      </c>
      <c r="Y255" s="301">
        <f t="shared" si="127"/>
        <v>3359.9999999999991</v>
      </c>
      <c r="Z255" s="38"/>
      <c r="AA255" s="38"/>
      <c r="AB255" s="38"/>
      <c r="AC255" s="38"/>
      <c r="AD255" s="157">
        <f t="shared" si="122"/>
        <v>0</v>
      </c>
      <c r="AE255" s="29">
        <v>5.5</v>
      </c>
      <c r="AF255" s="29">
        <v>0.75</v>
      </c>
      <c r="AG255" s="40" t="s">
        <v>581</v>
      </c>
      <c r="AH255" s="44">
        <v>5.25</v>
      </c>
      <c r="AI255" s="13"/>
      <c r="AJ255" s="304"/>
      <c r="AK255" s="45">
        <v>0.5</v>
      </c>
      <c r="AL255" s="23"/>
      <c r="AM255" s="138" t="s">
        <v>590</v>
      </c>
      <c r="AN255" s="25">
        <f t="shared" ca="1" si="107"/>
        <v>12</v>
      </c>
      <c r="AO255" s="50"/>
      <c r="AP255" s="53">
        <f t="shared" si="113"/>
        <v>2235</v>
      </c>
      <c r="AQ255" s="322">
        <v>1280.49</v>
      </c>
      <c r="AR255" s="324">
        <f t="shared" si="123"/>
        <v>1280.49</v>
      </c>
      <c r="AS255" s="375">
        <f t="shared" si="124"/>
        <v>6875.4899999999989</v>
      </c>
      <c r="AT255" s="375">
        <v>6875.49</v>
      </c>
      <c r="AU255" s="344">
        <f t="shared" si="98"/>
        <v>0</v>
      </c>
      <c r="AV255" s="18">
        <f>IF(F254="","",(SUM($AS$6:AS255)))</f>
        <v>1422117.4899999988</v>
      </c>
      <c r="AW255" s="18">
        <f>IFERROR(IF(AS255&lt;&gt;"", SUMIFS($AS$10:AS255, $BG$10:BG255, BG255), ""),"")</f>
        <v>144889.41999999995</v>
      </c>
      <c r="AX255" s="123">
        <f t="shared" ca="1" si="116"/>
        <v>358.09843750000005</v>
      </c>
      <c r="AY255" s="124" t="str">
        <f t="shared" ca="1" si="100"/>
        <v>LINK</v>
      </c>
      <c r="AZ255" t="s">
        <v>592</v>
      </c>
      <c r="BA255" s="125" t="s">
        <v>332</v>
      </c>
      <c r="BB255" t="str">
        <f t="shared" si="101"/>
        <v>25</v>
      </c>
      <c r="BC255">
        <f t="shared" si="102"/>
        <v>10</v>
      </c>
      <c r="BD255">
        <f t="shared" si="103"/>
        <v>15</v>
      </c>
      <c r="BE255" t="str">
        <f t="shared" si="104"/>
        <v>N</v>
      </c>
      <c r="BF255" t="str">
        <f t="shared" si="126"/>
        <v>https://www.coreplan.io/app/ddh1-drilling/speewah-mining-speewah-fluorite-project-wa/plods/1665-251015N</v>
      </c>
      <c r="BG255" t="str">
        <f t="shared" si="105"/>
        <v>2025-10</v>
      </c>
    </row>
    <row r="256" spans="1:59">
      <c r="A256" s="510" t="str">
        <f>VLOOKUP(F256,'Tenement Lookup'!A:BH,60,FALSE)</f>
        <v>M 80/269</v>
      </c>
      <c r="B256" t="s">
        <v>507</v>
      </c>
      <c r="C256" s="151" t="s">
        <v>508</v>
      </c>
      <c r="D256" s="1">
        <f t="shared" si="121"/>
        <v>45946.21</v>
      </c>
      <c r="E256" t="s">
        <v>171</v>
      </c>
      <c r="F256" s="501" t="s">
        <v>587</v>
      </c>
      <c r="H256" s="4" t="s">
        <v>577</v>
      </c>
      <c r="I256" s="4">
        <v>6</v>
      </c>
      <c r="J256" s="122">
        <f t="shared" si="117"/>
        <v>780</v>
      </c>
      <c r="K256" s="21"/>
      <c r="L256" s="28"/>
      <c r="M256" s="22">
        <f t="shared" si="125"/>
        <v>0</v>
      </c>
      <c r="N256" s="30"/>
      <c r="O256" s="26"/>
      <c r="P256" s="31">
        <f t="shared" si="110"/>
        <v>0</v>
      </c>
      <c r="Q256" s="21"/>
      <c r="R256" s="28"/>
      <c r="S256" s="22">
        <f t="shared" si="114"/>
        <v>0</v>
      </c>
      <c r="T256" s="30"/>
      <c r="U256" s="26"/>
      <c r="V256" s="31">
        <f t="shared" si="112"/>
        <v>0</v>
      </c>
      <c r="W256" s="26">
        <f t="shared" si="119"/>
        <v>0</v>
      </c>
      <c r="X256" s="36">
        <f t="shared" si="120"/>
        <v>0</v>
      </c>
      <c r="Y256" s="301">
        <f t="shared" si="127"/>
        <v>0</v>
      </c>
      <c r="Z256" s="38">
        <v>1</v>
      </c>
      <c r="AA256" s="38">
        <v>1</v>
      </c>
      <c r="AB256" s="38">
        <v>1</v>
      </c>
      <c r="AC256" s="38">
        <v>13122</v>
      </c>
      <c r="AD256" s="157">
        <f t="shared" si="122"/>
        <v>750</v>
      </c>
      <c r="AE256" s="29">
        <v>0</v>
      </c>
      <c r="AF256" s="29">
        <v>0</v>
      </c>
      <c r="AG256" s="40" t="s">
        <v>593</v>
      </c>
      <c r="AH256" s="44">
        <v>1</v>
      </c>
      <c r="AI256" s="13">
        <v>11</v>
      </c>
      <c r="AJ256" s="304" t="s">
        <v>593</v>
      </c>
      <c r="AK256" s="45"/>
      <c r="AL256" s="23"/>
      <c r="AM256" s="138"/>
      <c r="AN256" s="25">
        <f t="shared" ca="1" si="107"/>
        <v>12</v>
      </c>
      <c r="AO256" s="50"/>
      <c r="AP256" s="53">
        <f t="shared" si="113"/>
        <v>4320</v>
      </c>
      <c r="AQ256" s="322">
        <v>780</v>
      </c>
      <c r="AR256" s="324">
        <f t="shared" si="123"/>
        <v>0</v>
      </c>
      <c r="AS256" s="375">
        <f t="shared" si="124"/>
        <v>5850</v>
      </c>
      <c r="AT256" s="375">
        <v>5850</v>
      </c>
      <c r="AU256" s="344">
        <f t="shared" si="98"/>
        <v>0.13333333333333333</v>
      </c>
      <c r="AV256" s="18">
        <f>IF(F255="","",(SUM($AS$6:AS256)))</f>
        <v>1427967.4899999988</v>
      </c>
      <c r="AW256" s="18">
        <f>IFERROR(IF(AS256&lt;&gt;"", SUMIFS($AS$10:AS256, $BG$10:BG256, BG256), ""),"")</f>
        <v>150739.41999999995</v>
      </c>
      <c r="AX256" s="123" t="e">
        <f t="shared" ca="1" si="116"/>
        <v>#DIV/0!</v>
      </c>
      <c r="AY256" s="124" t="str">
        <f t="shared" ca="1" si="100"/>
        <v>LINK</v>
      </c>
      <c r="AZ256" t="s">
        <v>594</v>
      </c>
      <c r="BA256" s="125" t="s">
        <v>332</v>
      </c>
      <c r="BB256" t="str">
        <f t="shared" si="101"/>
        <v>25</v>
      </c>
      <c r="BC256">
        <f t="shared" si="102"/>
        <v>10</v>
      </c>
      <c r="BD256">
        <f t="shared" si="103"/>
        <v>16</v>
      </c>
      <c r="BE256" t="str">
        <f t="shared" si="104"/>
        <v>D</v>
      </c>
      <c r="BF256" t="str">
        <f t="shared" si="126"/>
        <v>https://www.coreplan.io/app/ddh1-drilling/speewah-mining-speewah-fluorite-project-wa/plods/1665-251016D</v>
      </c>
      <c r="BG256" t="str">
        <f t="shared" si="105"/>
        <v>2025-10</v>
      </c>
    </row>
    <row r="257" spans="1:59">
      <c r="A257" s="510" t="str">
        <f>VLOOKUP(F257,'Tenement Lookup'!A:BH,60,FALSE)</f>
        <v>M 80/269</v>
      </c>
      <c r="B257" t="s">
        <v>507</v>
      </c>
      <c r="C257" s="151" t="s">
        <v>508</v>
      </c>
      <c r="D257" s="1">
        <f t="shared" si="121"/>
        <v>45946.71</v>
      </c>
      <c r="E257" t="s">
        <v>172</v>
      </c>
      <c r="F257" s="501" t="s">
        <v>587</v>
      </c>
      <c r="H257" s="4" t="s">
        <v>588</v>
      </c>
      <c r="I257" s="4">
        <v>0</v>
      </c>
      <c r="J257" s="122">
        <f t="shared" si="117"/>
        <v>0</v>
      </c>
      <c r="K257" s="21"/>
      <c r="L257" s="28"/>
      <c r="M257" s="22">
        <f t="shared" si="125"/>
        <v>0</v>
      </c>
      <c r="N257" s="30"/>
      <c r="O257" s="26"/>
      <c r="P257" s="31">
        <f t="shared" si="110"/>
        <v>0</v>
      </c>
      <c r="Q257" s="21"/>
      <c r="R257" s="28"/>
      <c r="S257" s="22">
        <f t="shared" si="114"/>
        <v>0</v>
      </c>
      <c r="T257" s="30"/>
      <c r="U257" s="26"/>
      <c r="V257" s="31">
        <f t="shared" si="112"/>
        <v>0</v>
      </c>
      <c r="W257" s="26">
        <f t="shared" si="119"/>
        <v>0</v>
      </c>
      <c r="X257" s="36">
        <f t="shared" si="120"/>
        <v>0</v>
      </c>
      <c r="Y257" s="301">
        <f t="shared" si="127"/>
        <v>0</v>
      </c>
      <c r="Z257" s="38"/>
      <c r="AA257" s="38"/>
      <c r="AB257" s="38"/>
      <c r="AC257" s="38"/>
      <c r="AD257" s="157">
        <f t="shared" si="122"/>
        <v>0</v>
      </c>
      <c r="AE257" s="29">
        <v>0</v>
      </c>
      <c r="AF257" s="29">
        <v>0</v>
      </c>
      <c r="AG257" s="40" t="s">
        <v>593</v>
      </c>
      <c r="AH257" s="44">
        <v>1</v>
      </c>
      <c r="AI257" s="13">
        <v>11</v>
      </c>
      <c r="AJ257" s="304" t="s">
        <v>593</v>
      </c>
      <c r="AK257" s="45"/>
      <c r="AL257" s="23"/>
      <c r="AM257" s="138"/>
      <c r="AN257" s="25">
        <f t="shared" ca="1" si="107"/>
        <v>12</v>
      </c>
      <c r="AO257" s="50"/>
      <c r="AP257" s="53">
        <f t="shared" si="113"/>
        <v>4320</v>
      </c>
      <c r="AQ257" s="322">
        <v>0</v>
      </c>
      <c r="AR257" s="324">
        <f t="shared" si="123"/>
        <v>0</v>
      </c>
      <c r="AS257" s="375">
        <f t="shared" si="124"/>
        <v>4320</v>
      </c>
      <c r="AT257" s="375">
        <v>4320</v>
      </c>
      <c r="AU257" s="344">
        <f t="shared" si="98"/>
        <v>0</v>
      </c>
      <c r="AV257" s="18">
        <f>IF(F256="","",(SUM($AS$6:AS257)))</f>
        <v>1432287.4899999988</v>
      </c>
      <c r="AW257" s="18">
        <f>IFERROR(IF(AS257&lt;&gt;"", SUMIFS($AS$10:AS257, $BG$10:BG257, BG257), ""),"")</f>
        <v>155059.41999999995</v>
      </c>
      <c r="AX257" s="123" t="e">
        <f t="shared" ca="1" si="116"/>
        <v>#DIV/0!</v>
      </c>
      <c r="AY257" s="124" t="str">
        <f t="shared" ca="1" si="100"/>
        <v>LINK</v>
      </c>
      <c r="AZ257" t="s">
        <v>594</v>
      </c>
      <c r="BA257" s="125" t="s">
        <v>332</v>
      </c>
      <c r="BB257" t="str">
        <f t="shared" si="101"/>
        <v>25</v>
      </c>
      <c r="BC257">
        <f t="shared" si="102"/>
        <v>10</v>
      </c>
      <c r="BD257">
        <f t="shared" si="103"/>
        <v>16</v>
      </c>
      <c r="BE257" t="str">
        <f t="shared" si="104"/>
        <v>N</v>
      </c>
      <c r="BF257" t="str">
        <f t="shared" si="126"/>
        <v>https://www.coreplan.io/app/ddh1-drilling/speewah-mining-speewah-fluorite-project-wa/plods/1665-251016N</v>
      </c>
      <c r="BG257" t="str">
        <f t="shared" si="105"/>
        <v>2025-10</v>
      </c>
    </row>
    <row r="258" spans="1:59">
      <c r="A258" s="510" t="str">
        <f>VLOOKUP(F258,'Tenement Lookup'!A:BH,60,FALSE)</f>
        <v>M 80/269</v>
      </c>
      <c r="B258" t="s">
        <v>507</v>
      </c>
      <c r="C258" s="151" t="s">
        <v>508</v>
      </c>
      <c r="D258" s="1">
        <f t="shared" si="121"/>
        <v>45947.21</v>
      </c>
      <c r="E258" t="s">
        <v>171</v>
      </c>
      <c r="F258" s="501" t="s">
        <v>587</v>
      </c>
      <c r="H258" s="4" t="s">
        <v>577</v>
      </c>
      <c r="I258" s="4">
        <v>6</v>
      </c>
      <c r="J258" s="122">
        <f t="shared" si="117"/>
        <v>780</v>
      </c>
      <c r="K258" s="21">
        <v>40.799999999999997</v>
      </c>
      <c r="L258" s="28">
        <v>75.599999999999994</v>
      </c>
      <c r="M258" s="22">
        <f t="shared" si="125"/>
        <v>34.799999999999997</v>
      </c>
      <c r="N258" s="30"/>
      <c r="O258" s="26"/>
      <c r="P258" s="31">
        <f t="shared" si="110"/>
        <v>0</v>
      </c>
      <c r="Q258" s="21"/>
      <c r="R258" s="28"/>
      <c r="S258" s="22">
        <f t="shared" si="114"/>
        <v>0</v>
      </c>
      <c r="T258" s="30"/>
      <c r="U258" s="26"/>
      <c r="V258" s="31">
        <f t="shared" si="112"/>
        <v>0</v>
      </c>
      <c r="W258" s="26">
        <f t="shared" si="119"/>
        <v>34.799999999999997</v>
      </c>
      <c r="X258" s="36">
        <f t="shared" si="120"/>
        <v>6089.9999999999991</v>
      </c>
      <c r="Y258" s="301">
        <f t="shared" si="127"/>
        <v>6089.9999999999991</v>
      </c>
      <c r="Z258" s="38">
        <v>1</v>
      </c>
      <c r="AA258" s="38">
        <v>1</v>
      </c>
      <c r="AB258" s="38">
        <v>1</v>
      </c>
      <c r="AC258" s="38">
        <v>13122</v>
      </c>
      <c r="AD258" s="157">
        <f t="shared" si="122"/>
        <v>750</v>
      </c>
      <c r="AE258" s="29">
        <v>9.75</v>
      </c>
      <c r="AF258" s="29">
        <v>1.25</v>
      </c>
      <c r="AG258" s="40"/>
      <c r="AH258" s="44">
        <v>1</v>
      </c>
      <c r="AI258" s="13"/>
      <c r="AJ258" s="304"/>
      <c r="AK258" s="45"/>
      <c r="AL258" s="23"/>
      <c r="AM258" s="138"/>
      <c r="AN258" s="25">
        <f t="shared" ca="1" si="107"/>
        <v>12</v>
      </c>
      <c r="AO258" s="50"/>
      <c r="AP258" s="53">
        <f t="shared" si="113"/>
        <v>935</v>
      </c>
      <c r="AQ258" s="322">
        <v>1174.1300000000001</v>
      </c>
      <c r="AR258" s="324">
        <f t="shared" si="123"/>
        <v>394.13000000000011</v>
      </c>
      <c r="AS258" s="375">
        <f t="shared" si="124"/>
        <v>8949.1299999999992</v>
      </c>
      <c r="AT258" s="375">
        <v>8949.1299999999992</v>
      </c>
      <c r="AU258" s="344">
        <f t="shared" si="98"/>
        <v>8.715931045811158E-2</v>
      </c>
      <c r="AV258" s="18">
        <f>IF(F257="","",(SUM($AS$6:AS258)))</f>
        <v>1441236.6199999987</v>
      </c>
      <c r="AW258" s="18">
        <f>IFERROR(IF(AS258&lt;&gt;"", SUMIFS($AS$10:AS258, $BG$10:BG258, BG258), ""),"")</f>
        <v>164008.54999999996</v>
      </c>
      <c r="AX258" s="123">
        <f t="shared" ca="1" si="116"/>
        <v>257.158908045977</v>
      </c>
      <c r="AY258" s="124" t="str">
        <f t="shared" ca="1" si="100"/>
        <v>LINK</v>
      </c>
      <c r="AZ258" t="s">
        <v>595</v>
      </c>
      <c r="BA258" s="125" t="s">
        <v>332</v>
      </c>
      <c r="BB258" t="str">
        <f t="shared" si="101"/>
        <v>25</v>
      </c>
      <c r="BC258">
        <f t="shared" si="102"/>
        <v>10</v>
      </c>
      <c r="BD258">
        <f t="shared" si="103"/>
        <v>17</v>
      </c>
      <c r="BE258" t="str">
        <f t="shared" si="104"/>
        <v>D</v>
      </c>
      <c r="BF258" t="str">
        <f t="shared" si="126"/>
        <v>https://www.coreplan.io/app/ddh1-drilling/speewah-mining-speewah-fluorite-project-wa/plods/1665-251017D</v>
      </c>
      <c r="BG258" t="str">
        <f t="shared" si="105"/>
        <v>2025-10</v>
      </c>
    </row>
    <row r="259" spans="1:59">
      <c r="A259" s="510" t="str">
        <f>VLOOKUP(F259,'Tenement Lookup'!A:BH,60,FALSE)</f>
        <v>M 80/269</v>
      </c>
      <c r="B259" t="s">
        <v>507</v>
      </c>
      <c r="C259" s="151" t="s">
        <v>508</v>
      </c>
      <c r="D259" s="1">
        <f t="shared" si="121"/>
        <v>45947.71</v>
      </c>
      <c r="E259" t="s">
        <v>172</v>
      </c>
      <c r="F259" s="501" t="s">
        <v>587</v>
      </c>
      <c r="H259" s="4" t="s">
        <v>588</v>
      </c>
      <c r="I259" s="4">
        <v>0</v>
      </c>
      <c r="J259" s="122">
        <f t="shared" si="117"/>
        <v>0</v>
      </c>
      <c r="K259" s="21">
        <v>75.599999999999994</v>
      </c>
      <c r="L259" s="28">
        <v>86.9</v>
      </c>
      <c r="M259" s="22">
        <f t="shared" si="125"/>
        <v>11.300000000000011</v>
      </c>
      <c r="N259" s="30"/>
      <c r="O259" s="26"/>
      <c r="P259" s="31">
        <f t="shared" si="110"/>
        <v>0</v>
      </c>
      <c r="Q259" s="21"/>
      <c r="R259" s="28"/>
      <c r="S259" s="22">
        <f t="shared" si="114"/>
        <v>0</v>
      </c>
      <c r="T259" s="30"/>
      <c r="U259" s="26"/>
      <c r="V259" s="31">
        <f t="shared" si="112"/>
        <v>0</v>
      </c>
      <c r="W259" s="26">
        <f t="shared" si="119"/>
        <v>11.300000000000011</v>
      </c>
      <c r="X259" s="36">
        <f t="shared" si="120"/>
        <v>1977.500000000002</v>
      </c>
      <c r="Y259" s="301">
        <f t="shared" si="127"/>
        <v>1977.500000000002</v>
      </c>
      <c r="Z259" s="38"/>
      <c r="AA259" s="38"/>
      <c r="AB259" s="38"/>
      <c r="AC259" s="38"/>
      <c r="AD259" s="157">
        <f t="shared" si="122"/>
        <v>0</v>
      </c>
      <c r="AE259" s="29">
        <v>2.5</v>
      </c>
      <c r="AF259" s="29">
        <v>0.75</v>
      </c>
      <c r="AG259" s="40" t="s">
        <v>596</v>
      </c>
      <c r="AH259" s="44">
        <v>1</v>
      </c>
      <c r="AI259" s="13"/>
      <c r="AJ259" s="304"/>
      <c r="AK259" s="45">
        <v>6</v>
      </c>
      <c r="AL259" s="23">
        <v>1.75</v>
      </c>
      <c r="AM259" s="138" t="s">
        <v>597</v>
      </c>
      <c r="AN259" s="25">
        <f t="shared" ca="1" si="107"/>
        <v>12</v>
      </c>
      <c r="AO259" s="50"/>
      <c r="AP259" s="53">
        <f t="shared" si="113"/>
        <v>705</v>
      </c>
      <c r="AQ259" s="322">
        <v>138.69999999999999</v>
      </c>
      <c r="AR259" s="324">
        <f t="shared" si="123"/>
        <v>138.69999999999999</v>
      </c>
      <c r="AS259" s="375">
        <f t="shared" si="124"/>
        <v>2821.2000000000016</v>
      </c>
      <c r="AT259" s="375">
        <v>2821.2</v>
      </c>
      <c r="AU259" s="344">
        <f t="shared" si="98"/>
        <v>0</v>
      </c>
      <c r="AV259" s="18">
        <f>IF(F258="","",(SUM($AS$6:AS259)))</f>
        <v>1444057.8199999987</v>
      </c>
      <c r="AW259" s="18">
        <f>IFERROR(IF(AS259&lt;&gt;"", SUMIFS($AS$10:AS259, $BG$10:BG259, BG259), ""),"")</f>
        <v>166829.74999999997</v>
      </c>
      <c r="AX259" s="123">
        <f t="shared" ca="1" si="116"/>
        <v>249.66371681415919</v>
      </c>
      <c r="AY259" s="124" t="str">
        <f t="shared" ca="1" si="100"/>
        <v>LINK</v>
      </c>
      <c r="AZ259" t="s">
        <v>598</v>
      </c>
      <c r="BA259" s="125" t="s">
        <v>332</v>
      </c>
      <c r="BB259" t="str">
        <f t="shared" si="101"/>
        <v>25</v>
      </c>
      <c r="BC259">
        <f t="shared" si="102"/>
        <v>10</v>
      </c>
      <c r="BD259">
        <f t="shared" si="103"/>
        <v>17</v>
      </c>
      <c r="BE259" t="str">
        <f t="shared" si="104"/>
        <v>N</v>
      </c>
      <c r="BF259" t="str">
        <f t="shared" si="126"/>
        <v>https://www.coreplan.io/app/ddh1-drilling/speewah-mining-speewah-fluorite-project-wa/plods/1665-251017N</v>
      </c>
      <c r="BG259" t="str">
        <f t="shared" si="105"/>
        <v>2025-10</v>
      </c>
    </row>
    <row r="260" spans="1:59">
      <c r="A260" s="510" t="str">
        <f>VLOOKUP(F260,'Tenement Lookup'!A:BH,60,FALSE)</f>
        <v>M 80/269</v>
      </c>
      <c r="B260" t="s">
        <v>507</v>
      </c>
      <c r="C260" s="151" t="s">
        <v>508</v>
      </c>
      <c r="D260" s="1">
        <f t="shared" si="121"/>
        <v>45948.21</v>
      </c>
      <c r="E260" t="s">
        <v>171</v>
      </c>
      <c r="F260" s="501" t="s">
        <v>587</v>
      </c>
      <c r="H260" s="4" t="s">
        <v>577</v>
      </c>
      <c r="I260" s="4">
        <v>6</v>
      </c>
      <c r="J260" s="122">
        <f t="shared" si="117"/>
        <v>780</v>
      </c>
      <c r="K260" s="21">
        <v>86.9</v>
      </c>
      <c r="L260" s="28">
        <v>113.8</v>
      </c>
      <c r="M260" s="22">
        <f t="shared" si="125"/>
        <v>26.899999999999991</v>
      </c>
      <c r="N260" s="30"/>
      <c r="O260" s="26"/>
      <c r="P260" s="31">
        <f t="shared" si="110"/>
        <v>0</v>
      </c>
      <c r="Q260" s="21"/>
      <c r="R260" s="28"/>
      <c r="S260" s="22">
        <f t="shared" si="114"/>
        <v>0</v>
      </c>
      <c r="T260" s="30"/>
      <c r="U260" s="26"/>
      <c r="V260" s="31">
        <f t="shared" si="112"/>
        <v>0</v>
      </c>
      <c r="W260" s="26">
        <f t="shared" si="119"/>
        <v>26.899999999999991</v>
      </c>
      <c r="X260" s="36">
        <f t="shared" si="120"/>
        <v>4707.4999999999982</v>
      </c>
      <c r="Y260" s="301">
        <f t="shared" si="127"/>
        <v>4707.4999999999982</v>
      </c>
      <c r="Z260" s="38">
        <v>1</v>
      </c>
      <c r="AA260" s="38">
        <v>1</v>
      </c>
      <c r="AB260" s="38">
        <v>1</v>
      </c>
      <c r="AC260" s="38">
        <v>13122</v>
      </c>
      <c r="AD260" s="157">
        <f t="shared" si="122"/>
        <v>750</v>
      </c>
      <c r="AE260" s="29">
        <v>10</v>
      </c>
      <c r="AF260" s="29">
        <v>1</v>
      </c>
      <c r="AG260" s="40"/>
      <c r="AH260" s="44">
        <v>1</v>
      </c>
      <c r="AI260" s="13"/>
      <c r="AJ260" s="304"/>
      <c r="AK260" s="45"/>
      <c r="AL260" s="23"/>
      <c r="AM260" s="138"/>
      <c r="AN260" s="25">
        <f t="shared" ca="1" si="107"/>
        <v>12</v>
      </c>
      <c r="AO260" s="50"/>
      <c r="AP260" s="53">
        <f t="shared" si="113"/>
        <v>820</v>
      </c>
      <c r="AQ260" s="322">
        <v>1036.6300000000001</v>
      </c>
      <c r="AR260" s="324">
        <f t="shared" si="123"/>
        <v>256.63000000000011</v>
      </c>
      <c r="AS260" s="375">
        <f t="shared" si="124"/>
        <v>7314.1299999999983</v>
      </c>
      <c r="AT260" s="375">
        <v>7314.13</v>
      </c>
      <c r="AU260" s="344">
        <f t="shared" si="98"/>
        <v>0.10664289532726383</v>
      </c>
      <c r="AV260" s="18">
        <f>IF(F259="","",(SUM($AS$6:AS260)))</f>
        <v>1451371.9499999986</v>
      </c>
      <c r="AW260" s="18">
        <f>IFERROR(IF(AS260&lt;&gt;"", SUMIFS($AS$10:AS260, $BG$10:BG260, BG260), ""),"")</f>
        <v>174143.87999999998</v>
      </c>
      <c r="AX260" s="123">
        <f t="shared" ca="1" si="116"/>
        <v>271.90074349442381</v>
      </c>
      <c r="AY260" s="124" t="str">
        <f t="shared" ca="1" si="100"/>
        <v>LINK</v>
      </c>
      <c r="AZ260" t="s">
        <v>599</v>
      </c>
      <c r="BA260" s="125" t="s">
        <v>332</v>
      </c>
      <c r="BB260" t="str">
        <f t="shared" si="101"/>
        <v>25</v>
      </c>
      <c r="BC260">
        <f t="shared" si="102"/>
        <v>10</v>
      </c>
      <c r="BD260">
        <f t="shared" si="103"/>
        <v>18</v>
      </c>
      <c r="BE260" t="str">
        <f t="shared" si="104"/>
        <v>D</v>
      </c>
      <c r="BF260" t="str">
        <f t="shared" si="126"/>
        <v>https://www.coreplan.io/app/ddh1-drilling/speewah-mining-speewah-fluorite-project-wa/plods/1665-251018D</v>
      </c>
      <c r="BG260" t="str">
        <f t="shared" si="105"/>
        <v>2025-10</v>
      </c>
    </row>
    <row r="261" spans="1:59">
      <c r="A261" s="510" t="str">
        <f>VLOOKUP(F261,'Tenement Lookup'!A:BH,60,FALSE)</f>
        <v>M 80/269</v>
      </c>
      <c r="B261" t="s">
        <v>507</v>
      </c>
      <c r="C261" s="151" t="s">
        <v>508</v>
      </c>
      <c r="D261" s="1">
        <f t="shared" si="121"/>
        <v>45948.71</v>
      </c>
      <c r="E261" t="s">
        <v>172</v>
      </c>
      <c r="F261" s="501" t="s">
        <v>587</v>
      </c>
      <c r="H261" s="4" t="s">
        <v>588</v>
      </c>
      <c r="I261" s="4">
        <v>0</v>
      </c>
      <c r="J261" s="122">
        <f t="shared" si="117"/>
        <v>0</v>
      </c>
      <c r="K261" s="21">
        <v>113.8</v>
      </c>
      <c r="L261" s="28">
        <v>123.9</v>
      </c>
      <c r="M261" s="22">
        <f t="shared" si="125"/>
        <v>10.100000000000009</v>
      </c>
      <c r="N261" s="30"/>
      <c r="O261" s="26"/>
      <c r="P261" s="31">
        <f t="shared" si="110"/>
        <v>0</v>
      </c>
      <c r="Q261" s="21"/>
      <c r="R261" s="28"/>
      <c r="S261" s="22">
        <f t="shared" si="114"/>
        <v>0</v>
      </c>
      <c r="T261" s="30"/>
      <c r="U261" s="26"/>
      <c r="V261" s="31">
        <f t="shared" si="112"/>
        <v>0</v>
      </c>
      <c r="W261" s="26">
        <f t="shared" si="119"/>
        <v>10.100000000000009</v>
      </c>
      <c r="X261" s="36">
        <f t="shared" si="120"/>
        <v>1767.5000000000016</v>
      </c>
      <c r="Y261" s="301">
        <f t="shared" si="127"/>
        <v>2415</v>
      </c>
      <c r="Z261" s="38"/>
      <c r="AA261" s="38"/>
      <c r="AB261" s="38"/>
      <c r="AC261" s="38"/>
      <c r="AD261" s="157">
        <f t="shared" si="122"/>
        <v>0</v>
      </c>
      <c r="AE261" s="29">
        <v>5.25</v>
      </c>
      <c r="AF261" s="29">
        <v>5.75</v>
      </c>
      <c r="AG261" s="40"/>
      <c r="AH261" s="44">
        <v>1</v>
      </c>
      <c r="AI261" s="13"/>
      <c r="AJ261" s="304"/>
      <c r="AK261" s="45"/>
      <c r="AL261" s="23"/>
      <c r="AM261" s="138"/>
      <c r="AN261" s="25">
        <f t="shared" ca="1" si="107"/>
        <v>12</v>
      </c>
      <c r="AO261" s="50"/>
      <c r="AP261" s="53">
        <f t="shared" si="113"/>
        <v>3005</v>
      </c>
      <c r="AQ261" s="322">
        <v>496.2</v>
      </c>
      <c r="AR261" s="324">
        <f t="shared" si="123"/>
        <v>496.2</v>
      </c>
      <c r="AS261" s="375">
        <f t="shared" si="124"/>
        <v>5916.2</v>
      </c>
      <c r="AT261" s="375">
        <v>5916.2</v>
      </c>
      <c r="AU261" s="344">
        <f t="shared" si="98"/>
        <v>0</v>
      </c>
      <c r="AV261" s="18">
        <f>IF(F260="","",(SUM($AS$6:AS261)))</f>
        <v>1457288.1499999985</v>
      </c>
      <c r="AW261" s="18">
        <f>IFERROR(IF(AS261&lt;&gt;"", SUMIFS($AS$10:AS261, $BG$10:BG261, BG261), ""),"")</f>
        <v>180060.08</v>
      </c>
      <c r="AX261" s="123">
        <f t="shared" ca="1" si="116"/>
        <v>585.76237623762324</v>
      </c>
      <c r="AY261" s="124" t="str">
        <f t="shared" ca="1" si="100"/>
        <v>LINK</v>
      </c>
      <c r="AZ261" t="s">
        <v>600</v>
      </c>
      <c r="BA261" s="125" t="s">
        <v>332</v>
      </c>
      <c r="BB261" t="str">
        <f t="shared" si="101"/>
        <v>25</v>
      </c>
      <c r="BC261">
        <f t="shared" si="102"/>
        <v>10</v>
      </c>
      <c r="BD261">
        <f t="shared" si="103"/>
        <v>18</v>
      </c>
      <c r="BE261" t="str">
        <f t="shared" si="104"/>
        <v>N</v>
      </c>
      <c r="BF261" t="str">
        <f t="shared" si="126"/>
        <v>https://www.coreplan.io/app/ddh1-drilling/speewah-mining-speewah-fluorite-project-wa/plods/1665-251018N</v>
      </c>
      <c r="BG261" t="str">
        <f t="shared" si="105"/>
        <v>2025-10</v>
      </c>
    </row>
    <row r="262" spans="1:59">
      <c r="A262" s="510" t="str">
        <f>VLOOKUP(F262,'Tenement Lookup'!A:BH,60,FALSE)</f>
        <v>M 80/269</v>
      </c>
      <c r="B262" t="s">
        <v>507</v>
      </c>
      <c r="C262" s="151" t="s">
        <v>508</v>
      </c>
      <c r="D262" s="1">
        <f t="shared" si="121"/>
        <v>45949.21</v>
      </c>
      <c r="E262" t="s">
        <v>171</v>
      </c>
      <c r="F262" s="501" t="s">
        <v>587</v>
      </c>
      <c r="H262" s="4" t="s">
        <v>577</v>
      </c>
      <c r="I262" s="4">
        <v>6</v>
      </c>
      <c r="J262" s="122">
        <f t="shared" si="117"/>
        <v>780</v>
      </c>
      <c r="K262" s="21">
        <v>123.9</v>
      </c>
      <c r="L262" s="28">
        <v>144.6</v>
      </c>
      <c r="M262" s="22">
        <f t="shared" si="125"/>
        <v>20.699999999999989</v>
      </c>
      <c r="N262" s="30"/>
      <c r="O262" s="26"/>
      <c r="P262" s="31">
        <f t="shared" si="110"/>
        <v>0</v>
      </c>
      <c r="Q262" s="21"/>
      <c r="R262" s="28"/>
      <c r="S262" s="22">
        <f t="shared" si="114"/>
        <v>0</v>
      </c>
      <c r="T262" s="30"/>
      <c r="U262" s="26"/>
      <c r="V262" s="31">
        <f t="shared" si="112"/>
        <v>0</v>
      </c>
      <c r="W262" s="26">
        <f t="shared" si="119"/>
        <v>20.699999999999989</v>
      </c>
      <c r="X262" s="36">
        <f t="shared" si="120"/>
        <v>3622.4999999999982</v>
      </c>
      <c r="Y262" s="301">
        <f t="shared" si="127"/>
        <v>4255</v>
      </c>
      <c r="Z262" s="38">
        <v>1</v>
      </c>
      <c r="AA262" s="38">
        <v>1</v>
      </c>
      <c r="AB262" s="38">
        <v>1</v>
      </c>
      <c r="AC262" s="38">
        <v>13122</v>
      </c>
      <c r="AD262" s="157">
        <f t="shared" si="122"/>
        <v>750</v>
      </c>
      <c r="AE262" s="29">
        <v>9.25</v>
      </c>
      <c r="AF262" s="29">
        <v>1.5</v>
      </c>
      <c r="AG262" s="40"/>
      <c r="AH262" s="44">
        <v>1</v>
      </c>
      <c r="AI262" s="13"/>
      <c r="AJ262" s="304"/>
      <c r="AK262" s="45">
        <v>0.25</v>
      </c>
      <c r="AL262" s="23"/>
      <c r="AM262" s="138" t="s">
        <v>601</v>
      </c>
      <c r="AN262" s="25">
        <f t="shared" ca="1" si="107"/>
        <v>12</v>
      </c>
      <c r="AO262" s="50"/>
      <c r="AP262" s="53">
        <f t="shared" si="113"/>
        <v>1050</v>
      </c>
      <c r="AQ262" s="322">
        <v>1036.6300000000001</v>
      </c>
      <c r="AR262" s="324">
        <f t="shared" si="123"/>
        <v>256.63000000000011</v>
      </c>
      <c r="AS262" s="375">
        <f t="shared" si="124"/>
        <v>7091.63</v>
      </c>
      <c r="AT262" s="375">
        <v>7091.63</v>
      </c>
      <c r="AU262" s="344">
        <f t="shared" ref="AU262:AU285" si="128">IFERROR(J262/AS262,"")</f>
        <v>0.10998881780352331</v>
      </c>
      <c r="AV262" s="18">
        <f>IF(F261="","",(SUM($AS$6:AS262)))</f>
        <v>1464379.7799999984</v>
      </c>
      <c r="AW262" s="18">
        <f>IFERROR(IF(AS262&lt;&gt;"", SUMIFS($AS$10:AS262, $BG$10:BG262, BG262), ""),"")</f>
        <v>187151.71</v>
      </c>
      <c r="AX262" s="123">
        <f t="shared" ref="AX262:AX293" ca="1" si="129">IF(AND(D262&gt;TODAY(),ISBLANK(H262)),"",IF(ISBLANK(AE262),"no drilling completed",AS262/(W262)))</f>
        <v>342.59082125603885</v>
      </c>
      <c r="AY262" s="124" t="str">
        <f t="shared" ref="AY262:AY324" ca="1" si="130">IF(D262&lt;TODAY(),HYPERLINK(BF262,"LINK"),"")</f>
        <v>LINK</v>
      </c>
      <c r="AZ262" t="s">
        <v>602</v>
      </c>
      <c r="BA262" s="125" t="s">
        <v>332</v>
      </c>
      <c r="BB262" t="str">
        <f t="shared" ref="BB262:BB274" si="131">RIGHT(YEAR(D262),2)</f>
        <v>25</v>
      </c>
      <c r="BC262">
        <f t="shared" ref="BC262:BC274" si="132">IF(LEN(MONTH(D262))=1,_xlfn.TEXTJOIN(,,"0",MONTH(D262)),MONTH(D262))</f>
        <v>10</v>
      </c>
      <c r="BD262">
        <f t="shared" ref="BD262:BD274" si="133">IF(LEN(DAY(D262))=1,_xlfn.TEXTJOIN(,,"0",DAY(D262)),DAY(D262))</f>
        <v>19</v>
      </c>
      <c r="BE262" t="str">
        <f t="shared" ref="BE262:BE274" si="134">LEFT(E262,1)</f>
        <v>D</v>
      </c>
      <c r="BF262" t="str">
        <f t="shared" si="126"/>
        <v>https://www.coreplan.io/app/ddh1-drilling/speewah-mining-speewah-fluorite-project-wa/plods/1665-251019D</v>
      </c>
      <c r="BG262" t="str">
        <f t="shared" ref="BG262:BG324" si="135">TEXT(D262, "yyyy-mm")</f>
        <v>2025-10</v>
      </c>
    </row>
    <row r="263" spans="1:59">
      <c r="A263" s="510" t="str">
        <f>VLOOKUP(F263,'Tenement Lookup'!A:BH,60,FALSE)</f>
        <v>M 80/269</v>
      </c>
      <c r="B263" t="s">
        <v>507</v>
      </c>
      <c r="C263" s="151" t="s">
        <v>508</v>
      </c>
      <c r="D263" s="1">
        <f t="shared" si="121"/>
        <v>45949.71</v>
      </c>
      <c r="E263" t="s">
        <v>172</v>
      </c>
      <c r="F263" s="501" t="s">
        <v>587</v>
      </c>
      <c r="H263" s="4" t="s">
        <v>588</v>
      </c>
      <c r="I263" s="4">
        <v>0</v>
      </c>
      <c r="J263" s="122">
        <f t="shared" si="117"/>
        <v>0</v>
      </c>
      <c r="K263" s="21">
        <v>144.6</v>
      </c>
      <c r="L263" s="28">
        <v>153.6</v>
      </c>
      <c r="M263" s="22">
        <f t="shared" si="125"/>
        <v>9</v>
      </c>
      <c r="N263" s="30"/>
      <c r="O263" s="26"/>
      <c r="P263" s="31">
        <f t="shared" si="110"/>
        <v>0</v>
      </c>
      <c r="Q263" s="21"/>
      <c r="R263" s="28"/>
      <c r="S263" s="22">
        <f t="shared" si="114"/>
        <v>0</v>
      </c>
      <c r="T263" s="30"/>
      <c r="U263" s="26"/>
      <c r="V263" s="31">
        <f t="shared" si="112"/>
        <v>0</v>
      </c>
      <c r="W263" s="26">
        <f t="shared" si="119"/>
        <v>9</v>
      </c>
      <c r="X263" s="36">
        <f t="shared" si="120"/>
        <v>1575</v>
      </c>
      <c r="Y263" s="301">
        <f t="shared" si="127"/>
        <v>2070</v>
      </c>
      <c r="Z263" s="38"/>
      <c r="AA263" s="38"/>
      <c r="AB263" s="38"/>
      <c r="AC263" s="38"/>
      <c r="AD263" s="157">
        <f t="shared" si="122"/>
        <v>0</v>
      </c>
      <c r="AE263" s="29">
        <v>4.5</v>
      </c>
      <c r="AF263" s="29">
        <v>6.25</v>
      </c>
      <c r="AG263" s="40"/>
      <c r="AH263" s="44">
        <v>1</v>
      </c>
      <c r="AI263" s="13"/>
      <c r="AJ263" s="304"/>
      <c r="AK263" s="45">
        <v>0.25</v>
      </c>
      <c r="AL263" s="23"/>
      <c r="AM263" s="138" t="s">
        <v>601</v>
      </c>
      <c r="AN263" s="25">
        <f t="shared" ca="1" si="107"/>
        <v>12</v>
      </c>
      <c r="AO263" s="50"/>
      <c r="AP263" s="53">
        <f t="shared" si="113"/>
        <v>3235</v>
      </c>
      <c r="AQ263" s="322">
        <v>899.7</v>
      </c>
      <c r="AR263" s="324">
        <f t="shared" si="123"/>
        <v>899.7</v>
      </c>
      <c r="AS263" s="375">
        <f t="shared" si="124"/>
        <v>6204.7</v>
      </c>
      <c r="AT263" s="375">
        <v>6204.7</v>
      </c>
      <c r="AU263" s="344">
        <f t="shared" si="128"/>
        <v>0</v>
      </c>
      <c r="AV263" s="18">
        <f>IF(F262="","",(SUM($AS$6:AS263)))</f>
        <v>1470584.4799999984</v>
      </c>
      <c r="AW263" s="18">
        <f>IFERROR(IF(AS263&lt;&gt;"", SUMIFS($AS$10:AS263, $BG$10:BG263, BG263), ""),"")</f>
        <v>193356.41</v>
      </c>
      <c r="AX263" s="123">
        <f t="shared" ca="1" si="129"/>
        <v>689.41111111111104</v>
      </c>
      <c r="AY263" s="124" t="str">
        <f t="shared" ca="1" si="130"/>
        <v>LINK</v>
      </c>
      <c r="AZ263" t="s">
        <v>603</v>
      </c>
      <c r="BA263" s="125" t="s">
        <v>332</v>
      </c>
      <c r="BB263" t="str">
        <f t="shared" si="131"/>
        <v>25</v>
      </c>
      <c r="BC263">
        <f t="shared" si="132"/>
        <v>10</v>
      </c>
      <c r="BD263">
        <f t="shared" si="133"/>
        <v>19</v>
      </c>
      <c r="BE263" t="str">
        <f t="shared" si="134"/>
        <v>N</v>
      </c>
      <c r="BF263" t="str">
        <f t="shared" si="126"/>
        <v>https://www.coreplan.io/app/ddh1-drilling/speewah-mining-speewah-fluorite-project-wa/plods/1665-251019N</v>
      </c>
      <c r="BG263" t="str">
        <f t="shared" si="135"/>
        <v>2025-10</v>
      </c>
    </row>
    <row r="264" spans="1:59">
      <c r="A264" s="510" t="str">
        <f>VLOOKUP(F264,'Tenement Lookup'!A:BH,60,FALSE)</f>
        <v>M 80/269</v>
      </c>
      <c r="B264" t="s">
        <v>507</v>
      </c>
      <c r="C264" s="151" t="s">
        <v>508</v>
      </c>
      <c r="D264" s="1">
        <f t="shared" si="121"/>
        <v>45950.21</v>
      </c>
      <c r="E264" t="s">
        <v>171</v>
      </c>
      <c r="F264" s="501" t="s">
        <v>604</v>
      </c>
      <c r="H264" s="4" t="s">
        <v>577</v>
      </c>
      <c r="I264" s="4">
        <v>6</v>
      </c>
      <c r="J264" s="122">
        <f t="shared" si="117"/>
        <v>780</v>
      </c>
      <c r="K264" s="21">
        <v>0</v>
      </c>
      <c r="L264" s="28">
        <v>13.7</v>
      </c>
      <c r="M264" s="22">
        <f t="shared" si="125"/>
        <v>13.7</v>
      </c>
      <c r="N264" s="30"/>
      <c r="O264" s="26"/>
      <c r="P264" s="31">
        <f t="shared" si="110"/>
        <v>0</v>
      </c>
      <c r="Q264" s="21"/>
      <c r="R264" s="28"/>
      <c r="S264" s="22">
        <f t="shared" si="114"/>
        <v>0</v>
      </c>
      <c r="T264" s="30"/>
      <c r="U264" s="26"/>
      <c r="V264" s="31">
        <f t="shared" si="112"/>
        <v>0</v>
      </c>
      <c r="W264" s="26">
        <f t="shared" si="119"/>
        <v>13.7</v>
      </c>
      <c r="X264" s="36">
        <f t="shared" si="120"/>
        <v>2397.5</v>
      </c>
      <c r="Y264" s="301">
        <f t="shared" si="127"/>
        <v>2530</v>
      </c>
      <c r="Z264" s="38">
        <v>1</v>
      </c>
      <c r="AA264" s="38">
        <v>1</v>
      </c>
      <c r="AB264" s="38">
        <v>1</v>
      </c>
      <c r="AC264" s="38">
        <v>13122</v>
      </c>
      <c r="AD264" s="157">
        <f t="shared" si="122"/>
        <v>750</v>
      </c>
      <c r="AE264" s="29">
        <v>5.5</v>
      </c>
      <c r="AF264" s="29">
        <v>5.5</v>
      </c>
      <c r="AG264" s="40"/>
      <c r="AH264" s="44">
        <v>1</v>
      </c>
      <c r="AI264" s="13"/>
      <c r="AJ264" s="304"/>
      <c r="AK264" s="45"/>
      <c r="AL264" s="23"/>
      <c r="AM264" s="138"/>
      <c r="AN264" s="25">
        <f t="shared" ca="1" si="107"/>
        <v>12</v>
      </c>
      <c r="AO264" s="50"/>
      <c r="AP264" s="53">
        <f t="shared" si="113"/>
        <v>2890</v>
      </c>
      <c r="AQ264" s="322">
        <v>1179.04</v>
      </c>
      <c r="AR264" s="324">
        <f t="shared" si="123"/>
        <v>399.03999999999996</v>
      </c>
      <c r="AS264" s="375">
        <f t="shared" si="124"/>
        <v>7349.04</v>
      </c>
      <c r="AT264" s="375">
        <v>7349.04</v>
      </c>
      <c r="AU264" s="344">
        <f t="shared" si="128"/>
        <v>0.10613631168152575</v>
      </c>
      <c r="AV264" s="18">
        <f>IF(F263="","",(SUM($AS$6:AS264)))</f>
        <v>1477933.5199999984</v>
      </c>
      <c r="AW264" s="18">
        <f>IFERROR(IF(AS264&lt;&gt;"", SUMIFS($AS$10:AS264, $BG$10:BG264, BG264), ""),"")</f>
        <v>200705.45</v>
      </c>
      <c r="AX264" s="123">
        <f t="shared" ca="1" si="129"/>
        <v>536.4262773722628</v>
      </c>
      <c r="AY264" s="124" t="str">
        <f t="shared" ca="1" si="130"/>
        <v>LINK</v>
      </c>
      <c r="BA264" s="125" t="s">
        <v>332</v>
      </c>
      <c r="BB264" t="str">
        <f t="shared" si="131"/>
        <v>25</v>
      </c>
      <c r="BC264">
        <f t="shared" si="132"/>
        <v>10</v>
      </c>
      <c r="BD264">
        <f t="shared" si="133"/>
        <v>20</v>
      </c>
      <c r="BE264" t="str">
        <f t="shared" si="134"/>
        <v>D</v>
      </c>
      <c r="BF264" t="str">
        <f t="shared" si="126"/>
        <v>https://www.coreplan.io/app/ddh1-drilling/speewah-mining-speewah-fluorite-project-wa/plods/1665-251020D</v>
      </c>
      <c r="BG264" t="str">
        <f t="shared" si="135"/>
        <v>2025-10</v>
      </c>
    </row>
    <row r="265" spans="1:59">
      <c r="A265" s="510" t="str">
        <f>VLOOKUP(F265,'Tenement Lookup'!A:BH,60,FALSE)</f>
        <v>M 80/269</v>
      </c>
      <c r="B265" t="s">
        <v>507</v>
      </c>
      <c r="C265" s="151" t="s">
        <v>508</v>
      </c>
      <c r="D265" s="1">
        <f t="shared" si="121"/>
        <v>45950.71</v>
      </c>
      <c r="E265" t="s">
        <v>172</v>
      </c>
      <c r="F265" s="501" t="s">
        <v>604</v>
      </c>
      <c r="H265" s="4" t="s">
        <v>588</v>
      </c>
      <c r="I265" s="4">
        <v>0</v>
      </c>
      <c r="J265" s="122">
        <f t="shared" si="117"/>
        <v>0</v>
      </c>
      <c r="K265" s="21">
        <v>13.7</v>
      </c>
      <c r="L265" s="28">
        <v>33.6</v>
      </c>
      <c r="M265" s="22">
        <f t="shared" si="125"/>
        <v>19.900000000000002</v>
      </c>
      <c r="N265" s="30"/>
      <c r="O265" s="26"/>
      <c r="P265" s="31">
        <f t="shared" si="110"/>
        <v>0</v>
      </c>
      <c r="Q265" s="21"/>
      <c r="R265" s="28"/>
      <c r="S265" s="22">
        <f t="shared" si="114"/>
        <v>0</v>
      </c>
      <c r="T265" s="30"/>
      <c r="U265" s="26"/>
      <c r="V265" s="31">
        <f t="shared" si="112"/>
        <v>0</v>
      </c>
      <c r="W265" s="26">
        <f t="shared" si="119"/>
        <v>19.900000000000002</v>
      </c>
      <c r="X265" s="36">
        <f t="shared" si="120"/>
        <v>3482.5000000000005</v>
      </c>
      <c r="Y265" s="301">
        <f t="shared" si="127"/>
        <v>3482.5000000000005</v>
      </c>
      <c r="Z265" s="38"/>
      <c r="AA265" s="38"/>
      <c r="AB265" s="38"/>
      <c r="AC265" s="38"/>
      <c r="AD265" s="157">
        <f t="shared" si="122"/>
        <v>0</v>
      </c>
      <c r="AE265" s="29">
        <v>7.25</v>
      </c>
      <c r="AF265" s="29">
        <v>3.75</v>
      </c>
      <c r="AG265" s="40"/>
      <c r="AH265" s="44">
        <v>1</v>
      </c>
      <c r="AI265" s="13"/>
      <c r="AJ265" s="304"/>
      <c r="AK265" s="45"/>
      <c r="AL265" s="23"/>
      <c r="AM265" s="138"/>
      <c r="AN265" s="25">
        <f t="shared" ca="1" si="107"/>
        <v>12</v>
      </c>
      <c r="AO265" s="50"/>
      <c r="AP265" s="53">
        <f t="shared" si="113"/>
        <v>2085</v>
      </c>
      <c r="AQ265" s="322">
        <v>138.69999999999999</v>
      </c>
      <c r="AR265" s="324">
        <f t="shared" si="123"/>
        <v>138.69999999999999</v>
      </c>
      <c r="AS265" s="375">
        <f t="shared" si="124"/>
        <v>5706.2</v>
      </c>
      <c r="AT265" s="375">
        <v>5706.2</v>
      </c>
      <c r="AU265" s="344">
        <f t="shared" si="128"/>
        <v>0</v>
      </c>
      <c r="AV265" s="18">
        <f>IF(F264="","",(SUM($AS$6:AS265)))</f>
        <v>1483639.7199999983</v>
      </c>
      <c r="AW265" s="18">
        <f>IFERROR(IF(AS265&lt;&gt;"", SUMIFS($AS$10:AS265, $BG$10:BG265, BG265), ""),"")</f>
        <v>206411.65000000002</v>
      </c>
      <c r="AX265" s="123">
        <f t="shared" ca="1" si="129"/>
        <v>286.7437185929648</v>
      </c>
      <c r="AY265" s="124" t="str">
        <f t="shared" ca="1" si="130"/>
        <v>LINK</v>
      </c>
      <c r="BA265" s="125" t="s">
        <v>332</v>
      </c>
      <c r="BB265" t="str">
        <f t="shared" si="131"/>
        <v>25</v>
      </c>
      <c r="BC265">
        <f t="shared" si="132"/>
        <v>10</v>
      </c>
      <c r="BD265">
        <f t="shared" si="133"/>
        <v>20</v>
      </c>
      <c r="BE265" t="str">
        <f t="shared" si="134"/>
        <v>N</v>
      </c>
      <c r="BF265" t="str">
        <f t="shared" si="126"/>
        <v>https://www.coreplan.io/app/ddh1-drilling/speewah-mining-speewah-fluorite-project-wa/plods/1665-251020N</v>
      </c>
      <c r="BG265" t="str">
        <f t="shared" si="135"/>
        <v>2025-10</v>
      </c>
    </row>
    <row r="266" spans="1:59">
      <c r="A266" s="510" t="str">
        <f>VLOOKUP(F266,'Tenement Lookup'!A:BH,60,FALSE)</f>
        <v>M 80/269</v>
      </c>
      <c r="B266" t="s">
        <v>507</v>
      </c>
      <c r="C266" s="151" t="s">
        <v>508</v>
      </c>
      <c r="D266" s="1">
        <f t="shared" si="121"/>
        <v>45951.21</v>
      </c>
      <c r="E266" t="s">
        <v>171</v>
      </c>
      <c r="F266" s="501" t="s">
        <v>604</v>
      </c>
      <c r="H266" s="4" t="s">
        <v>577</v>
      </c>
      <c r="I266" s="4">
        <v>6</v>
      </c>
      <c r="J266" s="122">
        <f t="shared" si="117"/>
        <v>780</v>
      </c>
      <c r="K266" s="21">
        <v>33.6</v>
      </c>
      <c r="L266" s="28">
        <v>57.7</v>
      </c>
      <c r="M266" s="22">
        <f t="shared" si="125"/>
        <v>24.1</v>
      </c>
      <c r="N266" s="30"/>
      <c r="O266" s="26"/>
      <c r="P266" s="31">
        <f t="shared" si="110"/>
        <v>0</v>
      </c>
      <c r="Q266" s="21"/>
      <c r="R266" s="28"/>
      <c r="S266" s="22">
        <f t="shared" si="114"/>
        <v>0</v>
      </c>
      <c r="T266" s="30"/>
      <c r="U266" s="26"/>
      <c r="V266" s="31">
        <f t="shared" si="112"/>
        <v>0</v>
      </c>
      <c r="W266" s="26">
        <f t="shared" si="119"/>
        <v>24.1</v>
      </c>
      <c r="X266" s="36">
        <f t="shared" si="120"/>
        <v>4217.5</v>
      </c>
      <c r="Y266" s="301">
        <f t="shared" si="127"/>
        <v>4600</v>
      </c>
      <c r="Z266" s="38">
        <v>1</v>
      </c>
      <c r="AA266" s="38">
        <v>1</v>
      </c>
      <c r="AB266" s="38">
        <v>1</v>
      </c>
      <c r="AC266" s="38">
        <v>13122</v>
      </c>
      <c r="AD266" s="157">
        <f t="shared" si="122"/>
        <v>750</v>
      </c>
      <c r="AE266" s="29">
        <v>10</v>
      </c>
      <c r="AF266" s="29">
        <v>1</v>
      </c>
      <c r="AG266" s="40"/>
      <c r="AH266" s="44">
        <v>1</v>
      </c>
      <c r="AI266" s="13"/>
      <c r="AJ266" s="304"/>
      <c r="AK266" s="45"/>
      <c r="AL266" s="23"/>
      <c r="AM266" s="138"/>
      <c r="AN266" s="25">
        <f t="shared" ca="1" si="107"/>
        <v>12</v>
      </c>
      <c r="AO266" s="50"/>
      <c r="AP266" s="53">
        <f t="shared" si="113"/>
        <v>820</v>
      </c>
      <c r="AQ266" s="322">
        <v>1392.68</v>
      </c>
      <c r="AR266" s="324">
        <f t="shared" si="123"/>
        <v>612.68000000000006</v>
      </c>
      <c r="AS266" s="375">
        <f t="shared" si="124"/>
        <v>7562.68</v>
      </c>
      <c r="AT266" s="375">
        <v>7562.68</v>
      </c>
      <c r="AU266" s="344">
        <f t="shared" si="128"/>
        <v>0.10313804101191641</v>
      </c>
      <c r="AV266" s="18">
        <f>IF(F265="","",(SUM($AS$6:AS266)))</f>
        <v>1491202.3999999983</v>
      </c>
      <c r="AW266" s="18">
        <f>IFERROR(IF(AS266&lt;&gt;"", SUMIFS($AS$10:AS266, $BG$10:BG266, BG266), ""),"")</f>
        <v>213974.33000000002</v>
      </c>
      <c r="AX266" s="123">
        <f t="shared" ca="1" si="129"/>
        <v>313.80414937759338</v>
      </c>
      <c r="AY266" s="124" t="str">
        <f t="shared" ca="1" si="130"/>
        <v>LINK</v>
      </c>
      <c r="BA266" s="125" t="s">
        <v>332</v>
      </c>
      <c r="BB266" t="str">
        <f t="shared" si="131"/>
        <v>25</v>
      </c>
      <c r="BC266">
        <f t="shared" si="132"/>
        <v>10</v>
      </c>
      <c r="BD266">
        <f t="shared" si="133"/>
        <v>21</v>
      </c>
      <c r="BE266" t="str">
        <f t="shared" si="134"/>
        <v>D</v>
      </c>
      <c r="BF266" t="str">
        <f t="shared" si="126"/>
        <v>https://www.coreplan.io/app/ddh1-drilling/speewah-mining-speewah-fluorite-project-wa/plods/1665-251021D</v>
      </c>
      <c r="BG266" t="str">
        <f t="shared" si="135"/>
        <v>2025-10</v>
      </c>
    </row>
    <row r="267" spans="1:59">
      <c r="A267" s="510" t="str">
        <f>VLOOKUP(F267,'Tenement Lookup'!A:BH,60,FALSE)</f>
        <v>M 80/269</v>
      </c>
      <c r="B267" t="s">
        <v>507</v>
      </c>
      <c r="C267" s="151" t="s">
        <v>508</v>
      </c>
      <c r="D267" s="1">
        <f t="shared" si="121"/>
        <v>45951.71</v>
      </c>
      <c r="E267" t="s">
        <v>172</v>
      </c>
      <c r="F267" s="501" t="s">
        <v>604</v>
      </c>
      <c r="H267" s="4" t="s">
        <v>588</v>
      </c>
      <c r="I267" s="4">
        <v>0</v>
      </c>
      <c r="J267" s="122">
        <f t="shared" si="117"/>
        <v>0</v>
      </c>
      <c r="K267" s="21">
        <v>57.7</v>
      </c>
      <c r="L267" s="28">
        <v>90.6</v>
      </c>
      <c r="M267" s="22">
        <f t="shared" si="125"/>
        <v>32.899999999999991</v>
      </c>
      <c r="N267" s="30"/>
      <c r="O267" s="26"/>
      <c r="P267" s="31">
        <f t="shared" si="110"/>
        <v>0</v>
      </c>
      <c r="Q267" s="21"/>
      <c r="R267" s="28"/>
      <c r="S267" s="22">
        <f t="shared" si="114"/>
        <v>0</v>
      </c>
      <c r="T267" s="30"/>
      <c r="U267" s="26"/>
      <c r="V267" s="31">
        <f t="shared" si="112"/>
        <v>0</v>
      </c>
      <c r="W267" s="26">
        <f t="shared" si="119"/>
        <v>32.899999999999991</v>
      </c>
      <c r="X267" s="36">
        <f t="shared" si="120"/>
        <v>5757.4999999999982</v>
      </c>
      <c r="Y267" s="301">
        <f t="shared" si="127"/>
        <v>5757.4999999999982</v>
      </c>
      <c r="Z267" s="38"/>
      <c r="AA267" s="38"/>
      <c r="AB267" s="38"/>
      <c r="AC267" s="38"/>
      <c r="AD267" s="157">
        <f t="shared" si="122"/>
        <v>0</v>
      </c>
      <c r="AE267" s="29">
        <v>9.5</v>
      </c>
      <c r="AF267" s="29">
        <v>1.5</v>
      </c>
      <c r="AG267" s="40"/>
      <c r="AH267" s="44">
        <v>1</v>
      </c>
      <c r="AI267" s="13"/>
      <c r="AJ267" s="304"/>
      <c r="AK267" s="45"/>
      <c r="AL267" s="23"/>
      <c r="AM267" s="138"/>
      <c r="AN267" s="25">
        <f t="shared" ref="AN267:AN330" ca="1" si="136">IF(D267&gt;TODAY(),"",SUM(AE267:AF267,AH267:AL267))</f>
        <v>12</v>
      </c>
      <c r="AO267" s="50"/>
      <c r="AP267" s="53">
        <f t="shared" si="113"/>
        <v>1050</v>
      </c>
      <c r="AQ267" s="322">
        <v>504.79</v>
      </c>
      <c r="AR267" s="324">
        <f t="shared" si="123"/>
        <v>504.79</v>
      </c>
      <c r="AS267" s="375">
        <f t="shared" si="124"/>
        <v>7312.2899999999981</v>
      </c>
      <c r="AT267" s="375">
        <v>7312.29</v>
      </c>
      <c r="AU267" s="344">
        <f t="shared" si="128"/>
        <v>0</v>
      </c>
      <c r="AV267" s="18">
        <f>IF(F266="","",(SUM($AS$6:AS267)))</f>
        <v>1498514.6899999983</v>
      </c>
      <c r="AW267" s="18">
        <f>IFERROR(IF(AS267&lt;&gt;"", SUMIFS($AS$10:AS267, $BG$10:BG267, BG267), ""),"")</f>
        <v>221286.62000000002</v>
      </c>
      <c r="AX267" s="123">
        <f t="shared" ca="1" si="129"/>
        <v>222.25805471124619</v>
      </c>
      <c r="AY267" s="124" t="str">
        <f t="shared" ca="1" si="130"/>
        <v>LINK</v>
      </c>
      <c r="BA267" s="125" t="s">
        <v>332</v>
      </c>
      <c r="BB267" t="str">
        <f t="shared" si="131"/>
        <v>25</v>
      </c>
      <c r="BC267">
        <f t="shared" si="132"/>
        <v>10</v>
      </c>
      <c r="BD267">
        <f t="shared" si="133"/>
        <v>21</v>
      </c>
      <c r="BE267" t="str">
        <f t="shared" si="134"/>
        <v>N</v>
      </c>
      <c r="BF267" t="str">
        <f t="shared" si="126"/>
        <v>https://www.coreplan.io/app/ddh1-drilling/speewah-mining-speewah-fluorite-project-wa/plods/1665-251021N</v>
      </c>
      <c r="BG267" t="str">
        <f t="shared" si="135"/>
        <v>2025-10</v>
      </c>
    </row>
    <row r="268" spans="1:59">
      <c r="A268" s="510" t="str">
        <f>VLOOKUP(F268,'Tenement Lookup'!A:BH,60,FALSE)</f>
        <v>M 80/269</v>
      </c>
      <c r="B268" t="s">
        <v>507</v>
      </c>
      <c r="C268" s="151" t="s">
        <v>508</v>
      </c>
      <c r="D268" s="1">
        <f t="shared" si="121"/>
        <v>45952.21</v>
      </c>
      <c r="E268" t="s">
        <v>171</v>
      </c>
      <c r="F268" s="501" t="s">
        <v>604</v>
      </c>
      <c r="H268" s="4" t="s">
        <v>577</v>
      </c>
      <c r="I268" s="4">
        <v>6</v>
      </c>
      <c r="J268" s="122">
        <f t="shared" si="117"/>
        <v>780</v>
      </c>
      <c r="K268" s="21">
        <v>90.6</v>
      </c>
      <c r="L268" s="28">
        <v>95.7</v>
      </c>
      <c r="M268" s="22">
        <f t="shared" si="125"/>
        <v>5.1000000000000085</v>
      </c>
      <c r="N268" s="30"/>
      <c r="O268" s="26"/>
      <c r="P268" s="31">
        <f>IF(ISBLANK(N268),,O268-N268)</f>
        <v>0</v>
      </c>
      <c r="Q268" s="21"/>
      <c r="R268" s="28"/>
      <c r="S268" s="22">
        <f t="shared" si="114"/>
        <v>0</v>
      </c>
      <c r="T268" s="30"/>
      <c r="U268" s="26"/>
      <c r="V268" s="31">
        <f t="shared" si="112"/>
        <v>0</v>
      </c>
      <c r="W268" s="26">
        <f t="shared" si="119"/>
        <v>5.1000000000000085</v>
      </c>
      <c r="X268" s="36">
        <f t="shared" si="120"/>
        <v>892.50000000000148</v>
      </c>
      <c r="Y268" s="301">
        <f t="shared" si="127"/>
        <v>1150</v>
      </c>
      <c r="Z268" s="38">
        <v>1</v>
      </c>
      <c r="AA268" s="38">
        <v>1</v>
      </c>
      <c r="AB268" s="38">
        <v>1</v>
      </c>
      <c r="AC268" s="38">
        <v>13122</v>
      </c>
      <c r="AD268" s="157">
        <f t="shared" si="122"/>
        <v>750</v>
      </c>
      <c r="AE268" s="29">
        <v>2.5</v>
      </c>
      <c r="AF268" s="29">
        <v>2</v>
      </c>
      <c r="AG268" s="40"/>
      <c r="AH268" s="44">
        <v>1</v>
      </c>
      <c r="AI268" s="13"/>
      <c r="AJ268" s="304"/>
      <c r="AK268" s="45">
        <v>6.5</v>
      </c>
      <c r="AL268" s="23"/>
      <c r="AM268" s="138" t="s">
        <v>242</v>
      </c>
      <c r="AN268" s="25">
        <f t="shared" ca="1" si="136"/>
        <v>12</v>
      </c>
      <c r="AO268" s="50"/>
      <c r="AP268" s="53">
        <f t="shared" si="113"/>
        <v>1280</v>
      </c>
      <c r="AQ268" s="322">
        <v>1138.7</v>
      </c>
      <c r="AR268" s="324">
        <f t="shared" si="123"/>
        <v>358.70000000000005</v>
      </c>
      <c r="AS268" s="375">
        <f t="shared" si="124"/>
        <v>4318.7</v>
      </c>
      <c r="AT268" s="375">
        <v>4318.7</v>
      </c>
      <c r="AU268" s="344">
        <f t="shared" si="128"/>
        <v>0.18060990575867739</v>
      </c>
      <c r="AV268" s="18">
        <f>IF(F267="","",(SUM($AS$6:AS268)))</f>
        <v>1502833.3899999983</v>
      </c>
      <c r="AW268" s="18">
        <f>IFERROR(IF(AS268&lt;&gt;"", SUMIFS($AS$10:AS268, $BG$10:BG268, BG268), ""),"")</f>
        <v>225605.32000000004</v>
      </c>
      <c r="AX268" s="123">
        <f t="shared" ca="1" si="129"/>
        <v>846.80392156862604</v>
      </c>
      <c r="AY268" s="124" t="str">
        <f t="shared" ca="1" si="130"/>
        <v>LINK</v>
      </c>
      <c r="AZ268" t="s">
        <v>605</v>
      </c>
      <c r="BA268" s="125" t="s">
        <v>332</v>
      </c>
      <c r="BB268" t="str">
        <f t="shared" si="131"/>
        <v>25</v>
      </c>
      <c r="BC268">
        <f t="shared" si="132"/>
        <v>10</v>
      </c>
      <c r="BD268">
        <f t="shared" si="133"/>
        <v>22</v>
      </c>
      <c r="BE268" t="str">
        <f t="shared" si="134"/>
        <v>D</v>
      </c>
      <c r="BF268" t="str">
        <f t="shared" si="126"/>
        <v>https://www.coreplan.io/app/ddh1-drilling/speewah-mining-speewah-fluorite-project-wa/plods/1665-251022D</v>
      </c>
      <c r="BG268" t="str">
        <f t="shared" si="135"/>
        <v>2025-10</v>
      </c>
    </row>
    <row r="269" spans="1:59">
      <c r="A269" s="510" t="str">
        <f>VLOOKUP(F269,'Tenement Lookup'!A:BH,60,FALSE)</f>
        <v>M 80/269</v>
      </c>
      <c r="B269" t="s">
        <v>507</v>
      </c>
      <c r="C269" s="151" t="s">
        <v>508</v>
      </c>
      <c r="D269" s="1">
        <f t="shared" si="121"/>
        <v>45952.71</v>
      </c>
      <c r="E269" t="s">
        <v>172</v>
      </c>
      <c r="F269" s="501" t="s">
        <v>604</v>
      </c>
      <c r="H269" s="4" t="s">
        <v>588</v>
      </c>
      <c r="I269" s="4">
        <v>0</v>
      </c>
      <c r="J269" s="122">
        <f t="shared" si="117"/>
        <v>0</v>
      </c>
      <c r="K269" s="21">
        <v>95.7</v>
      </c>
      <c r="L269" s="28">
        <v>125.3</v>
      </c>
      <c r="M269" s="22">
        <f t="shared" si="125"/>
        <v>29.599999999999994</v>
      </c>
      <c r="N269" s="30"/>
      <c r="O269" s="26"/>
      <c r="P269" s="31">
        <f t="shared" si="110"/>
        <v>0</v>
      </c>
      <c r="Q269" s="21"/>
      <c r="R269" s="28"/>
      <c r="S269" s="22">
        <f t="shared" si="114"/>
        <v>0</v>
      </c>
      <c r="T269" s="30"/>
      <c r="U269" s="26"/>
      <c r="V269" s="31">
        <f t="shared" si="112"/>
        <v>0</v>
      </c>
      <c r="W269" s="26">
        <f t="shared" si="119"/>
        <v>29.599999999999994</v>
      </c>
      <c r="X269" s="36">
        <f t="shared" si="120"/>
        <v>5179.9999999999991</v>
      </c>
      <c r="Y269" s="301">
        <f t="shared" si="127"/>
        <v>5179.9999999999991</v>
      </c>
      <c r="Z269" s="38"/>
      <c r="AA269" s="38"/>
      <c r="AB269" s="38"/>
      <c r="AC269" s="38"/>
      <c r="AD269" s="157">
        <f t="shared" si="122"/>
        <v>0</v>
      </c>
      <c r="AE269" s="29">
        <v>9.75</v>
      </c>
      <c r="AF269" s="29">
        <v>1.25</v>
      </c>
      <c r="AG269" s="40"/>
      <c r="AH269" s="44">
        <v>1</v>
      </c>
      <c r="AI269" s="13"/>
      <c r="AJ269" s="304"/>
      <c r="AK269" s="45"/>
      <c r="AL269" s="23"/>
      <c r="AM269" s="138"/>
      <c r="AN269" s="25">
        <f t="shared" ca="1" si="136"/>
        <v>12</v>
      </c>
      <c r="AO269" s="50"/>
      <c r="AP269" s="53">
        <f t="shared" si="113"/>
        <v>935</v>
      </c>
      <c r="AQ269" s="322">
        <v>256.63</v>
      </c>
      <c r="AR269" s="324">
        <f t="shared" si="123"/>
        <v>256.63</v>
      </c>
      <c r="AS269" s="375">
        <f t="shared" si="124"/>
        <v>6371.6299999999992</v>
      </c>
      <c r="AT269" s="375">
        <v>6371.63</v>
      </c>
      <c r="AU269" s="344">
        <f t="shared" si="128"/>
        <v>0</v>
      </c>
      <c r="AV269" s="18">
        <f>IF(F268="","",(SUM($AS$6:AS269)))</f>
        <v>1509205.0199999982</v>
      </c>
      <c r="AW269" s="18">
        <f>IFERROR(IF(AS269&lt;&gt;"", SUMIFS($AS$10:AS269, $BG$10:BG269, BG269), ""),"")</f>
        <v>231976.95000000004</v>
      </c>
      <c r="AX269" s="123">
        <f t="shared" ca="1" si="129"/>
        <v>215.25777027027027</v>
      </c>
      <c r="AY269" s="124" t="str">
        <f t="shared" ca="1" si="130"/>
        <v>LINK</v>
      </c>
      <c r="AZ269" s="423" t="s">
        <v>606</v>
      </c>
      <c r="BA269" s="125" t="s">
        <v>332</v>
      </c>
      <c r="BB269" t="str">
        <f t="shared" si="131"/>
        <v>25</v>
      </c>
      <c r="BC269">
        <f t="shared" si="132"/>
        <v>10</v>
      </c>
      <c r="BD269">
        <f t="shared" si="133"/>
        <v>22</v>
      </c>
      <c r="BE269" t="str">
        <f t="shared" si="134"/>
        <v>N</v>
      </c>
      <c r="BF269" t="str">
        <f t="shared" si="126"/>
        <v>https://www.coreplan.io/app/ddh1-drilling/speewah-mining-speewah-fluorite-project-wa/plods/1665-251022N</v>
      </c>
      <c r="BG269" t="str">
        <f t="shared" si="135"/>
        <v>2025-10</v>
      </c>
    </row>
    <row r="270" spans="1:59">
      <c r="A270" s="510" t="str">
        <f>VLOOKUP(F270,'Tenement Lookup'!A:BH,60,FALSE)</f>
        <v>M 80/269</v>
      </c>
      <c r="B270" t="s">
        <v>507</v>
      </c>
      <c r="C270" s="151" t="s">
        <v>508</v>
      </c>
      <c r="D270" s="1">
        <f t="shared" si="121"/>
        <v>45953.21</v>
      </c>
      <c r="E270" t="s">
        <v>171</v>
      </c>
      <c r="F270" s="501" t="s">
        <v>604</v>
      </c>
      <c r="H270" s="4" t="s">
        <v>577</v>
      </c>
      <c r="I270" s="4">
        <v>6</v>
      </c>
      <c r="J270" s="122">
        <f t="shared" si="117"/>
        <v>780</v>
      </c>
      <c r="K270" s="21">
        <v>125.3</v>
      </c>
      <c r="L270" s="28">
        <v>140.1</v>
      </c>
      <c r="M270" s="22">
        <f t="shared" si="125"/>
        <v>14.799999999999997</v>
      </c>
      <c r="N270" s="30"/>
      <c r="O270" s="26"/>
      <c r="P270" s="31">
        <f t="shared" si="110"/>
        <v>0</v>
      </c>
      <c r="Q270" s="21"/>
      <c r="R270" s="28"/>
      <c r="S270" s="22">
        <f t="shared" si="114"/>
        <v>0</v>
      </c>
      <c r="T270" s="30"/>
      <c r="U270" s="26"/>
      <c r="V270" s="31">
        <f t="shared" si="112"/>
        <v>0</v>
      </c>
      <c r="W270" s="26">
        <f t="shared" si="119"/>
        <v>14.799999999999997</v>
      </c>
      <c r="X270" s="36">
        <f t="shared" si="120"/>
        <v>2589.9999999999995</v>
      </c>
      <c r="Y270" s="301">
        <f t="shared" si="127"/>
        <v>2589.9999999999995</v>
      </c>
      <c r="Z270" s="38">
        <v>1</v>
      </c>
      <c r="AA270" s="38">
        <v>1</v>
      </c>
      <c r="AB270" s="38">
        <v>1</v>
      </c>
      <c r="AC270" s="38">
        <v>13122</v>
      </c>
      <c r="AD270" s="157">
        <f t="shared" si="122"/>
        <v>750</v>
      </c>
      <c r="AE270" s="29">
        <v>5.5</v>
      </c>
      <c r="AF270" s="29">
        <v>5.5</v>
      </c>
      <c r="AG270" s="40"/>
      <c r="AH270" s="44">
        <v>1</v>
      </c>
      <c r="AI270" s="13"/>
      <c r="AJ270" s="304"/>
      <c r="AK270" s="45"/>
      <c r="AL270" s="23"/>
      <c r="AM270" s="138"/>
      <c r="AN270" s="25">
        <f t="shared" ca="1" si="136"/>
        <v>12</v>
      </c>
      <c r="AO270" s="50"/>
      <c r="AP270" s="53">
        <f t="shared" si="113"/>
        <v>2890</v>
      </c>
      <c r="AQ270" s="322">
        <v>1036.6300000000001</v>
      </c>
      <c r="AR270" s="324">
        <f t="shared" si="123"/>
        <v>256.63000000000011</v>
      </c>
      <c r="AS270" s="375">
        <f t="shared" si="124"/>
        <v>7266.63</v>
      </c>
      <c r="AT270" s="375">
        <v>7266.63</v>
      </c>
      <c r="AU270" s="344">
        <f t="shared" si="128"/>
        <v>0.10733999116509303</v>
      </c>
      <c r="AV270" s="18">
        <f>IF(F269="","",(SUM($AS$6:AS270)))</f>
        <v>1516471.649999998</v>
      </c>
      <c r="AW270" s="18">
        <f>IFERROR(IF(AS270&lt;&gt;"", SUMIFS($AS$10:AS270, $BG$10:BG270, BG270), ""),"")</f>
        <v>239243.58000000005</v>
      </c>
      <c r="AX270" s="123">
        <f t="shared" ca="1" si="129"/>
        <v>490.98851351351362</v>
      </c>
      <c r="AY270" s="124" t="str">
        <f t="shared" ca="1" si="130"/>
        <v>LINK</v>
      </c>
      <c r="AZ270" t="s">
        <v>607</v>
      </c>
      <c r="BA270" s="125" t="s">
        <v>332</v>
      </c>
      <c r="BB270" t="str">
        <f t="shared" si="131"/>
        <v>25</v>
      </c>
      <c r="BC270">
        <f t="shared" si="132"/>
        <v>10</v>
      </c>
      <c r="BD270">
        <f t="shared" si="133"/>
        <v>23</v>
      </c>
      <c r="BE270" t="str">
        <f t="shared" si="134"/>
        <v>D</v>
      </c>
      <c r="BF270" t="str">
        <f t="shared" si="126"/>
        <v>https://www.coreplan.io/app/ddh1-drilling/speewah-mining-speewah-fluorite-project-wa/plods/1665-251023D</v>
      </c>
      <c r="BG270" t="str">
        <f t="shared" si="135"/>
        <v>2025-10</v>
      </c>
    </row>
    <row r="271" spans="1:59">
      <c r="A271" s="510" t="str">
        <f>VLOOKUP(F271,'Tenement Lookup'!A:BH,60,FALSE)</f>
        <v>M 80/269</v>
      </c>
      <c r="B271" t="s">
        <v>507</v>
      </c>
      <c r="C271" s="151" t="s">
        <v>508</v>
      </c>
      <c r="D271" s="1">
        <f t="shared" si="121"/>
        <v>45953.71</v>
      </c>
      <c r="E271" t="s">
        <v>172</v>
      </c>
      <c r="F271" s="501" t="s">
        <v>608</v>
      </c>
      <c r="H271" s="4" t="s">
        <v>588</v>
      </c>
      <c r="I271" s="4">
        <v>0</v>
      </c>
      <c r="J271" s="122">
        <f t="shared" si="117"/>
        <v>0</v>
      </c>
      <c r="K271" s="21">
        <v>0</v>
      </c>
      <c r="L271" s="28">
        <v>10.9</v>
      </c>
      <c r="M271" s="22">
        <f t="shared" si="125"/>
        <v>10.9</v>
      </c>
      <c r="N271" s="30"/>
      <c r="O271" s="26"/>
      <c r="P271" s="31">
        <f t="shared" si="110"/>
        <v>0</v>
      </c>
      <c r="Q271" s="21"/>
      <c r="R271" s="28"/>
      <c r="S271" s="22">
        <f t="shared" si="114"/>
        <v>0</v>
      </c>
      <c r="T271" s="30"/>
      <c r="U271" s="26"/>
      <c r="V271" s="31">
        <f t="shared" si="112"/>
        <v>0</v>
      </c>
      <c r="W271" s="26">
        <f t="shared" ref="W271:W302" si="137">IF(F271="","",(M271+P271+S271+V271))</f>
        <v>10.9</v>
      </c>
      <c r="X271" s="36">
        <f t="shared" ref="X271:X302" si="138">IF(F271="","",((M271*$M$2)+(P271*$P$2)+(S271*$S$2)+(V271*$V$2)))</f>
        <v>1907.5</v>
      </c>
      <c r="Y271" s="301">
        <f t="shared" si="127"/>
        <v>1907.5</v>
      </c>
      <c r="Z271" s="38"/>
      <c r="AA271" s="38"/>
      <c r="AB271" s="38"/>
      <c r="AC271" s="38"/>
      <c r="AD271" s="157">
        <f t="shared" si="122"/>
        <v>0</v>
      </c>
      <c r="AE271" s="29">
        <v>3.75</v>
      </c>
      <c r="AF271" s="29">
        <v>7.25</v>
      </c>
      <c r="AG271" s="40"/>
      <c r="AH271" s="44">
        <v>1</v>
      </c>
      <c r="AI271" s="13"/>
      <c r="AJ271" s="304"/>
      <c r="AK271" s="45"/>
      <c r="AL271" s="23"/>
      <c r="AM271" s="138"/>
      <c r="AN271" s="25">
        <f t="shared" ca="1" si="136"/>
        <v>12</v>
      </c>
      <c r="AO271" s="50"/>
      <c r="AP271" s="53">
        <f t="shared" si="113"/>
        <v>3695</v>
      </c>
      <c r="AQ271" s="322">
        <v>652.21</v>
      </c>
      <c r="AR271" s="324">
        <f t="shared" si="123"/>
        <v>652.21</v>
      </c>
      <c r="AS271" s="375">
        <f t="shared" si="124"/>
        <v>6254.71</v>
      </c>
      <c r="AT271" s="375">
        <v>6254.71</v>
      </c>
      <c r="AU271" s="344">
        <f t="shared" si="128"/>
        <v>0</v>
      </c>
      <c r="AV271" s="18">
        <f>IF(F270="","",(SUM($AS$6:AS271)))</f>
        <v>1522726.359999998</v>
      </c>
      <c r="AW271" s="18">
        <f>IFERROR(IF(AS271&lt;&gt;"", SUMIFS($AS$10:AS271, $BG$10:BG271, BG271), ""),"")</f>
        <v>245498.29000000004</v>
      </c>
      <c r="AX271" s="123">
        <f t="shared" ca="1" si="129"/>
        <v>573.82660550458718</v>
      </c>
      <c r="AY271" s="124" t="str">
        <f t="shared" ca="1" si="130"/>
        <v>LINK</v>
      </c>
      <c r="AZ271" t="s">
        <v>609</v>
      </c>
      <c r="BA271" s="125" t="s">
        <v>332</v>
      </c>
      <c r="BB271" t="str">
        <f t="shared" si="131"/>
        <v>25</v>
      </c>
      <c r="BC271">
        <f t="shared" si="132"/>
        <v>10</v>
      </c>
      <c r="BD271">
        <f t="shared" si="133"/>
        <v>23</v>
      </c>
      <c r="BE271" t="str">
        <f t="shared" si="134"/>
        <v>N</v>
      </c>
      <c r="BF271" t="str">
        <f t="shared" si="126"/>
        <v>https://www.coreplan.io/app/ddh1-drilling/speewah-mining-speewah-fluorite-project-wa/plods/1665-251023N</v>
      </c>
      <c r="BG271" t="str">
        <f t="shared" si="135"/>
        <v>2025-10</v>
      </c>
    </row>
    <row r="272" spans="1:59">
      <c r="A272" s="510" t="str">
        <f>VLOOKUP(F272,'Tenement Lookup'!A:BH,60,FALSE)</f>
        <v>M 80/269</v>
      </c>
      <c r="B272" t="s">
        <v>507</v>
      </c>
      <c r="C272" s="151" t="s">
        <v>508</v>
      </c>
      <c r="D272" s="1">
        <f t="shared" si="121"/>
        <v>45954.21</v>
      </c>
      <c r="E272" t="s">
        <v>171</v>
      </c>
      <c r="F272" s="501" t="s">
        <v>608</v>
      </c>
      <c r="H272" s="4" t="s">
        <v>577</v>
      </c>
      <c r="I272" s="4">
        <v>6</v>
      </c>
      <c r="J272" s="122">
        <f t="shared" si="117"/>
        <v>780</v>
      </c>
      <c r="K272" s="21">
        <v>10.9</v>
      </c>
      <c r="L272" s="28">
        <v>19.899999999999999</v>
      </c>
      <c r="M272" s="22">
        <f t="shared" si="125"/>
        <v>8.9999999999999982</v>
      </c>
      <c r="N272" s="30"/>
      <c r="O272" s="26"/>
      <c r="P272" s="31">
        <f t="shared" ref="P272:P285" si="139">IF(ISBLANK(N272),,O272-N272)</f>
        <v>0</v>
      </c>
      <c r="Q272" s="21"/>
      <c r="R272" s="28"/>
      <c r="S272" s="22">
        <f t="shared" si="114"/>
        <v>0</v>
      </c>
      <c r="T272" s="30"/>
      <c r="U272" s="26"/>
      <c r="V272" s="31">
        <f t="shared" si="112"/>
        <v>0</v>
      </c>
      <c r="W272" s="26">
        <f t="shared" si="137"/>
        <v>8.9999999999999982</v>
      </c>
      <c r="X272" s="36">
        <f t="shared" si="138"/>
        <v>1574.9999999999998</v>
      </c>
      <c r="Y272" s="301">
        <f t="shared" si="127"/>
        <v>3680</v>
      </c>
      <c r="Z272" s="38">
        <v>1</v>
      </c>
      <c r="AA272" s="38">
        <v>1</v>
      </c>
      <c r="AB272" s="38">
        <v>1</v>
      </c>
      <c r="AC272" s="38">
        <v>13122</v>
      </c>
      <c r="AD272" s="157">
        <f t="shared" si="122"/>
        <v>750</v>
      </c>
      <c r="AE272" s="29">
        <v>8</v>
      </c>
      <c r="AF272" s="29">
        <v>3</v>
      </c>
      <c r="AG272" s="40"/>
      <c r="AH272" s="44">
        <v>1</v>
      </c>
      <c r="AI272" s="13"/>
      <c r="AJ272" s="304"/>
      <c r="AK272" s="45"/>
      <c r="AL272" s="23"/>
      <c r="AM272" s="138"/>
      <c r="AN272" s="25">
        <f t="shared" ca="1" si="136"/>
        <v>12</v>
      </c>
      <c r="AO272" s="50"/>
      <c r="AP272" s="53">
        <f t="shared" si="113"/>
        <v>1740</v>
      </c>
      <c r="AQ272" s="322">
        <v>1013.55</v>
      </c>
      <c r="AR272" s="324">
        <f t="shared" si="123"/>
        <v>233.54999999999995</v>
      </c>
      <c r="AS272" s="375">
        <f t="shared" si="124"/>
        <v>7183.55</v>
      </c>
      <c r="AT272" s="375">
        <v>7183.55</v>
      </c>
      <c r="AU272" s="344">
        <f t="shared" si="128"/>
        <v>0.108581411697559</v>
      </c>
      <c r="AV272" s="18">
        <f>IF(F271="","",(SUM($AS$6:AS272)))</f>
        <v>1529909.9099999981</v>
      </c>
      <c r="AW272" s="18">
        <f>IFERROR(IF(AS272&lt;&gt;"", SUMIFS($AS$10:AS272, $BG$10:BG272, BG272), ""),"")</f>
        <v>252681.84000000003</v>
      </c>
      <c r="AX272" s="123">
        <f t="shared" ca="1" si="129"/>
        <v>798.17222222222244</v>
      </c>
      <c r="AY272" s="124" t="str">
        <f t="shared" ca="1" si="130"/>
        <v>LINK</v>
      </c>
      <c r="AZ272" t="s">
        <v>610</v>
      </c>
      <c r="BA272" s="125" t="s">
        <v>332</v>
      </c>
      <c r="BB272" t="str">
        <f t="shared" si="131"/>
        <v>25</v>
      </c>
      <c r="BC272">
        <f t="shared" si="132"/>
        <v>10</v>
      </c>
      <c r="BD272">
        <f t="shared" si="133"/>
        <v>24</v>
      </c>
      <c r="BE272" t="str">
        <f t="shared" si="134"/>
        <v>D</v>
      </c>
      <c r="BF272" t="str">
        <f t="shared" si="126"/>
        <v>https://www.coreplan.io/app/ddh1-drilling/speewah-mining-speewah-fluorite-project-wa/plods/1665-251024D</v>
      </c>
      <c r="BG272" t="str">
        <f t="shared" si="135"/>
        <v>2025-10</v>
      </c>
    </row>
    <row r="273" spans="1:59">
      <c r="A273" s="510" t="str">
        <f>VLOOKUP(F273,'Tenement Lookup'!A:BH,60,FALSE)</f>
        <v>M 80/269</v>
      </c>
      <c r="B273" t="s">
        <v>507</v>
      </c>
      <c r="C273" s="151" t="s">
        <v>508</v>
      </c>
      <c r="D273" s="1">
        <f t="shared" si="121"/>
        <v>45954.71</v>
      </c>
      <c r="E273" t="s">
        <v>172</v>
      </c>
      <c r="F273" s="501" t="s">
        <v>608</v>
      </c>
      <c r="H273" s="4" t="s">
        <v>588</v>
      </c>
      <c r="I273" s="4">
        <v>0</v>
      </c>
      <c r="J273" s="122">
        <f t="shared" si="117"/>
        <v>0</v>
      </c>
      <c r="K273" s="21">
        <v>19.899999999999999</v>
      </c>
      <c r="L273" s="28">
        <v>51.7</v>
      </c>
      <c r="M273" s="22">
        <f t="shared" si="125"/>
        <v>31.800000000000004</v>
      </c>
      <c r="N273" s="30"/>
      <c r="O273" s="26"/>
      <c r="P273" s="31">
        <f t="shared" si="139"/>
        <v>0</v>
      </c>
      <c r="Q273" s="21"/>
      <c r="R273" s="28"/>
      <c r="S273" s="22">
        <f t="shared" si="114"/>
        <v>0</v>
      </c>
      <c r="T273" s="30"/>
      <c r="U273" s="26"/>
      <c r="V273" s="31">
        <f t="shared" si="112"/>
        <v>0</v>
      </c>
      <c r="W273" s="26">
        <f t="shared" si="137"/>
        <v>31.800000000000004</v>
      </c>
      <c r="X273" s="36">
        <f t="shared" si="138"/>
        <v>5565.0000000000009</v>
      </c>
      <c r="Y273" s="301">
        <f t="shared" si="127"/>
        <v>5565.0000000000009</v>
      </c>
      <c r="Z273" s="38"/>
      <c r="AA273" s="38"/>
      <c r="AB273" s="38"/>
      <c r="AC273" s="38"/>
      <c r="AD273" s="157">
        <f t="shared" si="122"/>
        <v>0</v>
      </c>
      <c r="AE273" s="29">
        <v>9</v>
      </c>
      <c r="AF273" s="29">
        <v>2</v>
      </c>
      <c r="AG273" s="40"/>
      <c r="AH273" s="44">
        <v>1</v>
      </c>
      <c r="AI273" s="13"/>
      <c r="AJ273" s="304"/>
      <c r="AK273" s="45"/>
      <c r="AL273" s="23"/>
      <c r="AM273" s="138"/>
      <c r="AN273" s="25">
        <f t="shared" ca="1" si="136"/>
        <v>12</v>
      </c>
      <c r="AO273" s="50"/>
      <c r="AP273" s="53">
        <f t="shared" si="113"/>
        <v>1280</v>
      </c>
      <c r="AQ273" s="322">
        <v>290.49</v>
      </c>
      <c r="AR273" s="324">
        <f t="shared" si="123"/>
        <v>290.49</v>
      </c>
      <c r="AS273" s="375">
        <f t="shared" ref="AS273:AS304" si="140">IF(F272="","",(SUM(Y273,AP273,AR273,AD273,J273)))</f>
        <v>7135.4900000000007</v>
      </c>
      <c r="AT273" s="375">
        <v>7135.49</v>
      </c>
      <c r="AU273" s="344">
        <f t="shared" si="128"/>
        <v>0</v>
      </c>
      <c r="AV273" s="18">
        <f>IF(F272="","",(SUM($AS$6:AS273)))</f>
        <v>1537045.399999998</v>
      </c>
      <c r="AW273" s="18">
        <f>IFERROR(IF(AS273&lt;&gt;"", SUMIFS($AS$10:AS273, $BG$10:BG273, BG273), ""),"")</f>
        <v>259817.33000000002</v>
      </c>
      <c r="AX273" s="123">
        <f t="shared" ca="1" si="129"/>
        <v>224.38647798742139</v>
      </c>
      <c r="AY273" s="124" t="str">
        <f t="shared" ca="1" si="130"/>
        <v>LINK</v>
      </c>
      <c r="AZ273" t="s">
        <v>611</v>
      </c>
      <c r="BA273" s="125" t="s">
        <v>332</v>
      </c>
      <c r="BB273" t="str">
        <f t="shared" si="131"/>
        <v>25</v>
      </c>
      <c r="BC273">
        <f t="shared" si="132"/>
        <v>10</v>
      </c>
      <c r="BD273">
        <f t="shared" si="133"/>
        <v>24</v>
      </c>
      <c r="BE273" t="str">
        <f t="shared" si="134"/>
        <v>N</v>
      </c>
      <c r="BF273" t="str">
        <f t="shared" si="126"/>
        <v>https://www.coreplan.io/app/ddh1-drilling/speewah-mining-speewah-fluorite-project-wa/plods/1665-251024N</v>
      </c>
      <c r="BG273" t="str">
        <f t="shared" si="135"/>
        <v>2025-10</v>
      </c>
    </row>
    <row r="274" spans="1:59" ht="15.75" customHeight="1">
      <c r="A274" s="510" t="str">
        <f>VLOOKUP(F274,'Tenement Lookup'!A:BH,60,FALSE)</f>
        <v>M 80/269</v>
      </c>
      <c r="B274" t="s">
        <v>507</v>
      </c>
      <c r="C274" s="151" t="s">
        <v>508</v>
      </c>
      <c r="D274" s="1">
        <f t="shared" si="121"/>
        <v>45955.21</v>
      </c>
      <c r="E274" t="s">
        <v>171</v>
      </c>
      <c r="F274" s="501" t="s">
        <v>608</v>
      </c>
      <c r="H274" s="4" t="s">
        <v>577</v>
      </c>
      <c r="I274" s="4">
        <v>6</v>
      </c>
      <c r="J274" s="122">
        <f t="shared" si="117"/>
        <v>780</v>
      </c>
      <c r="K274" s="21">
        <v>51.7</v>
      </c>
      <c r="L274" s="28">
        <v>78.7</v>
      </c>
      <c r="M274" s="22">
        <f t="shared" si="125"/>
        <v>27</v>
      </c>
      <c r="N274" s="30"/>
      <c r="O274" s="26"/>
      <c r="P274" s="31">
        <f t="shared" si="139"/>
        <v>0</v>
      </c>
      <c r="Q274" s="21"/>
      <c r="R274" s="28"/>
      <c r="S274" s="22">
        <f t="shared" si="114"/>
        <v>0</v>
      </c>
      <c r="T274" s="30"/>
      <c r="U274" s="26"/>
      <c r="V274" s="31">
        <f t="shared" si="112"/>
        <v>0</v>
      </c>
      <c r="W274" s="26">
        <f t="shared" si="137"/>
        <v>27</v>
      </c>
      <c r="X274" s="36">
        <f t="shared" si="138"/>
        <v>4725</v>
      </c>
      <c r="Y274" s="301">
        <f t="shared" si="127"/>
        <v>4725</v>
      </c>
      <c r="Z274" s="38">
        <v>1</v>
      </c>
      <c r="AA274" s="38">
        <v>1</v>
      </c>
      <c r="AB274" s="38">
        <v>1</v>
      </c>
      <c r="AC274" s="38">
        <v>13122</v>
      </c>
      <c r="AD274" s="157">
        <f t="shared" si="122"/>
        <v>750</v>
      </c>
      <c r="AE274" s="29">
        <v>10.25</v>
      </c>
      <c r="AF274" s="29">
        <v>0.75</v>
      </c>
      <c r="AG274" s="40"/>
      <c r="AH274" s="44">
        <v>1</v>
      </c>
      <c r="AI274" s="13"/>
      <c r="AJ274" s="304"/>
      <c r="AK274" s="45"/>
      <c r="AL274" s="23"/>
      <c r="AM274" s="138"/>
      <c r="AN274" s="25">
        <f t="shared" ca="1" si="136"/>
        <v>12</v>
      </c>
      <c r="AO274" s="50"/>
      <c r="AP274" s="53">
        <f t="shared" si="113"/>
        <v>705</v>
      </c>
      <c r="AQ274" s="322">
        <v>918.7</v>
      </c>
      <c r="AR274" s="324">
        <f t="shared" si="123"/>
        <v>138.70000000000005</v>
      </c>
      <c r="AS274" s="375">
        <f t="shared" si="140"/>
        <v>7098.7</v>
      </c>
      <c r="AT274" s="375">
        <v>7098.7</v>
      </c>
      <c r="AU274" s="344">
        <f t="shared" si="128"/>
        <v>0.10987927366982687</v>
      </c>
      <c r="AV274" s="18">
        <f>IF(F273="","",(SUM($AS$6:AS274)))</f>
        <v>1544144.099999998</v>
      </c>
      <c r="AW274" s="18">
        <f>IFERROR(IF(AS274&lt;&gt;"", SUMIFS($AS$10:AS274, $BG$10:BG274, BG274), ""),"")</f>
        <v>266916.03000000003</v>
      </c>
      <c r="AX274" s="123">
        <f t="shared" ca="1" si="129"/>
        <v>262.9148148148148</v>
      </c>
      <c r="AY274" s="124" t="str">
        <f t="shared" ca="1" si="130"/>
        <v>LINK</v>
      </c>
      <c r="AZ274" t="s">
        <v>612</v>
      </c>
      <c r="BA274" s="125" t="s">
        <v>332</v>
      </c>
      <c r="BB274" t="str">
        <f t="shared" si="131"/>
        <v>25</v>
      </c>
      <c r="BC274">
        <f t="shared" si="132"/>
        <v>10</v>
      </c>
      <c r="BD274">
        <f t="shared" si="133"/>
        <v>25</v>
      </c>
      <c r="BE274" t="str">
        <f t="shared" si="134"/>
        <v>D</v>
      </c>
      <c r="BF274" t="str">
        <f t="shared" si="126"/>
        <v>https://www.coreplan.io/app/ddh1-drilling/speewah-mining-speewah-fluorite-project-wa/plods/1665-251025D</v>
      </c>
      <c r="BG274" t="str">
        <f t="shared" si="135"/>
        <v>2025-10</v>
      </c>
    </row>
    <row r="275" spans="1:59">
      <c r="A275" s="510" t="str">
        <f>VLOOKUP(F275,'Tenement Lookup'!A:BH,60,FALSE)</f>
        <v>M 80/269</v>
      </c>
      <c r="B275" t="s">
        <v>507</v>
      </c>
      <c r="C275" s="151" t="s">
        <v>508</v>
      </c>
      <c r="D275" s="1">
        <f t="shared" si="121"/>
        <v>45955.71</v>
      </c>
      <c r="E275" t="s">
        <v>172</v>
      </c>
      <c r="F275" s="501" t="s">
        <v>608</v>
      </c>
      <c r="H275" s="4" t="s">
        <v>588</v>
      </c>
      <c r="I275" s="4">
        <v>0</v>
      </c>
      <c r="J275" s="122">
        <f t="shared" si="117"/>
        <v>0</v>
      </c>
      <c r="K275" s="21">
        <v>78.7</v>
      </c>
      <c r="L275" s="28">
        <v>99.7</v>
      </c>
      <c r="M275" s="22">
        <f t="shared" si="125"/>
        <v>21</v>
      </c>
      <c r="N275" s="30"/>
      <c r="O275" s="26"/>
      <c r="P275" s="31">
        <f t="shared" si="139"/>
        <v>0</v>
      </c>
      <c r="Q275" s="21"/>
      <c r="R275" s="28"/>
      <c r="S275" s="22">
        <f t="shared" si="114"/>
        <v>0</v>
      </c>
      <c r="T275" s="30"/>
      <c r="U275" s="26"/>
      <c r="V275" s="31">
        <f t="shared" si="112"/>
        <v>0</v>
      </c>
      <c r="W275" s="26">
        <f t="shared" si="137"/>
        <v>21</v>
      </c>
      <c r="X275" s="36">
        <f t="shared" si="138"/>
        <v>3675</v>
      </c>
      <c r="Y275" s="301">
        <f t="shared" si="127"/>
        <v>3675</v>
      </c>
      <c r="Z275" s="38"/>
      <c r="AA275" s="38"/>
      <c r="AB275" s="38"/>
      <c r="AC275" s="38"/>
      <c r="AD275" s="157">
        <f t="shared" si="122"/>
        <v>0</v>
      </c>
      <c r="AE275" s="29">
        <v>7.5</v>
      </c>
      <c r="AF275" s="29">
        <v>3.5</v>
      </c>
      <c r="AG275" s="40"/>
      <c r="AH275" s="44">
        <v>1</v>
      </c>
      <c r="AI275" s="13"/>
      <c r="AJ275" s="304"/>
      <c r="AK275" s="45"/>
      <c r="AL275" s="23"/>
      <c r="AM275" s="138"/>
      <c r="AN275" s="25">
        <f t="shared" ca="1" si="136"/>
        <v>12</v>
      </c>
      <c r="AO275" s="50"/>
      <c r="AP275" s="53">
        <f t="shared" si="113"/>
        <v>1970</v>
      </c>
      <c r="AQ275" s="322">
        <v>496.2</v>
      </c>
      <c r="AR275" s="324">
        <f t="shared" si="123"/>
        <v>496.2</v>
      </c>
      <c r="AS275" s="375">
        <f t="shared" si="140"/>
        <v>6141.2</v>
      </c>
      <c r="AT275" s="375">
        <v>6141.2</v>
      </c>
      <c r="AU275" s="344">
        <f t="shared" si="128"/>
        <v>0</v>
      </c>
      <c r="AV275" s="18">
        <f>IF(F274="","",(SUM($AS$6:AS275)))</f>
        <v>1550285.299999998</v>
      </c>
      <c r="AW275" s="18">
        <f>IFERROR(IF(AS275&lt;&gt;"", SUMIFS($AS$10:AS275, $BG$10:BG275, BG275), ""),"")</f>
        <v>273057.23000000004</v>
      </c>
      <c r="AX275" s="123">
        <f t="shared" ca="1" si="129"/>
        <v>292.43809523809523</v>
      </c>
      <c r="AY275" s="124" t="str">
        <f t="shared" ca="1" si="130"/>
        <v>LINK</v>
      </c>
      <c r="BA275" s="125"/>
      <c r="BG275" t="str">
        <f t="shared" si="135"/>
        <v>2025-10</v>
      </c>
    </row>
    <row r="276" spans="1:59">
      <c r="A276" s="510" t="str">
        <f>VLOOKUP(F276,'Tenement Lookup'!A:BH,60,FALSE)</f>
        <v>M 80/269</v>
      </c>
      <c r="B276" t="s">
        <v>507</v>
      </c>
      <c r="C276" s="151" t="s">
        <v>508</v>
      </c>
      <c r="D276" s="1">
        <f t="shared" si="121"/>
        <v>45956.21</v>
      </c>
      <c r="E276" t="s">
        <v>171</v>
      </c>
      <c r="F276" s="501" t="s">
        <v>608</v>
      </c>
      <c r="H276" s="4" t="s">
        <v>577</v>
      </c>
      <c r="I276" s="4">
        <v>6</v>
      </c>
      <c r="J276" s="122">
        <f t="shared" si="117"/>
        <v>780</v>
      </c>
      <c r="K276" s="21">
        <v>99.7</v>
      </c>
      <c r="L276" s="28">
        <v>112.7</v>
      </c>
      <c r="M276" s="22">
        <f t="shared" si="125"/>
        <v>13</v>
      </c>
      <c r="N276" s="30"/>
      <c r="O276" s="26"/>
      <c r="P276" s="31">
        <f t="shared" si="139"/>
        <v>0</v>
      </c>
      <c r="Q276" s="21"/>
      <c r="R276" s="28"/>
      <c r="S276" s="22">
        <f t="shared" si="114"/>
        <v>0</v>
      </c>
      <c r="T276" s="30"/>
      <c r="U276" s="26"/>
      <c r="V276" s="31">
        <f t="shared" si="112"/>
        <v>0</v>
      </c>
      <c r="W276" s="26">
        <f t="shared" si="137"/>
        <v>13</v>
      </c>
      <c r="X276" s="36">
        <f t="shared" si="138"/>
        <v>2275</v>
      </c>
      <c r="Y276" s="301">
        <f t="shared" si="127"/>
        <v>3680</v>
      </c>
      <c r="Z276" s="38">
        <v>1</v>
      </c>
      <c r="AA276" s="38">
        <v>1</v>
      </c>
      <c r="AB276" s="38">
        <v>1</v>
      </c>
      <c r="AC276" s="38">
        <v>13122</v>
      </c>
      <c r="AD276" s="157">
        <f t="shared" si="122"/>
        <v>750</v>
      </c>
      <c r="AE276" s="29">
        <v>8</v>
      </c>
      <c r="AF276" s="29">
        <v>2.75</v>
      </c>
      <c r="AG276" s="40"/>
      <c r="AH276" s="44">
        <v>1</v>
      </c>
      <c r="AI276" s="13"/>
      <c r="AJ276" s="304"/>
      <c r="AK276" s="45">
        <v>0.25</v>
      </c>
      <c r="AL276" s="23"/>
      <c r="AM276" s="138" t="s">
        <v>275</v>
      </c>
      <c r="AN276" s="25">
        <f t="shared" ca="1" si="136"/>
        <v>12</v>
      </c>
      <c r="AO276" s="50"/>
      <c r="AP276" s="53">
        <f t="shared" si="113"/>
        <v>1625</v>
      </c>
      <c r="AQ276" s="322">
        <v>1138.7</v>
      </c>
      <c r="AR276" s="324">
        <f t="shared" si="123"/>
        <v>358.70000000000005</v>
      </c>
      <c r="AS276" s="375">
        <f t="shared" si="140"/>
        <v>7193.7</v>
      </c>
      <c r="AT276" s="375">
        <v>7193.7</v>
      </c>
      <c r="AU276" s="344">
        <f t="shared" si="128"/>
        <v>0.10842820801534676</v>
      </c>
      <c r="AV276" s="18">
        <f>IF(F275="","",(SUM($AS$6:AS276)))</f>
        <v>1557478.9999999979</v>
      </c>
      <c r="AW276" s="18">
        <f>IFERROR(IF(AS276&lt;&gt;"", SUMIFS($AS$10:AS276, $BG$10:BG276, BG276), ""),"")</f>
        <v>280250.93000000005</v>
      </c>
      <c r="AX276" s="123">
        <f t="shared" ca="1" si="129"/>
        <v>553.36153846153843</v>
      </c>
      <c r="AY276" s="124" t="str">
        <f t="shared" ca="1" si="130"/>
        <v>LINK</v>
      </c>
      <c r="AZ276" t="s">
        <v>613</v>
      </c>
      <c r="BA276" s="125"/>
      <c r="BG276" t="str">
        <f t="shared" si="135"/>
        <v>2025-10</v>
      </c>
    </row>
    <row r="277" spans="1:59">
      <c r="A277" s="510" t="str">
        <f>VLOOKUP(F277,'Tenement Lookup'!A:BH,60,FALSE)</f>
        <v>M 80/269</v>
      </c>
      <c r="B277" t="s">
        <v>507</v>
      </c>
      <c r="C277" s="151" t="s">
        <v>508</v>
      </c>
      <c r="D277" s="1">
        <f t="shared" si="121"/>
        <v>45956.71</v>
      </c>
      <c r="E277" t="s">
        <v>172</v>
      </c>
      <c r="F277" s="501" t="s">
        <v>608</v>
      </c>
      <c r="H277" s="4" t="s">
        <v>588</v>
      </c>
      <c r="I277" s="4">
        <v>0</v>
      </c>
      <c r="J277" s="122">
        <f t="shared" si="117"/>
        <v>0</v>
      </c>
      <c r="K277" s="21">
        <v>112.7</v>
      </c>
      <c r="L277" s="28">
        <v>143</v>
      </c>
      <c r="M277" s="22">
        <f t="shared" si="125"/>
        <v>30.299999999999997</v>
      </c>
      <c r="N277" s="30"/>
      <c r="O277" s="26"/>
      <c r="P277" s="31">
        <f t="shared" si="139"/>
        <v>0</v>
      </c>
      <c r="Q277" s="21"/>
      <c r="R277" s="28"/>
      <c r="S277" s="22">
        <f t="shared" si="114"/>
        <v>0</v>
      </c>
      <c r="T277" s="30"/>
      <c r="U277" s="26"/>
      <c r="V277" s="31">
        <f t="shared" si="112"/>
        <v>0</v>
      </c>
      <c r="W277" s="26">
        <f t="shared" si="137"/>
        <v>30.299999999999997</v>
      </c>
      <c r="X277" s="36">
        <f t="shared" si="138"/>
        <v>5302.4999999999991</v>
      </c>
      <c r="Y277" s="301">
        <f t="shared" si="127"/>
        <v>5302.4999999999991</v>
      </c>
      <c r="Z277" s="38"/>
      <c r="AA277" s="38"/>
      <c r="AB277" s="38"/>
      <c r="AC277" s="38"/>
      <c r="AD277" s="157">
        <f t="shared" si="122"/>
        <v>0</v>
      </c>
      <c r="AE277" s="29">
        <v>8.5</v>
      </c>
      <c r="AF277" s="29">
        <v>2.25</v>
      </c>
      <c r="AG277" s="40"/>
      <c r="AH277" s="44">
        <v>1</v>
      </c>
      <c r="AI277" s="13"/>
      <c r="AJ277" s="304"/>
      <c r="AK277" s="45">
        <v>0.25</v>
      </c>
      <c r="AL277" s="23"/>
      <c r="AM277" s="138" t="s">
        <v>275</v>
      </c>
      <c r="AN277" s="25">
        <f t="shared" ca="1" si="136"/>
        <v>12</v>
      </c>
      <c r="AO277" s="50"/>
      <c r="AP277" s="53">
        <f t="shared" si="113"/>
        <v>1395</v>
      </c>
      <c r="AQ277" s="322">
        <v>220</v>
      </c>
      <c r="AR277" s="324">
        <f t="shared" si="123"/>
        <v>220</v>
      </c>
      <c r="AS277" s="375">
        <f t="shared" si="140"/>
        <v>6917.4999999999991</v>
      </c>
      <c r="AT277" s="375">
        <v>6917.5</v>
      </c>
      <c r="AU277" s="344">
        <f t="shared" si="128"/>
        <v>0</v>
      </c>
      <c r="AV277" s="18">
        <f>IF(F276="","",(SUM($AS$6:AS277)))</f>
        <v>1564396.4999999979</v>
      </c>
      <c r="AW277" s="18">
        <f>IFERROR(IF(AS277&lt;&gt;"", SUMIFS($AS$10:AS277, $BG$10:BG277, BG277), ""),"")</f>
        <v>287168.43000000005</v>
      </c>
      <c r="AX277" s="123">
        <f t="shared" ca="1" si="129"/>
        <v>228.30033003300329</v>
      </c>
      <c r="AY277" s="124" t="str">
        <f t="shared" ca="1" si="130"/>
        <v>LINK</v>
      </c>
      <c r="AZ277" t="s">
        <v>614</v>
      </c>
      <c r="BA277" s="125"/>
      <c r="BG277" t="str">
        <f t="shared" si="135"/>
        <v>2025-10</v>
      </c>
    </row>
    <row r="278" spans="1:59">
      <c r="A278" s="510" t="str">
        <f>VLOOKUP(F278,'Tenement Lookup'!A:BH,60,FALSE)</f>
        <v>M 80/269</v>
      </c>
      <c r="B278" t="s">
        <v>507</v>
      </c>
      <c r="C278" s="151" t="s">
        <v>508</v>
      </c>
      <c r="D278" s="425">
        <f t="shared" si="121"/>
        <v>45957.21</v>
      </c>
      <c r="E278" t="s">
        <v>171</v>
      </c>
      <c r="F278" s="501" t="s">
        <v>608</v>
      </c>
      <c r="H278" s="4" t="s">
        <v>577</v>
      </c>
      <c r="I278" s="4">
        <v>6</v>
      </c>
      <c r="J278" s="122">
        <f t="shared" si="117"/>
        <v>780</v>
      </c>
      <c r="K278" s="21">
        <v>143</v>
      </c>
      <c r="L278" s="28">
        <v>156.5</v>
      </c>
      <c r="M278" s="22">
        <f t="shared" si="125"/>
        <v>13.5</v>
      </c>
      <c r="N278" s="30"/>
      <c r="O278" s="26"/>
      <c r="P278" s="31">
        <f t="shared" si="139"/>
        <v>0</v>
      </c>
      <c r="Q278" s="21"/>
      <c r="R278" s="28"/>
      <c r="S278" s="22">
        <f t="shared" si="114"/>
        <v>0</v>
      </c>
      <c r="T278" s="30"/>
      <c r="U278" s="26"/>
      <c r="V278" s="31">
        <f t="shared" ref="V278" si="141">IF(ISBLANK(T278),,U278-T278)</f>
        <v>0</v>
      </c>
      <c r="W278" s="26">
        <f t="shared" si="137"/>
        <v>13.5</v>
      </c>
      <c r="X278" s="36">
        <f t="shared" si="138"/>
        <v>2362.5</v>
      </c>
      <c r="Y278" s="301">
        <f t="shared" si="127"/>
        <v>2875</v>
      </c>
      <c r="Z278" s="38">
        <v>1</v>
      </c>
      <c r="AA278" s="38">
        <v>1</v>
      </c>
      <c r="AB278" s="38">
        <v>1</v>
      </c>
      <c r="AC278" s="38">
        <v>13122</v>
      </c>
      <c r="AD278" s="157">
        <f t="shared" si="122"/>
        <v>750</v>
      </c>
      <c r="AE278" s="29">
        <v>6.25</v>
      </c>
      <c r="AF278" s="29">
        <v>2.25</v>
      </c>
      <c r="AG278" s="40"/>
      <c r="AH278" s="44">
        <v>1</v>
      </c>
      <c r="AI278" s="13">
        <v>2.5</v>
      </c>
      <c r="AJ278" s="304"/>
      <c r="AK278" s="45"/>
      <c r="AL278" s="23"/>
      <c r="AM278" s="138" t="s">
        <v>615</v>
      </c>
      <c r="AN278" s="25">
        <f t="shared" ca="1" si="136"/>
        <v>12</v>
      </c>
      <c r="AO278" s="50"/>
      <c r="AP278" s="53">
        <f t="shared" ref="AP278:AP285" si="142">(AF278*$AF$2)+(AH278*$AH$2)+(AI278*$AI$2)</f>
        <v>2295</v>
      </c>
      <c r="AQ278" s="322">
        <v>918.7</v>
      </c>
      <c r="AR278" s="324">
        <f t="shared" si="123"/>
        <v>138.70000000000005</v>
      </c>
      <c r="AS278" s="375">
        <f t="shared" si="140"/>
        <v>6838.7</v>
      </c>
      <c r="AT278" s="375">
        <v>6838.7</v>
      </c>
      <c r="AU278" s="344">
        <f t="shared" si="128"/>
        <v>0.1140567651746677</v>
      </c>
      <c r="AV278" s="18">
        <f>IF(F277="","",(SUM($AS$6:AS278)))</f>
        <v>1571235.1999999979</v>
      </c>
      <c r="AW278" s="18">
        <f>IFERROR(IF(AS278&lt;&gt;"", SUMIFS($AS$10:AS278, $BG$10:BG278, BG278), ""),"")</f>
        <v>294007.13000000006</v>
      </c>
      <c r="AX278" s="123">
        <f t="shared" ca="1" si="129"/>
        <v>506.57037037037037</v>
      </c>
      <c r="AY278" s="124" t="str">
        <f t="shared" ca="1" si="130"/>
        <v>LINK</v>
      </c>
      <c r="BA278" s="125"/>
      <c r="BG278" t="str">
        <f t="shared" si="135"/>
        <v>2025-10</v>
      </c>
    </row>
    <row r="279" spans="1:59">
      <c r="A279" s="510" t="str">
        <f>VLOOKUP(F279,'Tenement Lookup'!A:BH,60,FALSE)</f>
        <v>M 80/269</v>
      </c>
      <c r="B279" t="s">
        <v>507</v>
      </c>
      <c r="C279" s="151" t="s">
        <v>508</v>
      </c>
      <c r="D279" s="1">
        <f t="shared" si="121"/>
        <v>45957.71</v>
      </c>
      <c r="E279" t="s">
        <v>172</v>
      </c>
      <c r="F279" s="501" t="s">
        <v>608</v>
      </c>
      <c r="G279" s="7" t="s">
        <v>616</v>
      </c>
      <c r="H279" s="4" t="s">
        <v>588</v>
      </c>
      <c r="I279" s="4">
        <v>0</v>
      </c>
      <c r="J279" s="122">
        <f t="shared" si="117"/>
        <v>0</v>
      </c>
      <c r="K279" s="21">
        <v>156.5</v>
      </c>
      <c r="L279" s="28">
        <v>159.6</v>
      </c>
      <c r="M279" s="22">
        <f t="shared" si="125"/>
        <v>3.0999999999999943</v>
      </c>
      <c r="N279" s="30"/>
      <c r="O279" s="26"/>
      <c r="P279" s="31">
        <f t="shared" si="139"/>
        <v>0</v>
      </c>
      <c r="Q279" s="21">
        <v>0</v>
      </c>
      <c r="R279" s="28">
        <v>7.8</v>
      </c>
      <c r="S279" s="22">
        <f>IF(ISBLANK(Q279),,R279-Q279)</f>
        <v>7.8</v>
      </c>
      <c r="T279" s="30"/>
      <c r="U279" s="26"/>
      <c r="V279" s="31">
        <f>IF(ISBLANK(T279),,U279-T279)</f>
        <v>0</v>
      </c>
      <c r="W279" s="26">
        <f t="shared" si="137"/>
        <v>10.899999999999995</v>
      </c>
      <c r="X279" s="36">
        <f t="shared" si="138"/>
        <v>1907.4999999999991</v>
      </c>
      <c r="Y279" s="301">
        <f t="shared" si="127"/>
        <v>1907.4999999999991</v>
      </c>
      <c r="Z279" s="38"/>
      <c r="AA279" s="38"/>
      <c r="AB279" s="38"/>
      <c r="AC279" s="38"/>
      <c r="AD279" s="157">
        <f t="shared" si="122"/>
        <v>0</v>
      </c>
      <c r="AE279" s="29">
        <v>3.25</v>
      </c>
      <c r="AF279" s="29">
        <v>7.75</v>
      </c>
      <c r="AG279" s="40"/>
      <c r="AH279" s="44">
        <v>1</v>
      </c>
      <c r="AI279" s="13"/>
      <c r="AJ279" s="304"/>
      <c r="AK279" s="45"/>
      <c r="AL279" s="23"/>
      <c r="AM279" s="138"/>
      <c r="AN279" s="25">
        <f t="shared" ca="1" si="136"/>
        <v>12</v>
      </c>
      <c r="AO279" s="50"/>
      <c r="AP279" s="53">
        <f t="shared" si="142"/>
        <v>3925</v>
      </c>
      <c r="AQ279" s="322">
        <v>262.13</v>
      </c>
      <c r="AR279" s="324">
        <f t="shared" si="123"/>
        <v>262.13</v>
      </c>
      <c r="AS279" s="375">
        <f t="shared" si="140"/>
        <v>6094.6299999999992</v>
      </c>
      <c r="AT279" s="375">
        <v>6094.63</v>
      </c>
      <c r="AU279" s="344">
        <f t="shared" si="128"/>
        <v>0</v>
      </c>
      <c r="AV279" s="18">
        <f>IF(F278="","",(SUM($AS$6:AS279)))</f>
        <v>1577329.8299999977</v>
      </c>
      <c r="AW279" s="18">
        <f>IFERROR(IF(AS279&lt;&gt;"", SUMIFS($AS$10:AS279, $BG$10:BG279, BG279), ""),"")</f>
        <v>300101.76000000007</v>
      </c>
      <c r="AX279" s="123">
        <f t="shared" ca="1" si="129"/>
        <v>559.1403669724773</v>
      </c>
      <c r="AY279" s="124" t="str">
        <f t="shared" ca="1" si="130"/>
        <v>LINK</v>
      </c>
      <c r="BA279" s="125"/>
      <c r="BG279" t="str">
        <f t="shared" si="135"/>
        <v>2025-10</v>
      </c>
    </row>
    <row r="280" spans="1:59">
      <c r="A280" s="510" t="str">
        <f>VLOOKUP(F280,'Tenement Lookup'!A:BH,60,FALSE)</f>
        <v>M 80/269</v>
      </c>
      <c r="B280" t="s">
        <v>507</v>
      </c>
      <c r="C280" s="151" t="s">
        <v>508</v>
      </c>
      <c r="D280" s="1">
        <f t="shared" si="121"/>
        <v>45958.21</v>
      </c>
      <c r="E280" t="s">
        <v>171</v>
      </c>
      <c r="F280" s="501" t="s">
        <v>616</v>
      </c>
      <c r="H280" s="4" t="s">
        <v>577</v>
      </c>
      <c r="I280" s="4">
        <v>6</v>
      </c>
      <c r="J280" s="122">
        <f t="shared" si="117"/>
        <v>780</v>
      </c>
      <c r="K280" s="21">
        <v>7.8</v>
      </c>
      <c r="L280" s="28">
        <v>24.7</v>
      </c>
      <c r="M280" s="22">
        <f>IF(ISBLANK(K280),0,L280-K280)</f>
        <v>16.899999999999999</v>
      </c>
      <c r="N280" s="30"/>
      <c r="O280" s="26"/>
      <c r="P280" s="31">
        <f t="shared" si="139"/>
        <v>0</v>
      </c>
      <c r="Q280" s="21"/>
      <c r="R280" s="28"/>
      <c r="S280" s="22">
        <f>IF(ISBLANK(Q280),,R280-Q280)</f>
        <v>0</v>
      </c>
      <c r="T280" s="30"/>
      <c r="U280" s="26"/>
      <c r="V280" s="31">
        <f>IF(ISBLANK(T280),,U280-T280)</f>
        <v>0</v>
      </c>
      <c r="W280" s="26">
        <f t="shared" si="137"/>
        <v>16.899999999999999</v>
      </c>
      <c r="X280" s="36">
        <f t="shared" si="138"/>
        <v>2957.4999999999995</v>
      </c>
      <c r="Y280" s="301">
        <f t="shared" si="127"/>
        <v>3680</v>
      </c>
      <c r="Z280" s="38">
        <v>1</v>
      </c>
      <c r="AA280" s="38">
        <v>1</v>
      </c>
      <c r="AB280" s="38">
        <v>1</v>
      </c>
      <c r="AC280" s="38">
        <v>13122</v>
      </c>
      <c r="AD280" s="157">
        <f t="shared" si="122"/>
        <v>750</v>
      </c>
      <c r="AE280" s="29">
        <v>8</v>
      </c>
      <c r="AF280" s="29">
        <v>3</v>
      </c>
      <c r="AG280" s="40"/>
      <c r="AH280" s="44">
        <v>1</v>
      </c>
      <c r="AI280" s="13"/>
      <c r="AJ280" s="304"/>
      <c r="AK280" s="45"/>
      <c r="AL280" s="23"/>
      <c r="AM280" s="138"/>
      <c r="AN280" s="25">
        <f t="shared" ca="1" si="136"/>
        <v>12</v>
      </c>
      <c r="AO280" s="50"/>
      <c r="AP280" s="53">
        <f t="shared" si="142"/>
        <v>1740</v>
      </c>
      <c r="AQ280" s="322">
        <v>2152.6</v>
      </c>
      <c r="AR280" s="324">
        <f t="shared" si="123"/>
        <v>1372.6</v>
      </c>
      <c r="AS280" s="375">
        <f t="shared" si="140"/>
        <v>8322.6</v>
      </c>
      <c r="AT280" s="375">
        <v>8332.6</v>
      </c>
      <c r="AU280" s="344">
        <f t="shared" si="128"/>
        <v>9.3720712277413298E-2</v>
      </c>
      <c r="AV280" s="18">
        <f>IF(F279="","",(SUM($AS$6:AS280)))</f>
        <v>1585652.4299999978</v>
      </c>
      <c r="AW280" s="18">
        <f>IFERROR(IF(AS280&lt;&gt;"", SUMIFS($AS$10:AS280, $BG$10:BG280, BG280), ""),"")</f>
        <v>308424.36000000004</v>
      </c>
      <c r="AX280" s="123">
        <f t="shared" ca="1" si="129"/>
        <v>492.46153846153851</v>
      </c>
      <c r="AY280" s="124" t="str">
        <f t="shared" ca="1" si="130"/>
        <v>LINK</v>
      </c>
      <c r="AZ280" t="s">
        <v>617</v>
      </c>
      <c r="BA280" s="125"/>
      <c r="BG280" t="str">
        <f t="shared" si="135"/>
        <v>2025-10</v>
      </c>
    </row>
    <row r="281" spans="1:59">
      <c r="A281" s="510" t="str">
        <f>VLOOKUP(F281,'Tenement Lookup'!A:BH,60,FALSE)</f>
        <v>M 80/269</v>
      </c>
      <c r="B281" t="s">
        <v>507</v>
      </c>
      <c r="C281" s="151" t="s">
        <v>508</v>
      </c>
      <c r="D281" s="1">
        <f t="shared" si="121"/>
        <v>45958.71</v>
      </c>
      <c r="E281" t="s">
        <v>172</v>
      </c>
      <c r="F281" s="501" t="s">
        <v>616</v>
      </c>
      <c r="H281" s="4" t="s">
        <v>588</v>
      </c>
      <c r="I281" s="4">
        <v>0</v>
      </c>
      <c r="J281" s="122">
        <f t="shared" si="117"/>
        <v>0</v>
      </c>
      <c r="K281" s="21">
        <v>24.7</v>
      </c>
      <c r="L281" s="28">
        <v>51.7</v>
      </c>
      <c r="M281" s="22">
        <f t="shared" si="125"/>
        <v>27.000000000000004</v>
      </c>
      <c r="N281" s="30"/>
      <c r="O281" s="26"/>
      <c r="P281" s="31">
        <f t="shared" si="139"/>
        <v>0</v>
      </c>
      <c r="Q281" s="21"/>
      <c r="R281" s="28"/>
      <c r="S281" s="22">
        <f>IF(ISBLANK(Q281),,R281-Q281)</f>
        <v>0</v>
      </c>
      <c r="T281" s="30"/>
      <c r="U281" s="26"/>
      <c r="V281" s="31">
        <f>IF(ISBLANK(T281),,U281-T281)</f>
        <v>0</v>
      </c>
      <c r="W281" s="26">
        <f t="shared" si="137"/>
        <v>27.000000000000004</v>
      </c>
      <c r="X281" s="36">
        <f t="shared" si="138"/>
        <v>4725.0000000000009</v>
      </c>
      <c r="Y281" s="301">
        <f t="shared" si="127"/>
        <v>4725.0000000000009</v>
      </c>
      <c r="Z281" s="38"/>
      <c r="AA281" s="38"/>
      <c r="AB281" s="38"/>
      <c r="AC281" s="38"/>
      <c r="AD281" s="157">
        <f t="shared" si="122"/>
        <v>0</v>
      </c>
      <c r="AE281" s="29">
        <v>9.5</v>
      </c>
      <c r="AF281" s="29">
        <v>1.5</v>
      </c>
      <c r="AG281" s="40"/>
      <c r="AH281" s="44">
        <v>1</v>
      </c>
      <c r="AI281" s="13"/>
      <c r="AJ281" s="304"/>
      <c r="AK281" s="45"/>
      <c r="AL281" s="23"/>
      <c r="AM281" s="138"/>
      <c r="AN281" s="25">
        <f t="shared" ca="1" si="136"/>
        <v>12</v>
      </c>
      <c r="AO281" s="50"/>
      <c r="AP281" s="53">
        <f t="shared" si="142"/>
        <v>1050</v>
      </c>
      <c r="AQ281" s="322">
        <v>91.06</v>
      </c>
      <c r="AR281" s="324">
        <f t="shared" si="123"/>
        <v>91.06</v>
      </c>
      <c r="AS281" s="375">
        <f t="shared" si="140"/>
        <v>5866.0600000000013</v>
      </c>
      <c r="AT281" s="375">
        <v>5866.06</v>
      </c>
      <c r="AU281" s="344">
        <f t="shared" si="128"/>
        <v>0</v>
      </c>
      <c r="AV281" s="18">
        <f>IF(F280="","",(SUM($AS$6:AS281)))</f>
        <v>1591518.4899999979</v>
      </c>
      <c r="AW281" s="18">
        <f>IFERROR(IF(AS281&lt;&gt;"", SUMIFS($AS$10:AS281, $BG$10:BG281, BG281), ""),"")</f>
        <v>314290.42000000004</v>
      </c>
      <c r="AX281" s="123">
        <f t="shared" ca="1" si="129"/>
        <v>217.2614814814815</v>
      </c>
      <c r="AY281" s="124" t="str">
        <f t="shared" ca="1" si="130"/>
        <v>LINK</v>
      </c>
      <c r="AZ281" t="s">
        <v>618</v>
      </c>
      <c r="BA281" s="125"/>
      <c r="BG281" t="str">
        <f t="shared" si="135"/>
        <v>2025-10</v>
      </c>
    </row>
    <row r="282" spans="1:59">
      <c r="A282" s="510" t="str">
        <f>VLOOKUP(F282,'Tenement Lookup'!A:BH,60,FALSE)</f>
        <v>M 80/269</v>
      </c>
      <c r="B282" t="s">
        <v>507</v>
      </c>
      <c r="C282" s="151" t="s">
        <v>508</v>
      </c>
      <c r="D282" s="1">
        <f t="shared" si="121"/>
        <v>45959.21</v>
      </c>
      <c r="E282" t="s">
        <v>171</v>
      </c>
      <c r="F282" s="501" t="s">
        <v>616</v>
      </c>
      <c r="H282" s="4" t="s">
        <v>577</v>
      </c>
      <c r="I282" s="4">
        <v>6</v>
      </c>
      <c r="J282" s="122">
        <f t="shared" si="117"/>
        <v>780</v>
      </c>
      <c r="K282" s="21">
        <v>51.7</v>
      </c>
      <c r="L282" s="28">
        <v>69.7</v>
      </c>
      <c r="M282" s="22">
        <f t="shared" si="125"/>
        <v>18</v>
      </c>
      <c r="N282" s="30"/>
      <c r="O282" s="26"/>
      <c r="P282" s="31">
        <f t="shared" si="139"/>
        <v>0</v>
      </c>
      <c r="Q282" s="21"/>
      <c r="R282" s="28"/>
      <c r="S282" s="22"/>
      <c r="T282" s="30"/>
      <c r="U282" s="26"/>
      <c r="V282" s="31"/>
      <c r="W282" s="26">
        <f t="shared" si="137"/>
        <v>18</v>
      </c>
      <c r="X282" s="36">
        <f t="shared" si="138"/>
        <v>3150</v>
      </c>
      <c r="Y282" s="301">
        <f t="shared" si="127"/>
        <v>3335</v>
      </c>
      <c r="Z282" s="38">
        <v>1</v>
      </c>
      <c r="AA282" s="38">
        <v>1</v>
      </c>
      <c r="AB282" s="38">
        <v>1</v>
      </c>
      <c r="AC282" s="38">
        <v>13122</v>
      </c>
      <c r="AD282" s="157">
        <f t="shared" si="122"/>
        <v>750</v>
      </c>
      <c r="AE282" s="29">
        <v>7.25</v>
      </c>
      <c r="AF282" s="29">
        <v>0.25</v>
      </c>
      <c r="AG282" s="40"/>
      <c r="AH282" s="44">
        <v>1</v>
      </c>
      <c r="AI282" s="13">
        <v>3.5</v>
      </c>
      <c r="AJ282" s="304" t="s">
        <v>619</v>
      </c>
      <c r="AK282" s="45"/>
      <c r="AL282" s="23"/>
      <c r="AM282" s="138"/>
      <c r="AN282" s="25">
        <f t="shared" ca="1" si="136"/>
        <v>12</v>
      </c>
      <c r="AO282" s="50"/>
      <c r="AP282" s="53">
        <f t="shared" si="142"/>
        <v>1735</v>
      </c>
      <c r="AQ282" s="322">
        <v>1599.93</v>
      </c>
      <c r="AR282" s="324">
        <f t="shared" si="123"/>
        <v>819.93000000000006</v>
      </c>
      <c r="AS282" s="375">
        <f t="shared" si="140"/>
        <v>7419.93</v>
      </c>
      <c r="AT282" s="375">
        <v>7419.93</v>
      </c>
      <c r="AU282" s="344">
        <f t="shared" si="128"/>
        <v>0.1051222855202138</v>
      </c>
      <c r="AV282" s="18">
        <f>IF(F281="","",(SUM($AS$6:AS282)))</f>
        <v>1598938.4199999978</v>
      </c>
      <c r="AW282" s="18">
        <f>IFERROR(IF(AS282&lt;&gt;"", SUMIFS($AS$10:AS282, $BG$10:BG282, BG282), ""),"")</f>
        <v>321710.35000000003</v>
      </c>
      <c r="AX282" s="123">
        <f t="shared" ca="1" si="129"/>
        <v>412.21833333333336</v>
      </c>
      <c r="AY282" s="124" t="str">
        <f t="shared" ca="1" si="130"/>
        <v>LINK</v>
      </c>
      <c r="AZ282" t="s">
        <v>620</v>
      </c>
      <c r="BA282" s="125"/>
      <c r="BG282" t="str">
        <f t="shared" si="135"/>
        <v>2025-10</v>
      </c>
    </row>
    <row r="283" spans="1:59">
      <c r="A283" s="510" t="str">
        <f>VLOOKUP(F283,'Tenement Lookup'!A:BH,60,FALSE)</f>
        <v>M 80/269</v>
      </c>
      <c r="B283" t="s">
        <v>507</v>
      </c>
      <c r="C283" s="151" t="s">
        <v>508</v>
      </c>
      <c r="D283" s="1">
        <f t="shared" si="121"/>
        <v>45959.71</v>
      </c>
      <c r="E283" t="s">
        <v>172</v>
      </c>
      <c r="F283" s="501" t="s">
        <v>616</v>
      </c>
      <c r="H283" s="4" t="s">
        <v>588</v>
      </c>
      <c r="I283" s="4">
        <v>0</v>
      </c>
      <c r="J283" s="122">
        <f t="shared" si="117"/>
        <v>0</v>
      </c>
      <c r="K283" s="21">
        <v>69.7</v>
      </c>
      <c r="L283" s="28">
        <v>99.7</v>
      </c>
      <c r="M283" s="22">
        <f t="shared" si="125"/>
        <v>30</v>
      </c>
      <c r="N283" s="30"/>
      <c r="O283" s="26"/>
      <c r="P283" s="31">
        <f t="shared" si="139"/>
        <v>0</v>
      </c>
      <c r="Q283" s="21"/>
      <c r="R283" s="28"/>
      <c r="S283" s="22"/>
      <c r="T283" s="30"/>
      <c r="U283" s="26"/>
      <c r="V283" s="31"/>
      <c r="W283" s="26">
        <f t="shared" si="137"/>
        <v>30</v>
      </c>
      <c r="X283" s="36">
        <f t="shared" si="138"/>
        <v>5250</v>
      </c>
      <c r="Y283" s="301">
        <f t="shared" si="127"/>
        <v>5250</v>
      </c>
      <c r="Z283" s="38"/>
      <c r="AA283" s="38"/>
      <c r="AB283" s="38"/>
      <c r="AC283" s="38"/>
      <c r="AD283" s="157">
        <f t="shared" si="122"/>
        <v>0</v>
      </c>
      <c r="AE283" s="29">
        <v>10</v>
      </c>
      <c r="AF283" s="29">
        <v>1</v>
      </c>
      <c r="AG283" s="40"/>
      <c r="AH283" s="44">
        <v>1</v>
      </c>
      <c r="AI283" s="13"/>
      <c r="AJ283" s="304"/>
      <c r="AK283" s="45"/>
      <c r="AL283" s="23"/>
      <c r="AM283" s="138"/>
      <c r="AN283" s="25">
        <f t="shared" ca="1" si="136"/>
        <v>12</v>
      </c>
      <c r="AO283" s="50"/>
      <c r="AP283" s="53">
        <f t="shared" si="142"/>
        <v>820</v>
      </c>
      <c r="AQ283" s="322">
        <v>138.69999999999999</v>
      </c>
      <c r="AR283" s="324">
        <f t="shared" si="123"/>
        <v>138.69999999999999</v>
      </c>
      <c r="AS283" s="375">
        <f t="shared" si="140"/>
        <v>6208.7</v>
      </c>
      <c r="AT283" s="375">
        <v>6208.7</v>
      </c>
      <c r="AU283" s="344">
        <f t="shared" si="128"/>
        <v>0</v>
      </c>
      <c r="AV283" s="18">
        <f>IF(F282="","",(SUM($AS$6:AS283)))</f>
        <v>1605147.1199999978</v>
      </c>
      <c r="AW283" s="18">
        <f>IFERROR(IF(AS283&lt;&gt;"", SUMIFS($AS$10:AS283, $BG$10:BG283, BG283), ""),"")</f>
        <v>327919.05000000005</v>
      </c>
      <c r="AX283" s="123">
        <f t="shared" ca="1" si="129"/>
        <v>206.95666666666665</v>
      </c>
      <c r="AY283" s="124" t="str">
        <f t="shared" ca="1" si="130"/>
        <v>LINK</v>
      </c>
      <c r="AZ283" t="s">
        <v>621</v>
      </c>
      <c r="BA283" s="125"/>
      <c r="BG283" t="str">
        <f t="shared" si="135"/>
        <v>2025-10</v>
      </c>
    </row>
    <row r="284" spans="1:59">
      <c r="A284" s="510" t="str">
        <f>VLOOKUP(F284,'Tenement Lookup'!A:BH,60,FALSE)</f>
        <v>M 80/269</v>
      </c>
      <c r="B284" t="s">
        <v>507</v>
      </c>
      <c r="C284" s="151" t="s">
        <v>508</v>
      </c>
      <c r="D284" s="1">
        <f t="shared" si="121"/>
        <v>45960.21</v>
      </c>
      <c r="E284" t="s">
        <v>171</v>
      </c>
      <c r="F284" s="501" t="s">
        <v>616</v>
      </c>
      <c r="H284" s="4" t="s">
        <v>577</v>
      </c>
      <c r="I284" s="4">
        <v>6</v>
      </c>
      <c r="J284" s="122">
        <f t="shared" si="117"/>
        <v>780</v>
      </c>
      <c r="K284" s="21">
        <v>99.7</v>
      </c>
      <c r="L284" s="28">
        <v>114.3</v>
      </c>
      <c r="M284" s="22">
        <f t="shared" si="125"/>
        <v>14.599999999999994</v>
      </c>
      <c r="N284" s="30"/>
      <c r="O284" s="26"/>
      <c r="P284" s="31">
        <f t="shared" si="139"/>
        <v>0</v>
      </c>
      <c r="Q284" s="21"/>
      <c r="R284" s="28"/>
      <c r="S284" s="22"/>
      <c r="T284" s="30"/>
      <c r="U284" s="26"/>
      <c r="V284" s="31"/>
      <c r="W284" s="26">
        <f t="shared" si="137"/>
        <v>14.599999999999994</v>
      </c>
      <c r="X284" s="36">
        <f t="shared" si="138"/>
        <v>2554.9999999999991</v>
      </c>
      <c r="Y284" s="301">
        <f t="shared" ref="Y284:Y315" si="143">IF(F284&lt;&gt;"",IF(X284&lt;(AE284*$AE$2),(AE284*$AE$2),X284),"")</f>
        <v>3680</v>
      </c>
      <c r="Z284" s="38">
        <v>1</v>
      </c>
      <c r="AA284" s="38">
        <v>1</v>
      </c>
      <c r="AB284" s="38">
        <v>1</v>
      </c>
      <c r="AC284" s="38">
        <v>13122</v>
      </c>
      <c r="AD284" s="157">
        <f t="shared" si="122"/>
        <v>750</v>
      </c>
      <c r="AE284" s="29">
        <v>8</v>
      </c>
      <c r="AF284" s="29">
        <v>1.5</v>
      </c>
      <c r="AG284" s="40"/>
      <c r="AH284" s="44">
        <v>1</v>
      </c>
      <c r="AI284" s="13">
        <v>1.5</v>
      </c>
      <c r="AJ284" s="304" t="s">
        <v>622</v>
      </c>
      <c r="AK284" s="45"/>
      <c r="AL284" s="23"/>
      <c r="AM284" s="138"/>
      <c r="AN284" s="25">
        <f t="shared" ca="1" si="136"/>
        <v>12</v>
      </c>
      <c r="AO284" s="50"/>
      <c r="AP284" s="53">
        <f t="shared" si="142"/>
        <v>1590</v>
      </c>
      <c r="AQ284" s="322">
        <v>897.93</v>
      </c>
      <c r="AR284" s="324">
        <f t="shared" si="123"/>
        <v>117.92999999999995</v>
      </c>
      <c r="AS284" s="375">
        <f t="shared" si="140"/>
        <v>6917.93</v>
      </c>
      <c r="AT284" s="375">
        <v>6917.93</v>
      </c>
      <c r="AU284" s="344">
        <f t="shared" si="128"/>
        <v>0.11275049039235725</v>
      </c>
      <c r="AV284" s="18">
        <f>IF(F283="","",(SUM($AS$6:AS284)))</f>
        <v>1612065.0499999977</v>
      </c>
      <c r="AW284" s="18">
        <f>IFERROR(IF(AS284&lt;&gt;"", SUMIFS($AS$10:AS284, $BG$10:BG284, BG284), ""),"")</f>
        <v>334836.98000000004</v>
      </c>
      <c r="AX284" s="123">
        <f t="shared" ca="1" si="129"/>
        <v>473.83082191780841</v>
      </c>
      <c r="AY284" s="124" t="str">
        <f t="shared" ca="1" si="130"/>
        <v>LINK</v>
      </c>
      <c r="AZ284" t="s">
        <v>623</v>
      </c>
      <c r="BA284" s="125"/>
      <c r="BG284" t="str">
        <f t="shared" si="135"/>
        <v>2025-10</v>
      </c>
    </row>
    <row r="285" spans="1:59">
      <c r="A285" s="510" t="str">
        <f>VLOOKUP(F285,'Tenement Lookup'!A:BH,60,FALSE)</f>
        <v>M 80/269</v>
      </c>
      <c r="B285" t="s">
        <v>507</v>
      </c>
      <c r="C285" s="151" t="s">
        <v>508</v>
      </c>
      <c r="D285" s="1">
        <f t="shared" si="121"/>
        <v>45960.71</v>
      </c>
      <c r="E285" t="s">
        <v>172</v>
      </c>
      <c r="F285" s="501" t="s">
        <v>616</v>
      </c>
      <c r="H285" s="4" t="s">
        <v>588</v>
      </c>
      <c r="I285" s="4">
        <v>0</v>
      </c>
      <c r="J285" s="122">
        <f t="shared" si="117"/>
        <v>0</v>
      </c>
      <c r="K285" s="21">
        <v>114.3</v>
      </c>
      <c r="L285" s="28">
        <v>135.69999999999999</v>
      </c>
      <c r="M285" s="22">
        <f t="shared" si="125"/>
        <v>21.399999999999991</v>
      </c>
      <c r="N285" s="30"/>
      <c r="O285" s="26"/>
      <c r="P285" s="31">
        <f t="shared" si="139"/>
        <v>0</v>
      </c>
      <c r="Q285" s="21"/>
      <c r="R285" s="28"/>
      <c r="S285" s="22"/>
      <c r="T285" s="30"/>
      <c r="U285" s="26"/>
      <c r="V285" s="31"/>
      <c r="W285" s="26">
        <f t="shared" si="137"/>
        <v>21.399999999999991</v>
      </c>
      <c r="X285" s="36">
        <f t="shared" si="138"/>
        <v>3744.9999999999986</v>
      </c>
      <c r="Y285" s="301">
        <f t="shared" si="143"/>
        <v>3744.9999999999986</v>
      </c>
      <c r="Z285" s="38"/>
      <c r="AA285" s="38"/>
      <c r="AB285" s="38"/>
      <c r="AC285" s="38"/>
      <c r="AD285" s="157">
        <f t="shared" si="122"/>
        <v>0</v>
      </c>
      <c r="AE285" s="29">
        <v>7.75</v>
      </c>
      <c r="AF285" s="29">
        <v>1.75</v>
      </c>
      <c r="AG285" s="40"/>
      <c r="AH285" s="44">
        <v>1</v>
      </c>
      <c r="AI285" s="13">
        <v>1.5</v>
      </c>
      <c r="AJ285" s="304" t="s">
        <v>622</v>
      </c>
      <c r="AK285" s="45"/>
      <c r="AL285" s="23"/>
      <c r="AM285" s="138"/>
      <c r="AN285" s="25">
        <f t="shared" ca="1" si="136"/>
        <v>12</v>
      </c>
      <c r="AO285" s="50"/>
      <c r="AP285" s="53">
        <f t="shared" si="142"/>
        <v>1705</v>
      </c>
      <c r="AQ285" s="322">
        <v>578.70000000000005</v>
      </c>
      <c r="AR285" s="324">
        <f t="shared" si="123"/>
        <v>578.70000000000005</v>
      </c>
      <c r="AS285" s="375">
        <f t="shared" si="140"/>
        <v>6028.699999999998</v>
      </c>
      <c r="AT285" s="375">
        <v>6028.7</v>
      </c>
      <c r="AU285" s="344">
        <f t="shared" si="128"/>
        <v>0</v>
      </c>
      <c r="AV285" s="18">
        <f>IF(F284="","",(SUM($AS$6:AS285)))</f>
        <v>1618093.7499999977</v>
      </c>
      <c r="AW285" s="18">
        <f>IFERROR(IF(AS285&lt;&gt;"", SUMIFS($AS$10:AS285, $BG$10:BG285, BG285), ""),"")</f>
        <v>340865.68000000005</v>
      </c>
      <c r="AX285" s="123">
        <f t="shared" ca="1" si="129"/>
        <v>281.71495327102804</v>
      </c>
      <c r="AY285" s="124" t="str">
        <f t="shared" ca="1" si="130"/>
        <v>LINK</v>
      </c>
      <c r="AZ285" s="423" t="s">
        <v>624</v>
      </c>
      <c r="BA285" s="125"/>
      <c r="BG285" t="str">
        <f t="shared" si="135"/>
        <v>2025-10</v>
      </c>
    </row>
    <row r="286" spans="1:59">
      <c r="A286" s="510" t="str">
        <f>VLOOKUP(F286,'Tenement Lookup'!A:BH,60,FALSE)</f>
        <v>M 80/269</v>
      </c>
      <c r="B286" t="s">
        <v>507</v>
      </c>
      <c r="C286" s="151" t="s">
        <v>508</v>
      </c>
      <c r="D286" s="1">
        <f t="shared" si="121"/>
        <v>45961.21</v>
      </c>
      <c r="E286" t="s">
        <v>171</v>
      </c>
      <c r="F286" s="501" t="s">
        <v>616</v>
      </c>
      <c r="H286" s="4" t="s">
        <v>577</v>
      </c>
      <c r="I286" s="4">
        <v>6</v>
      </c>
      <c r="J286" s="122">
        <f t="shared" ref="J286:J295" si="144">IF(ISBLANK(I286),"",I286*$J$2)</f>
        <v>780</v>
      </c>
      <c r="K286" s="21">
        <v>135.69999999999999</v>
      </c>
      <c r="L286" s="28">
        <v>159.69999999999999</v>
      </c>
      <c r="M286" s="22">
        <f t="shared" ref="M286:M295" si="145">IF(ISBLANK(K286),0,L286-K286)</f>
        <v>24</v>
      </c>
      <c r="N286" s="30"/>
      <c r="O286" s="26"/>
      <c r="P286" s="31">
        <f t="shared" ref="P286:P295" si="146">IF(ISBLANK(N286),,O286-N286)</f>
        <v>0</v>
      </c>
      <c r="Q286" s="21"/>
      <c r="R286" s="28"/>
      <c r="S286" s="22"/>
      <c r="T286" s="30"/>
      <c r="U286" s="26"/>
      <c r="V286" s="31"/>
      <c r="W286" s="26">
        <f t="shared" si="137"/>
        <v>24</v>
      </c>
      <c r="X286" s="36">
        <f t="shared" si="138"/>
        <v>4200</v>
      </c>
      <c r="Y286" s="301">
        <f t="shared" si="143"/>
        <v>4830</v>
      </c>
      <c r="Z286" s="38">
        <v>1</v>
      </c>
      <c r="AA286" s="38">
        <v>1</v>
      </c>
      <c r="AB286" s="38">
        <v>1</v>
      </c>
      <c r="AC286" s="38">
        <v>13122</v>
      </c>
      <c r="AD286" s="157">
        <f t="shared" ref="AD286:AD295" si="147">IF(Y286="","",SUMPRODUCT(Z286:AB286,$Z$2:$AB$2))</f>
        <v>750</v>
      </c>
      <c r="AE286" s="29">
        <v>10.5</v>
      </c>
      <c r="AF286" s="29">
        <v>0.5</v>
      </c>
      <c r="AG286" s="40"/>
      <c r="AH286" s="44">
        <v>1</v>
      </c>
      <c r="AI286" s="13"/>
      <c r="AJ286" s="304"/>
      <c r="AK286" s="45"/>
      <c r="AL286" s="23"/>
      <c r="AM286" s="138"/>
      <c r="AN286" s="25">
        <f t="shared" ca="1" si="136"/>
        <v>12</v>
      </c>
      <c r="AO286" s="50"/>
      <c r="AP286" s="53">
        <f t="shared" ref="AP286:AP295" si="148">(AF286*$AF$2)+(AH286*$AH$2)+(AI286*$AI$2)</f>
        <v>590</v>
      </c>
      <c r="AQ286" s="322">
        <v>897.93</v>
      </c>
      <c r="AR286" s="324">
        <f t="shared" ref="AR286:AR300" si="149">IFERROR(AQ286-J286,"")</f>
        <v>117.92999999999995</v>
      </c>
      <c r="AS286" s="375">
        <f t="shared" si="140"/>
        <v>7067.93</v>
      </c>
      <c r="AT286" s="375">
        <v>7067.93</v>
      </c>
      <c r="AU286" s="344">
        <f t="shared" ref="AU286:AU295" si="150">IFERROR(J286/AS286,"")</f>
        <v>0.11035762946152551</v>
      </c>
      <c r="AV286" s="18">
        <f>IF(F285="","",(SUM($AS$6:AS286)))</f>
        <v>1625161.6799999976</v>
      </c>
      <c r="AW286" s="18">
        <f>IFERROR(IF(AS286&lt;&gt;"", SUMIFS($AS$10:AS286, $BG$10:BG286, BG286), ""),"")</f>
        <v>347933.61000000004</v>
      </c>
      <c r="AX286" s="123">
        <f t="shared" ca="1" si="129"/>
        <v>294.49708333333336</v>
      </c>
      <c r="AY286" s="124" t="str">
        <f t="shared" ca="1" si="130"/>
        <v>LINK</v>
      </c>
      <c r="AZ286" t="s">
        <v>625</v>
      </c>
      <c r="BA286" s="125"/>
      <c r="BG286" t="str">
        <f t="shared" si="135"/>
        <v>2025-10</v>
      </c>
    </row>
    <row r="287" spans="1:59">
      <c r="A287" s="510" t="str">
        <f>VLOOKUP(F287,'Tenement Lookup'!A:BH,60,FALSE)</f>
        <v>M 80/269</v>
      </c>
      <c r="B287" t="s">
        <v>507</v>
      </c>
      <c r="C287" s="151" t="s">
        <v>508</v>
      </c>
      <c r="D287" s="1">
        <f t="shared" si="121"/>
        <v>45961.71</v>
      </c>
      <c r="E287" t="s">
        <v>172</v>
      </c>
      <c r="F287" s="501" t="s">
        <v>626</v>
      </c>
      <c r="H287" s="4" t="s">
        <v>588</v>
      </c>
      <c r="I287" s="4">
        <v>0</v>
      </c>
      <c r="J287" s="122">
        <f t="shared" si="144"/>
        <v>0</v>
      </c>
      <c r="K287" s="21">
        <v>0</v>
      </c>
      <c r="L287" s="28">
        <v>0</v>
      </c>
      <c r="M287" s="22">
        <f t="shared" si="145"/>
        <v>0</v>
      </c>
      <c r="N287" s="30"/>
      <c r="O287" s="26"/>
      <c r="P287" s="31">
        <f t="shared" si="146"/>
        <v>0</v>
      </c>
      <c r="Q287" s="21"/>
      <c r="R287" s="28"/>
      <c r="S287" s="22"/>
      <c r="T287" s="30"/>
      <c r="U287" s="26"/>
      <c r="V287" s="31"/>
      <c r="W287" s="26">
        <f t="shared" si="137"/>
        <v>0</v>
      </c>
      <c r="X287" s="36">
        <f t="shared" si="138"/>
        <v>0</v>
      </c>
      <c r="Y287" s="301">
        <f t="shared" si="143"/>
        <v>0</v>
      </c>
      <c r="Z287" s="38"/>
      <c r="AA287" s="38"/>
      <c r="AB287" s="38"/>
      <c r="AC287" s="38"/>
      <c r="AD287" s="157">
        <f t="shared" si="147"/>
        <v>0</v>
      </c>
      <c r="AE287" s="29">
        <v>0</v>
      </c>
      <c r="AF287" s="29">
        <v>8.5</v>
      </c>
      <c r="AG287" s="40"/>
      <c r="AH287" s="44">
        <v>1</v>
      </c>
      <c r="AI287" s="13">
        <v>2.5</v>
      </c>
      <c r="AJ287" s="304" t="s">
        <v>627</v>
      </c>
      <c r="AK287" s="45"/>
      <c r="AL287" s="23"/>
      <c r="AM287" s="138"/>
      <c r="AN287" s="25">
        <f t="shared" ca="1" si="136"/>
        <v>12</v>
      </c>
      <c r="AO287" s="50"/>
      <c r="AP287" s="53">
        <f t="shared" si="148"/>
        <v>5170</v>
      </c>
      <c r="AQ287" s="322">
        <v>88.08</v>
      </c>
      <c r="AR287" s="324">
        <f t="shared" si="149"/>
        <v>88.08</v>
      </c>
      <c r="AS287" s="375">
        <f t="shared" si="140"/>
        <v>5258.08</v>
      </c>
      <c r="AT287" s="375">
        <v>5258.08</v>
      </c>
      <c r="AU287" s="344">
        <f t="shared" si="150"/>
        <v>0</v>
      </c>
      <c r="AV287" s="18">
        <f>IF(F286="","",(SUM($AS$6:AS287)))</f>
        <v>1630419.7599999977</v>
      </c>
      <c r="AW287" s="18">
        <f>IFERROR(IF(AS287&lt;&gt;"", SUMIFS($AS$10:AS287, $BG$10:BG287, BG287), ""),"")</f>
        <v>353191.69000000006</v>
      </c>
      <c r="AX287" s="123" t="e">
        <f t="shared" ca="1" si="129"/>
        <v>#DIV/0!</v>
      </c>
      <c r="AY287" s="124" t="str">
        <f t="shared" ca="1" si="130"/>
        <v>LINK</v>
      </c>
      <c r="AZ287" t="s">
        <v>628</v>
      </c>
      <c r="BA287" s="125"/>
      <c r="BG287" t="str">
        <f t="shared" si="135"/>
        <v>2025-10</v>
      </c>
    </row>
    <row r="288" spans="1:59">
      <c r="A288" s="510" t="str">
        <f>VLOOKUP(F288,'Tenement Lookup'!A:BH,60,FALSE)</f>
        <v>M 80/269</v>
      </c>
      <c r="B288" t="s">
        <v>507</v>
      </c>
      <c r="C288" s="151" t="s">
        <v>508</v>
      </c>
      <c r="D288" s="1">
        <f t="shared" si="121"/>
        <v>45962.21</v>
      </c>
      <c r="E288" t="s">
        <v>171</v>
      </c>
      <c r="F288" s="501" t="s">
        <v>626</v>
      </c>
      <c r="H288" s="4" t="s">
        <v>577</v>
      </c>
      <c r="I288" s="4">
        <v>6</v>
      </c>
      <c r="J288" s="122">
        <f t="shared" si="144"/>
        <v>780</v>
      </c>
      <c r="K288" s="21">
        <v>0</v>
      </c>
      <c r="L288" s="28">
        <v>3</v>
      </c>
      <c r="M288" s="22">
        <f t="shared" si="145"/>
        <v>3</v>
      </c>
      <c r="N288" s="30"/>
      <c r="O288" s="26"/>
      <c r="P288" s="31">
        <f t="shared" si="146"/>
        <v>0</v>
      </c>
      <c r="Q288" s="21"/>
      <c r="R288" s="28"/>
      <c r="S288" s="22"/>
      <c r="T288" s="30"/>
      <c r="U288" s="26"/>
      <c r="V288" s="31"/>
      <c r="W288" s="26">
        <f t="shared" si="137"/>
        <v>3</v>
      </c>
      <c r="X288" s="36">
        <f t="shared" si="138"/>
        <v>525</v>
      </c>
      <c r="Y288" s="301">
        <f t="shared" si="143"/>
        <v>1380</v>
      </c>
      <c r="Z288" s="38">
        <v>1</v>
      </c>
      <c r="AA288" s="38">
        <v>1</v>
      </c>
      <c r="AB288" s="38">
        <v>1</v>
      </c>
      <c r="AC288" s="38">
        <v>13122</v>
      </c>
      <c r="AD288" s="157">
        <f t="shared" si="147"/>
        <v>750</v>
      </c>
      <c r="AE288" s="29">
        <v>3</v>
      </c>
      <c r="AF288" s="29">
        <v>3.5</v>
      </c>
      <c r="AG288" s="40"/>
      <c r="AH288" s="44">
        <v>1</v>
      </c>
      <c r="AI288" s="13">
        <v>4.5</v>
      </c>
      <c r="AJ288" s="304" t="s">
        <v>629</v>
      </c>
      <c r="AK288" s="45"/>
      <c r="AL288" s="23"/>
      <c r="AM288" s="138"/>
      <c r="AN288" s="25">
        <f t="shared" ca="1" si="136"/>
        <v>12</v>
      </c>
      <c r="AO288" s="50"/>
      <c r="AP288" s="53">
        <f t="shared" si="148"/>
        <v>3590</v>
      </c>
      <c r="AQ288" s="322">
        <v>780</v>
      </c>
      <c r="AR288" s="324">
        <f t="shared" si="149"/>
        <v>0</v>
      </c>
      <c r="AS288" s="375">
        <f t="shared" si="140"/>
        <v>6500</v>
      </c>
      <c r="AT288" s="375">
        <v>6500</v>
      </c>
      <c r="AU288" s="344">
        <f t="shared" si="150"/>
        <v>0.12</v>
      </c>
      <c r="AV288" s="18">
        <f>IF(F287="","",(SUM($AS$6:AS288)))</f>
        <v>1636919.7599999977</v>
      </c>
      <c r="AW288" s="18">
        <f>IFERROR(IF(AS288&lt;&gt;"", SUMIFS($AS$10:AS288, $BG$10:BG288, BG288), ""),"")</f>
        <v>6500</v>
      </c>
      <c r="AX288" s="123">
        <f t="shared" ca="1" si="129"/>
        <v>2166.6666666666665</v>
      </c>
      <c r="AY288" s="124" t="str">
        <f t="shared" ca="1" si="130"/>
        <v>LINK</v>
      </c>
      <c r="AZ288" t="s">
        <v>630</v>
      </c>
      <c r="BA288" s="125"/>
      <c r="BG288" t="str">
        <f t="shared" si="135"/>
        <v>2025-11</v>
      </c>
    </row>
    <row r="289" spans="1:59">
      <c r="A289" s="510" t="str">
        <f>VLOOKUP(F289,'Tenement Lookup'!A:BH,60,FALSE)</f>
        <v>M 80/269</v>
      </c>
      <c r="B289" t="s">
        <v>507</v>
      </c>
      <c r="C289" s="151" t="s">
        <v>508</v>
      </c>
      <c r="D289" s="1">
        <f t="shared" si="121"/>
        <v>45962.71</v>
      </c>
      <c r="E289" t="s">
        <v>172</v>
      </c>
      <c r="F289" s="501" t="s">
        <v>626</v>
      </c>
      <c r="H289" s="4" t="s">
        <v>588</v>
      </c>
      <c r="I289" s="4">
        <v>0</v>
      </c>
      <c r="J289" s="122">
        <f t="shared" si="144"/>
        <v>0</v>
      </c>
      <c r="K289" s="21">
        <v>3</v>
      </c>
      <c r="L289" s="28">
        <v>3</v>
      </c>
      <c r="M289" s="22">
        <f t="shared" si="145"/>
        <v>0</v>
      </c>
      <c r="N289" s="30"/>
      <c r="O289" s="26"/>
      <c r="P289" s="31">
        <f t="shared" si="146"/>
        <v>0</v>
      </c>
      <c r="Q289" s="21"/>
      <c r="R289" s="28"/>
      <c r="S289" s="22"/>
      <c r="T289" s="30"/>
      <c r="U289" s="26"/>
      <c r="V289" s="31"/>
      <c r="W289" s="26">
        <f t="shared" si="137"/>
        <v>0</v>
      </c>
      <c r="X289" s="36">
        <f t="shared" si="138"/>
        <v>0</v>
      </c>
      <c r="Y289" s="301">
        <f t="shared" si="143"/>
        <v>0</v>
      </c>
      <c r="Z289" s="38"/>
      <c r="AA289" s="38"/>
      <c r="AB289" s="38"/>
      <c r="AC289" s="38"/>
      <c r="AD289" s="157">
        <f t="shared" si="147"/>
        <v>0</v>
      </c>
      <c r="AE289" s="29">
        <v>0</v>
      </c>
      <c r="AF289" s="29">
        <v>0</v>
      </c>
      <c r="AG289" s="40"/>
      <c r="AH289" s="44"/>
      <c r="AI289" s="13">
        <v>12</v>
      </c>
      <c r="AJ289" s="304" t="s">
        <v>631</v>
      </c>
      <c r="AK289" s="45"/>
      <c r="AL289" s="23"/>
      <c r="AM289" s="138"/>
      <c r="AN289" s="25">
        <f t="shared" ca="1" si="136"/>
        <v>12</v>
      </c>
      <c r="AO289" s="50"/>
      <c r="AP289" s="53">
        <f t="shared" si="148"/>
        <v>4320</v>
      </c>
      <c r="AQ289" s="322"/>
      <c r="AR289" s="324">
        <f t="shared" si="149"/>
        <v>0</v>
      </c>
      <c r="AS289" s="375">
        <f t="shared" si="140"/>
        <v>4320</v>
      </c>
      <c r="AT289" s="375">
        <v>4320</v>
      </c>
      <c r="AU289" s="344">
        <f t="shared" si="150"/>
        <v>0</v>
      </c>
      <c r="AV289" s="18">
        <f>IF(F288="","",(SUM($AS$6:AS289)))</f>
        <v>1641239.7599999977</v>
      </c>
      <c r="AW289" s="18">
        <f>IFERROR(IF(AS289&lt;&gt;"", SUMIFS($AS$10:AS289, $BG$10:BG289, BG289), ""),"")</f>
        <v>10820</v>
      </c>
      <c r="AX289" s="123" t="e">
        <f t="shared" ca="1" si="129"/>
        <v>#DIV/0!</v>
      </c>
      <c r="AY289" s="124" t="str">
        <f t="shared" ca="1" si="130"/>
        <v>LINK</v>
      </c>
      <c r="AZ289" t="s">
        <v>632</v>
      </c>
      <c r="BA289" s="125"/>
      <c r="BG289" t="str">
        <f t="shared" si="135"/>
        <v>2025-11</v>
      </c>
    </row>
    <row r="290" spans="1:59">
      <c r="A290" s="510" t="str">
        <f>VLOOKUP(F290,'Tenement Lookup'!A:BH,60,FALSE)</f>
        <v>M 80/269</v>
      </c>
      <c r="B290" t="s">
        <v>507</v>
      </c>
      <c r="C290" s="151" t="s">
        <v>508</v>
      </c>
      <c r="D290" s="1">
        <f t="shared" si="121"/>
        <v>45963.21</v>
      </c>
      <c r="E290" t="s">
        <v>171</v>
      </c>
      <c r="F290" s="501" t="s">
        <v>626</v>
      </c>
      <c r="H290" s="4" t="s">
        <v>577</v>
      </c>
      <c r="I290" s="4">
        <v>6</v>
      </c>
      <c r="J290" s="122"/>
      <c r="K290" s="21">
        <v>3</v>
      </c>
      <c r="L290" s="28">
        <v>3</v>
      </c>
      <c r="M290" s="22">
        <f t="shared" si="145"/>
        <v>0</v>
      </c>
      <c r="N290" s="30"/>
      <c r="O290" s="26"/>
      <c r="P290" s="31">
        <f t="shared" si="146"/>
        <v>0</v>
      </c>
      <c r="Q290" s="21"/>
      <c r="R290" s="28"/>
      <c r="S290" s="22"/>
      <c r="T290" s="30"/>
      <c r="U290" s="26"/>
      <c r="V290" s="31"/>
      <c r="W290" s="26">
        <f t="shared" si="137"/>
        <v>0</v>
      </c>
      <c r="X290" s="36">
        <f t="shared" si="138"/>
        <v>0</v>
      </c>
      <c r="Y290" s="301">
        <f t="shared" si="143"/>
        <v>0</v>
      </c>
      <c r="Z290" s="38">
        <v>1</v>
      </c>
      <c r="AA290" s="38">
        <v>1</v>
      </c>
      <c r="AB290" s="38">
        <v>1</v>
      </c>
      <c r="AC290" s="38">
        <v>13122</v>
      </c>
      <c r="AD290" s="157">
        <f t="shared" si="147"/>
        <v>750</v>
      </c>
      <c r="AE290" s="29">
        <v>0</v>
      </c>
      <c r="AF290" s="29">
        <v>0</v>
      </c>
      <c r="AG290" s="40"/>
      <c r="AH290" s="44"/>
      <c r="AI290" s="13">
        <v>12</v>
      </c>
      <c r="AJ290" s="304" t="s">
        <v>631</v>
      </c>
      <c r="AK290" s="45"/>
      <c r="AL290" s="23"/>
      <c r="AM290" s="138"/>
      <c r="AN290" s="25">
        <f t="shared" ca="1" si="136"/>
        <v>12</v>
      </c>
      <c r="AO290" s="50"/>
      <c r="AP290" s="53">
        <f t="shared" si="148"/>
        <v>4320</v>
      </c>
      <c r="AQ290" s="322">
        <v>0</v>
      </c>
      <c r="AR290" s="324">
        <f t="shared" si="149"/>
        <v>0</v>
      </c>
      <c r="AS290" s="375">
        <f t="shared" si="140"/>
        <v>5070</v>
      </c>
      <c r="AT290" s="375">
        <v>5070</v>
      </c>
      <c r="AU290" s="344">
        <f t="shared" si="150"/>
        <v>0</v>
      </c>
      <c r="AV290" s="18">
        <f>IF(F289="","",(SUM($AS$6:AS290)))</f>
        <v>1646309.7599999977</v>
      </c>
      <c r="AW290" s="18">
        <f>IFERROR(IF(AS290&lt;&gt;"", SUMIFS($AS$10:AS290, $BG$10:BG290, BG290), ""),"")</f>
        <v>15890</v>
      </c>
      <c r="AX290" s="123" t="e">
        <f t="shared" ca="1" si="129"/>
        <v>#DIV/0!</v>
      </c>
      <c r="AY290" s="124" t="str">
        <f t="shared" ca="1" si="130"/>
        <v>LINK</v>
      </c>
      <c r="AZ290" t="s">
        <v>633</v>
      </c>
      <c r="BA290" s="125"/>
      <c r="BG290" t="str">
        <f t="shared" si="135"/>
        <v>2025-11</v>
      </c>
    </row>
    <row r="291" spans="1:59">
      <c r="A291" s="510" t="str">
        <f>VLOOKUP(F291,'Tenement Lookup'!A:BH,60,FALSE)</f>
        <v>M 80/269</v>
      </c>
      <c r="B291" t="s">
        <v>507</v>
      </c>
      <c r="C291" s="151" t="s">
        <v>508</v>
      </c>
      <c r="D291" s="1">
        <f t="shared" si="121"/>
        <v>45963.71</v>
      </c>
      <c r="E291" t="s">
        <v>172</v>
      </c>
      <c r="F291" s="501" t="s">
        <v>626</v>
      </c>
      <c r="H291" s="4" t="s">
        <v>588</v>
      </c>
      <c r="I291" s="4">
        <v>0</v>
      </c>
      <c r="J291" s="122">
        <f t="shared" si="144"/>
        <v>0</v>
      </c>
      <c r="K291" s="21">
        <v>3</v>
      </c>
      <c r="L291" s="28">
        <v>3</v>
      </c>
      <c r="M291" s="22">
        <f t="shared" si="145"/>
        <v>0</v>
      </c>
      <c r="N291" s="30"/>
      <c r="O291" s="26"/>
      <c r="P291" s="31">
        <f t="shared" si="146"/>
        <v>0</v>
      </c>
      <c r="Q291" s="21"/>
      <c r="R291" s="28"/>
      <c r="S291" s="22"/>
      <c r="T291" s="30"/>
      <c r="U291" s="26"/>
      <c r="V291" s="31"/>
      <c r="W291" s="26">
        <f t="shared" si="137"/>
        <v>0</v>
      </c>
      <c r="X291" s="36">
        <f t="shared" si="138"/>
        <v>0</v>
      </c>
      <c r="Y291" s="301">
        <f t="shared" si="143"/>
        <v>0</v>
      </c>
      <c r="Z291" s="38"/>
      <c r="AA291" s="38"/>
      <c r="AB291" s="38"/>
      <c r="AC291" s="38"/>
      <c r="AD291" s="157">
        <f t="shared" si="147"/>
        <v>0</v>
      </c>
      <c r="AE291" s="29">
        <v>0</v>
      </c>
      <c r="AF291" s="29">
        <v>0</v>
      </c>
      <c r="AG291" s="40"/>
      <c r="AH291" s="44"/>
      <c r="AI291" s="13">
        <v>12</v>
      </c>
      <c r="AJ291" s="304" t="s">
        <v>631</v>
      </c>
      <c r="AK291" s="45"/>
      <c r="AL291" s="23"/>
      <c r="AM291" s="138"/>
      <c r="AN291" s="25">
        <f t="shared" ca="1" si="136"/>
        <v>12</v>
      </c>
      <c r="AO291" s="50"/>
      <c r="AP291" s="53">
        <f t="shared" si="148"/>
        <v>4320</v>
      </c>
      <c r="AQ291" s="322"/>
      <c r="AR291" s="324">
        <f t="shared" si="149"/>
        <v>0</v>
      </c>
      <c r="AS291" s="375">
        <f t="shared" si="140"/>
        <v>4320</v>
      </c>
      <c r="AT291" s="375">
        <v>4320</v>
      </c>
      <c r="AU291" s="344">
        <f t="shared" si="150"/>
        <v>0</v>
      </c>
      <c r="AV291" s="18">
        <f>IF(F290="","",(SUM($AS$6:AS291)))</f>
        <v>1650629.7599999977</v>
      </c>
      <c r="AW291" s="18">
        <f>IFERROR(IF(AS291&lt;&gt;"", SUMIFS($AS$10:AS291, $BG$10:BG291, BG291), ""),"")</f>
        <v>20210</v>
      </c>
      <c r="AX291" s="123" t="e">
        <f t="shared" ca="1" si="129"/>
        <v>#DIV/0!</v>
      </c>
      <c r="AY291" s="124" t="str">
        <f t="shared" ca="1" si="130"/>
        <v>LINK</v>
      </c>
      <c r="AZ291" t="s">
        <v>632</v>
      </c>
      <c r="BA291" s="125"/>
      <c r="BG291" t="str">
        <f t="shared" si="135"/>
        <v>2025-11</v>
      </c>
    </row>
    <row r="292" spans="1:59">
      <c r="A292" s="510" t="str">
        <f>VLOOKUP(F292,'Tenement Lookup'!A:BH,60,FALSE)</f>
        <v>M 80/269</v>
      </c>
      <c r="B292" t="s">
        <v>507</v>
      </c>
      <c r="C292" s="151" t="s">
        <v>508</v>
      </c>
      <c r="D292" s="1">
        <f t="shared" si="121"/>
        <v>45964.21</v>
      </c>
      <c r="E292" t="s">
        <v>171</v>
      </c>
      <c r="F292" s="501" t="s">
        <v>626</v>
      </c>
      <c r="H292" s="4" t="s">
        <v>577</v>
      </c>
      <c r="I292" s="4">
        <v>6</v>
      </c>
      <c r="J292" s="122"/>
      <c r="K292" s="21">
        <v>3</v>
      </c>
      <c r="L292" s="28">
        <v>3</v>
      </c>
      <c r="M292" s="22">
        <f t="shared" si="145"/>
        <v>0</v>
      </c>
      <c r="N292" s="30"/>
      <c r="O292" s="26"/>
      <c r="P292" s="31">
        <f t="shared" si="146"/>
        <v>0</v>
      </c>
      <c r="Q292" s="21"/>
      <c r="R292" s="28"/>
      <c r="S292" s="22"/>
      <c r="T292" s="30"/>
      <c r="U292" s="26"/>
      <c r="V292" s="31"/>
      <c r="W292" s="26">
        <f t="shared" si="137"/>
        <v>0</v>
      </c>
      <c r="X292" s="36">
        <f t="shared" si="138"/>
        <v>0</v>
      </c>
      <c r="Y292" s="301">
        <f t="shared" si="143"/>
        <v>0</v>
      </c>
      <c r="Z292" s="38">
        <v>1</v>
      </c>
      <c r="AA292" s="38">
        <v>1</v>
      </c>
      <c r="AB292" s="38">
        <v>1</v>
      </c>
      <c r="AC292" s="38">
        <v>13122</v>
      </c>
      <c r="AD292" s="157">
        <f t="shared" si="147"/>
        <v>750</v>
      </c>
      <c r="AE292" s="29">
        <v>0</v>
      </c>
      <c r="AF292" s="29">
        <v>0</v>
      </c>
      <c r="AG292" s="40"/>
      <c r="AH292" s="44"/>
      <c r="AI292" s="13">
        <v>12</v>
      </c>
      <c r="AJ292" s="304" t="s">
        <v>631</v>
      </c>
      <c r="AK292" s="45"/>
      <c r="AL292" s="23"/>
      <c r="AM292" s="138"/>
      <c r="AN292" s="25">
        <f t="shared" ca="1" si="136"/>
        <v>12</v>
      </c>
      <c r="AO292" s="50"/>
      <c r="AP292" s="53">
        <f t="shared" si="148"/>
        <v>4320</v>
      </c>
      <c r="AQ292" s="322">
        <v>0</v>
      </c>
      <c r="AR292" s="324">
        <f t="shared" si="149"/>
        <v>0</v>
      </c>
      <c r="AS292" s="375">
        <f t="shared" si="140"/>
        <v>5070</v>
      </c>
      <c r="AT292" s="375">
        <v>5070</v>
      </c>
      <c r="AU292" s="344">
        <f t="shared" si="150"/>
        <v>0</v>
      </c>
      <c r="AV292" s="18">
        <f>IF(F291="","",(SUM($AS$6:AS292)))</f>
        <v>1655699.7599999977</v>
      </c>
      <c r="AW292" s="18">
        <f>IFERROR(IF(AS292&lt;&gt;"", SUMIFS($AS$10:AS292, $BG$10:BG292, BG292), ""),"")</f>
        <v>25280</v>
      </c>
      <c r="AX292" s="123" t="e">
        <f t="shared" ca="1" si="129"/>
        <v>#DIV/0!</v>
      </c>
      <c r="AY292" s="124" t="str">
        <f t="shared" ca="1" si="130"/>
        <v>LINK</v>
      </c>
      <c r="AZ292" t="s">
        <v>633</v>
      </c>
      <c r="BA292" s="125"/>
      <c r="BG292" t="str">
        <f t="shared" si="135"/>
        <v>2025-11</v>
      </c>
    </row>
    <row r="293" spans="1:59">
      <c r="A293" s="510" t="str">
        <f>VLOOKUP(F293,'Tenement Lookup'!A:BH,60,FALSE)</f>
        <v>M 80/269</v>
      </c>
      <c r="B293" t="s">
        <v>507</v>
      </c>
      <c r="C293" s="151" t="s">
        <v>508</v>
      </c>
      <c r="D293" s="1">
        <f t="shared" si="121"/>
        <v>45964.71</v>
      </c>
      <c r="E293" t="s">
        <v>172</v>
      </c>
      <c r="F293" s="501" t="s">
        <v>626</v>
      </c>
      <c r="H293" s="4" t="s">
        <v>588</v>
      </c>
      <c r="I293" s="4">
        <v>0</v>
      </c>
      <c r="J293" s="122">
        <f t="shared" si="144"/>
        <v>0</v>
      </c>
      <c r="K293" s="21">
        <v>3</v>
      </c>
      <c r="L293" s="28">
        <v>3</v>
      </c>
      <c r="M293" s="22">
        <f t="shared" si="145"/>
        <v>0</v>
      </c>
      <c r="N293" s="30"/>
      <c r="O293" s="26"/>
      <c r="P293" s="31">
        <f t="shared" si="146"/>
        <v>0</v>
      </c>
      <c r="Q293" s="21"/>
      <c r="R293" s="28"/>
      <c r="S293" s="22"/>
      <c r="T293" s="30"/>
      <c r="U293" s="26"/>
      <c r="V293" s="31"/>
      <c r="W293" s="26">
        <f t="shared" si="137"/>
        <v>0</v>
      </c>
      <c r="X293" s="36">
        <f t="shared" si="138"/>
        <v>0</v>
      </c>
      <c r="Y293" s="301">
        <f t="shared" si="143"/>
        <v>0</v>
      </c>
      <c r="Z293" s="38"/>
      <c r="AA293" s="38"/>
      <c r="AB293" s="38"/>
      <c r="AC293" s="38"/>
      <c r="AD293" s="157">
        <f t="shared" si="147"/>
        <v>0</v>
      </c>
      <c r="AE293" s="29">
        <v>0</v>
      </c>
      <c r="AF293" s="29">
        <v>0</v>
      </c>
      <c r="AG293" s="40"/>
      <c r="AH293" s="44"/>
      <c r="AI293" s="13">
        <v>12</v>
      </c>
      <c r="AJ293" s="304" t="s">
        <v>631</v>
      </c>
      <c r="AK293" s="45"/>
      <c r="AL293" s="23"/>
      <c r="AM293" s="138"/>
      <c r="AN293" s="25">
        <f t="shared" ca="1" si="136"/>
        <v>12</v>
      </c>
      <c r="AO293" s="50"/>
      <c r="AP293" s="53">
        <f t="shared" si="148"/>
        <v>4320</v>
      </c>
      <c r="AQ293" s="322"/>
      <c r="AR293" s="324">
        <f t="shared" si="149"/>
        <v>0</v>
      </c>
      <c r="AS293" s="375">
        <f t="shared" si="140"/>
        <v>4320</v>
      </c>
      <c r="AT293" s="375">
        <v>4320</v>
      </c>
      <c r="AU293" s="344">
        <f t="shared" si="150"/>
        <v>0</v>
      </c>
      <c r="AV293" s="18">
        <f>IF(F292="","",(SUM($AS$6:AS293)))</f>
        <v>1660019.7599999977</v>
      </c>
      <c r="AW293" s="18">
        <f>IFERROR(IF(AS293&lt;&gt;"", SUMIFS($AS$10:AS293, $BG$10:BG293, BG293), ""),"")</f>
        <v>29600</v>
      </c>
      <c r="AX293" s="123" t="e">
        <f t="shared" ca="1" si="129"/>
        <v>#DIV/0!</v>
      </c>
      <c r="AY293" s="124" t="str">
        <f t="shared" ca="1" si="130"/>
        <v>LINK</v>
      </c>
      <c r="AZ293" t="s">
        <v>632</v>
      </c>
      <c r="BA293" s="125"/>
      <c r="BG293" t="str">
        <f t="shared" si="135"/>
        <v>2025-11</v>
      </c>
    </row>
    <row r="294" spans="1:59">
      <c r="A294" s="510" t="str">
        <f>VLOOKUP(F294,'Tenement Lookup'!A:BH,60,FALSE)</f>
        <v>M 80/269</v>
      </c>
      <c r="B294" t="s">
        <v>507</v>
      </c>
      <c r="C294" s="151" t="s">
        <v>508</v>
      </c>
      <c r="D294" s="1">
        <f t="shared" si="121"/>
        <v>45965.21</v>
      </c>
      <c r="E294" t="s">
        <v>171</v>
      </c>
      <c r="F294" s="501" t="s">
        <v>626</v>
      </c>
      <c r="H294" s="4" t="s">
        <v>577</v>
      </c>
      <c r="I294" s="4">
        <v>6</v>
      </c>
      <c r="J294" s="122">
        <f t="shared" si="144"/>
        <v>780</v>
      </c>
      <c r="K294" s="21">
        <v>3</v>
      </c>
      <c r="L294" s="28">
        <v>13.7</v>
      </c>
      <c r="M294" s="22">
        <f t="shared" si="145"/>
        <v>10.7</v>
      </c>
      <c r="N294" s="30"/>
      <c r="O294" s="26"/>
      <c r="P294" s="31">
        <f t="shared" si="146"/>
        <v>0</v>
      </c>
      <c r="Q294" s="21"/>
      <c r="R294" s="28"/>
      <c r="S294" s="22"/>
      <c r="T294" s="30"/>
      <c r="U294" s="26"/>
      <c r="V294" s="31"/>
      <c r="W294" s="26">
        <f t="shared" si="137"/>
        <v>10.7</v>
      </c>
      <c r="X294" s="36">
        <f t="shared" si="138"/>
        <v>1872.4999999999998</v>
      </c>
      <c r="Y294" s="301">
        <f t="shared" si="143"/>
        <v>2300</v>
      </c>
      <c r="Z294" s="38">
        <v>1</v>
      </c>
      <c r="AA294" s="38">
        <v>1</v>
      </c>
      <c r="AB294" s="38">
        <v>1</v>
      </c>
      <c r="AC294" s="38">
        <v>13122</v>
      </c>
      <c r="AD294" s="157">
        <f t="shared" si="147"/>
        <v>750</v>
      </c>
      <c r="AE294" s="29">
        <v>5</v>
      </c>
      <c r="AF294" s="29">
        <v>2.75</v>
      </c>
      <c r="AG294" s="40" t="s">
        <v>1191</v>
      </c>
      <c r="AH294" s="44">
        <v>1.75</v>
      </c>
      <c r="AI294" s="13">
        <v>2.5</v>
      </c>
      <c r="AJ294" s="304" t="s">
        <v>1191</v>
      </c>
      <c r="AK294" s="45"/>
      <c r="AL294" s="23"/>
      <c r="AM294" s="138"/>
      <c r="AN294" s="25">
        <f t="shared" ca="1" si="136"/>
        <v>12</v>
      </c>
      <c r="AO294" s="50"/>
      <c r="AP294" s="53">
        <f t="shared" si="148"/>
        <v>2795</v>
      </c>
      <c r="AQ294" s="322">
        <v>916.05</v>
      </c>
      <c r="AR294" s="324">
        <f t="shared" si="149"/>
        <v>136.04999999999995</v>
      </c>
      <c r="AS294" s="375">
        <f t="shared" si="140"/>
        <v>6761.05</v>
      </c>
      <c r="AT294" s="375">
        <v>6761.05</v>
      </c>
      <c r="AU294" s="344">
        <f t="shared" si="150"/>
        <v>0.11536669600136074</v>
      </c>
      <c r="AV294" s="18">
        <f>IF(F293="","",(SUM($AS$6:AS294)))</f>
        <v>1666780.8099999977</v>
      </c>
      <c r="AW294" s="18">
        <f>IFERROR(IF(AS294&lt;&gt;"", SUMIFS($AS$10:AS294, $BG$10:BG294, BG294), ""),"")</f>
        <v>36361.050000000003</v>
      </c>
      <c r="AX294" s="123">
        <f t="shared" ref="AX294:AX324" ca="1" si="151">IF(AND(D294&gt;TODAY(),ISBLANK(H294)),"",IF(ISBLANK(AE294),"no drilling completed",AS294/(W294)))</f>
        <v>631.87383177570098</v>
      </c>
      <c r="AY294" s="124" t="str">
        <f t="shared" ca="1" si="130"/>
        <v>LINK</v>
      </c>
      <c r="AZ294" t="s">
        <v>1192</v>
      </c>
      <c r="BA294" s="125"/>
      <c r="BG294" t="str">
        <f t="shared" si="135"/>
        <v>2025-11</v>
      </c>
    </row>
    <row r="295" spans="1:59">
      <c r="A295" s="510" t="str">
        <f>VLOOKUP(F295,'Tenement Lookup'!A:BH,60,FALSE)</f>
        <v>M 80/269</v>
      </c>
      <c r="B295" t="s">
        <v>507</v>
      </c>
      <c r="C295" s="151" t="s">
        <v>508</v>
      </c>
      <c r="D295" s="1">
        <f t="shared" si="121"/>
        <v>45965.71</v>
      </c>
      <c r="E295" t="s">
        <v>172</v>
      </c>
      <c r="F295" s="501" t="s">
        <v>626</v>
      </c>
      <c r="H295" s="4"/>
      <c r="I295" s="4"/>
      <c r="J295" s="122" t="str">
        <f t="shared" si="144"/>
        <v/>
      </c>
      <c r="K295" s="21"/>
      <c r="L295" s="28"/>
      <c r="M295" s="22">
        <f t="shared" si="145"/>
        <v>0</v>
      </c>
      <c r="N295" s="30"/>
      <c r="O295" s="26"/>
      <c r="P295" s="31">
        <f t="shared" si="146"/>
        <v>0</v>
      </c>
      <c r="Q295" s="21"/>
      <c r="R295" s="28"/>
      <c r="S295" s="22"/>
      <c r="T295" s="30"/>
      <c r="U295" s="26"/>
      <c r="V295" s="31"/>
      <c r="W295" s="26">
        <f t="shared" si="137"/>
        <v>0</v>
      </c>
      <c r="X295" s="36">
        <f t="shared" si="138"/>
        <v>0</v>
      </c>
      <c r="Y295" s="301">
        <f t="shared" si="143"/>
        <v>0</v>
      </c>
      <c r="Z295" s="38"/>
      <c r="AA295" s="38"/>
      <c r="AB295" s="38"/>
      <c r="AC295" s="38"/>
      <c r="AD295" s="157">
        <f t="shared" si="147"/>
        <v>0</v>
      </c>
      <c r="AE295" s="29"/>
      <c r="AF295" s="29"/>
      <c r="AG295" s="40"/>
      <c r="AH295" s="44"/>
      <c r="AI295" s="13">
        <v>12</v>
      </c>
      <c r="AJ295" s="304" t="s">
        <v>1194</v>
      </c>
      <c r="AK295" s="45"/>
      <c r="AL295" s="23"/>
      <c r="AM295" s="138"/>
      <c r="AN295" s="25">
        <f t="shared" ca="1" si="136"/>
        <v>12</v>
      </c>
      <c r="AO295" s="50"/>
      <c r="AP295" s="53">
        <f t="shared" si="148"/>
        <v>4320</v>
      </c>
      <c r="AQ295" s="322"/>
      <c r="AR295" s="324" t="str">
        <f t="shared" si="149"/>
        <v/>
      </c>
      <c r="AS295" s="375">
        <f t="shared" si="140"/>
        <v>4320</v>
      </c>
      <c r="AT295" s="375">
        <v>4320</v>
      </c>
      <c r="AU295" s="344" t="str">
        <f t="shared" si="150"/>
        <v/>
      </c>
      <c r="AV295" s="18">
        <f>IF(F294="","",(SUM($AS$6:AS295)))</f>
        <v>1671100.8099999977</v>
      </c>
      <c r="AW295" s="18">
        <f>IFERROR(IF(AS295&lt;&gt;"", SUMIFS($AS$10:AS295, $BG$10:BG295, BG295), ""),"")</f>
        <v>40681.050000000003</v>
      </c>
      <c r="AX295" s="123" t="str">
        <f t="shared" ca="1" si="151"/>
        <v>no drilling completed</v>
      </c>
      <c r="AY295" s="124" t="str">
        <f t="shared" ca="1" si="130"/>
        <v>LINK</v>
      </c>
      <c r="AZ295" t="s">
        <v>1193</v>
      </c>
      <c r="BA295" s="125"/>
      <c r="BG295" t="str">
        <f t="shared" si="135"/>
        <v>2025-11</v>
      </c>
    </row>
    <row r="296" spans="1:59">
      <c r="A296" s="510" t="str">
        <f>VLOOKUP(F296,'Tenement Lookup'!A:BH,60,FALSE)</f>
        <v>M 80/269</v>
      </c>
      <c r="B296" t="s">
        <v>507</v>
      </c>
      <c r="C296" s="151" t="s">
        <v>508</v>
      </c>
      <c r="D296" s="1">
        <f t="shared" si="121"/>
        <v>45966.21</v>
      </c>
      <c r="E296" t="s">
        <v>171</v>
      </c>
      <c r="F296" s="501" t="s">
        <v>626</v>
      </c>
      <c r="H296" s="4" t="s">
        <v>588</v>
      </c>
      <c r="I296" s="4">
        <v>6</v>
      </c>
      <c r="J296" s="122">
        <f t="shared" ref="J296:J324" si="152">IF(ISBLANK(I296),"",I296*$J$2)</f>
        <v>780</v>
      </c>
      <c r="K296" s="21">
        <v>13.7</v>
      </c>
      <c r="L296" s="28">
        <v>27.3</v>
      </c>
      <c r="M296" s="22">
        <f t="shared" ref="M296:M308" si="153">IF(ISBLANK(K296),0,L296-K296)</f>
        <v>13.600000000000001</v>
      </c>
      <c r="N296" s="30"/>
      <c r="O296" s="26"/>
      <c r="P296" s="31">
        <f t="shared" ref="P296:P308" si="154">IF(ISBLANK(N296),,O296-N296)</f>
        <v>0</v>
      </c>
      <c r="Q296" s="21"/>
      <c r="R296" s="28"/>
      <c r="S296" s="22"/>
      <c r="T296" s="30"/>
      <c r="U296" s="26"/>
      <c r="V296" s="31"/>
      <c r="W296" s="26">
        <f t="shared" si="137"/>
        <v>13.600000000000001</v>
      </c>
      <c r="X296" s="36">
        <f t="shared" si="138"/>
        <v>2380.0000000000005</v>
      </c>
      <c r="Y296" s="301">
        <f t="shared" si="143"/>
        <v>2760</v>
      </c>
      <c r="Z296" s="38">
        <v>1</v>
      </c>
      <c r="AA296" s="38">
        <v>1</v>
      </c>
      <c r="AB296" s="38">
        <v>1</v>
      </c>
      <c r="AC296" s="38">
        <v>13122</v>
      </c>
      <c r="AD296" s="157">
        <f t="shared" ref="AD296:AD317" si="155">IF(Y296="","",SUMPRODUCT(Z296:AB296,$Z$2:$AB$2))</f>
        <v>750</v>
      </c>
      <c r="AE296" s="29">
        <v>6</v>
      </c>
      <c r="AF296" s="29">
        <v>1.25</v>
      </c>
      <c r="AG296" s="40" t="s">
        <v>629</v>
      </c>
      <c r="AH296" s="44">
        <v>1.75</v>
      </c>
      <c r="AI296" s="13">
        <v>3</v>
      </c>
      <c r="AJ296" s="304" t="s">
        <v>629</v>
      </c>
      <c r="AK296" s="45"/>
      <c r="AL296" s="23"/>
      <c r="AM296" s="138"/>
      <c r="AN296" s="25">
        <f t="shared" ca="1" si="136"/>
        <v>12</v>
      </c>
      <c r="AO296" s="50"/>
      <c r="AP296" s="53">
        <f t="shared" ref="AP296:AP308" si="156">(AF296*$AF$2)+(AH296*$AH$2)+(AI296*$AI$2)</f>
        <v>2285</v>
      </c>
      <c r="AQ296" s="322">
        <v>1035.43</v>
      </c>
      <c r="AR296" s="324">
        <f t="shared" si="149"/>
        <v>255.43000000000006</v>
      </c>
      <c r="AS296" s="375">
        <f t="shared" si="140"/>
        <v>6830.43</v>
      </c>
      <c r="AT296" s="375">
        <v>6830.43</v>
      </c>
      <c r="AU296" s="344">
        <f t="shared" ref="AU296:AU308" si="157">IFERROR(J296/AS296,"")</f>
        <v>0.11419486035286211</v>
      </c>
      <c r="AV296" s="18">
        <f>IF(F295="","",(SUM($AS$6:AS296)))</f>
        <v>1677931.2399999977</v>
      </c>
      <c r="AW296" s="18">
        <f>IFERROR(IF(AS296&lt;&gt;"", SUMIFS($AS$10:AS296, $BG$10:BG296, BG296), ""),"")</f>
        <v>47511.48</v>
      </c>
      <c r="AX296" s="123">
        <f t="shared" ca="1" si="151"/>
        <v>502.23749999999995</v>
      </c>
      <c r="AY296" s="124" t="str">
        <f t="shared" ca="1" si="130"/>
        <v>LINK</v>
      </c>
      <c r="AZ296" t="s">
        <v>1195</v>
      </c>
      <c r="BA296" s="125"/>
      <c r="BG296" t="str">
        <f t="shared" si="135"/>
        <v>2025-11</v>
      </c>
    </row>
    <row r="297" spans="1:59">
      <c r="A297" s="510" t="str">
        <f>VLOOKUP(F297,'Tenement Lookup'!A:BH,60,FALSE)</f>
        <v>M 80/269</v>
      </c>
      <c r="B297" t="s">
        <v>507</v>
      </c>
      <c r="C297" s="151" t="s">
        <v>508</v>
      </c>
      <c r="D297" s="1">
        <f t="shared" si="121"/>
        <v>45966.71</v>
      </c>
      <c r="E297" t="s">
        <v>172</v>
      </c>
      <c r="F297" s="501" t="s">
        <v>626</v>
      </c>
      <c r="H297" s="4" t="s">
        <v>392</v>
      </c>
      <c r="I297" s="4"/>
      <c r="J297" s="122" t="str">
        <f t="shared" si="152"/>
        <v/>
      </c>
      <c r="K297" s="21"/>
      <c r="L297" s="28"/>
      <c r="M297" s="22">
        <f t="shared" si="153"/>
        <v>0</v>
      </c>
      <c r="N297" s="30"/>
      <c r="O297" s="26"/>
      <c r="P297" s="31">
        <f t="shared" si="154"/>
        <v>0</v>
      </c>
      <c r="Q297" s="21"/>
      <c r="R297" s="28"/>
      <c r="S297" s="22"/>
      <c r="T297" s="30"/>
      <c r="U297" s="26"/>
      <c r="V297" s="31"/>
      <c r="W297" s="26">
        <f t="shared" si="137"/>
        <v>0</v>
      </c>
      <c r="X297" s="36">
        <f t="shared" si="138"/>
        <v>0</v>
      </c>
      <c r="Y297" s="301">
        <f t="shared" si="143"/>
        <v>0</v>
      </c>
      <c r="Z297" s="38"/>
      <c r="AA297" s="38"/>
      <c r="AB297" s="38"/>
      <c r="AC297" s="38"/>
      <c r="AD297" s="157">
        <f t="shared" si="155"/>
        <v>0</v>
      </c>
      <c r="AE297" s="29"/>
      <c r="AF297" s="29"/>
      <c r="AG297" s="40"/>
      <c r="AH297" s="44"/>
      <c r="AI297" s="13">
        <v>12</v>
      </c>
      <c r="AJ297" s="304" t="s">
        <v>631</v>
      </c>
      <c r="AK297" s="45"/>
      <c r="AL297" s="23"/>
      <c r="AM297" s="138"/>
      <c r="AN297" s="25">
        <f t="shared" ca="1" si="136"/>
        <v>12</v>
      </c>
      <c r="AO297" s="50"/>
      <c r="AP297" s="53">
        <f t="shared" si="156"/>
        <v>4320</v>
      </c>
      <c r="AQ297" s="322"/>
      <c r="AR297" s="324" t="str">
        <f t="shared" si="149"/>
        <v/>
      </c>
      <c r="AS297" s="375">
        <f t="shared" si="140"/>
        <v>4320</v>
      </c>
      <c r="AT297" s="375">
        <v>4320</v>
      </c>
      <c r="AU297" s="344" t="str">
        <f t="shared" si="157"/>
        <v/>
      </c>
      <c r="AV297" s="18">
        <f>IF(F296="","",(SUM($AS$6:AS297)))</f>
        <v>1682251.2399999977</v>
      </c>
      <c r="AW297" s="18">
        <f>IFERROR(IF(AS297&lt;&gt;"", SUMIFS($AS$10:AS297, $BG$10:BG297, BG297), ""),"")</f>
        <v>51831.48</v>
      </c>
      <c r="AX297" s="123" t="str">
        <f t="shared" ca="1" si="151"/>
        <v>no drilling completed</v>
      </c>
      <c r="AY297" s="124" t="str">
        <f t="shared" ca="1" si="130"/>
        <v>LINK</v>
      </c>
      <c r="AZ297" t="s">
        <v>1193</v>
      </c>
      <c r="BG297" t="str">
        <f t="shared" si="135"/>
        <v>2025-11</v>
      </c>
    </row>
    <row r="298" spans="1:59">
      <c r="A298" s="510" t="str">
        <f>VLOOKUP(F298,'Tenement Lookup'!A:BH,60,FALSE)</f>
        <v>M 80/269</v>
      </c>
      <c r="B298" t="s">
        <v>507</v>
      </c>
      <c r="C298" s="151" t="s">
        <v>508</v>
      </c>
      <c r="D298" s="1">
        <f t="shared" si="121"/>
        <v>45967.21</v>
      </c>
      <c r="E298" t="s">
        <v>171</v>
      </c>
      <c r="F298" s="501" t="s">
        <v>626</v>
      </c>
      <c r="H298" s="4" t="s">
        <v>588</v>
      </c>
      <c r="I298" s="4">
        <v>6</v>
      </c>
      <c r="J298" s="122">
        <f t="shared" si="152"/>
        <v>780</v>
      </c>
      <c r="K298" s="21"/>
      <c r="L298" s="28"/>
      <c r="M298" s="22">
        <f t="shared" si="153"/>
        <v>0</v>
      </c>
      <c r="N298" s="30"/>
      <c r="O298" s="26"/>
      <c r="P298" s="31">
        <f t="shared" si="154"/>
        <v>0</v>
      </c>
      <c r="Q298" s="21"/>
      <c r="R298" s="28"/>
      <c r="S298" s="22"/>
      <c r="T298" s="30"/>
      <c r="U298" s="26"/>
      <c r="V298" s="31"/>
      <c r="W298" s="26">
        <f t="shared" si="137"/>
        <v>0</v>
      </c>
      <c r="X298" s="36">
        <f t="shared" si="138"/>
        <v>0</v>
      </c>
      <c r="Y298" s="301">
        <f t="shared" si="143"/>
        <v>0</v>
      </c>
      <c r="Z298" s="38">
        <v>1</v>
      </c>
      <c r="AA298" s="38">
        <v>1</v>
      </c>
      <c r="AB298" s="38">
        <v>1</v>
      </c>
      <c r="AC298" s="38">
        <v>13122</v>
      </c>
      <c r="AD298" s="157">
        <f t="shared" si="155"/>
        <v>750</v>
      </c>
      <c r="AE298" s="29"/>
      <c r="AF298" s="29"/>
      <c r="AG298" s="40"/>
      <c r="AH298" s="44"/>
      <c r="AI298" s="13">
        <v>12</v>
      </c>
      <c r="AJ298" s="304" t="s">
        <v>631</v>
      </c>
      <c r="AK298" s="45"/>
      <c r="AL298" s="23"/>
      <c r="AM298" s="138"/>
      <c r="AN298" s="25">
        <f t="shared" ca="1" si="136"/>
        <v>12</v>
      </c>
      <c r="AO298" s="50"/>
      <c r="AP298" s="53">
        <f t="shared" si="156"/>
        <v>4320</v>
      </c>
      <c r="AQ298" s="322"/>
      <c r="AR298" s="324">
        <f t="shared" si="149"/>
        <v>-780</v>
      </c>
      <c r="AS298" s="375">
        <f t="shared" si="140"/>
        <v>5070</v>
      </c>
      <c r="AT298" s="375">
        <v>5070</v>
      </c>
      <c r="AU298" s="344">
        <f t="shared" si="157"/>
        <v>0.15384615384615385</v>
      </c>
      <c r="AV298" s="18">
        <f>IF(F297="","",(SUM($AS$6:AS298)))</f>
        <v>1687321.2399999977</v>
      </c>
      <c r="AW298" s="18">
        <f>IFERROR(IF(AS298&lt;&gt;"", SUMIFS($AS$10:AS298, $BG$10:BG298, BG298), ""),"")</f>
        <v>56901.48</v>
      </c>
      <c r="AX298" s="123" t="str">
        <f t="shared" ca="1" si="151"/>
        <v>no drilling completed</v>
      </c>
      <c r="AY298" s="124" t="str">
        <f t="shared" ca="1" si="130"/>
        <v>LINK</v>
      </c>
      <c r="AZ298" t="s">
        <v>632</v>
      </c>
      <c r="BG298" t="str">
        <f t="shared" si="135"/>
        <v>2025-11</v>
      </c>
    </row>
    <row r="299" spans="1:59">
      <c r="A299" s="510" t="str">
        <f>VLOOKUP(F299,'Tenement Lookup'!A:BH,60,FALSE)</f>
        <v>M 80/269</v>
      </c>
      <c r="B299" t="s">
        <v>507</v>
      </c>
      <c r="C299" s="151" t="s">
        <v>508</v>
      </c>
      <c r="D299" s="1">
        <f t="shared" si="121"/>
        <v>45967.71</v>
      </c>
      <c r="E299" t="s">
        <v>172</v>
      </c>
      <c r="F299" s="501" t="s">
        <v>626</v>
      </c>
      <c r="H299" s="4" t="s">
        <v>392</v>
      </c>
      <c r="I299" s="4"/>
      <c r="J299" s="122" t="str">
        <f t="shared" si="152"/>
        <v/>
      </c>
      <c r="K299" s="21">
        <v>27.3</v>
      </c>
      <c r="L299" s="28">
        <v>40</v>
      </c>
      <c r="M299" s="22">
        <f t="shared" si="153"/>
        <v>12.7</v>
      </c>
      <c r="N299" s="30"/>
      <c r="O299" s="26"/>
      <c r="P299" s="31">
        <f t="shared" si="154"/>
        <v>0</v>
      </c>
      <c r="Q299" s="21"/>
      <c r="R299" s="28"/>
      <c r="S299" s="22"/>
      <c r="T299" s="30"/>
      <c r="U299" s="26"/>
      <c r="V299" s="31"/>
      <c r="W299" s="26">
        <f t="shared" si="137"/>
        <v>12.7</v>
      </c>
      <c r="X299" s="36">
        <f t="shared" si="138"/>
        <v>2222.5</v>
      </c>
      <c r="Y299" s="301">
        <f t="shared" si="143"/>
        <v>4370</v>
      </c>
      <c r="Z299" s="38"/>
      <c r="AA299" s="38"/>
      <c r="AB299" s="38"/>
      <c r="AC299" s="38"/>
      <c r="AD299" s="157">
        <f t="shared" si="155"/>
        <v>0</v>
      </c>
      <c r="AE299" s="29">
        <v>9.5</v>
      </c>
      <c r="AF299" s="29">
        <v>1</v>
      </c>
      <c r="AG299" s="40"/>
      <c r="AH299" s="44"/>
      <c r="AI299" s="13"/>
      <c r="AJ299" s="304"/>
      <c r="AK299" s="45">
        <v>1.5</v>
      </c>
      <c r="AL299" s="23"/>
      <c r="AM299" s="138" t="s">
        <v>1196</v>
      </c>
      <c r="AN299" s="25">
        <f t="shared" ca="1" si="136"/>
        <v>12</v>
      </c>
      <c r="AO299" s="50"/>
      <c r="AP299" s="53">
        <f t="shared" si="156"/>
        <v>460</v>
      </c>
      <c r="AQ299" s="322"/>
      <c r="AR299" s="324" t="str">
        <f t="shared" si="149"/>
        <v/>
      </c>
      <c r="AS299" s="375">
        <f t="shared" si="140"/>
        <v>4830</v>
      </c>
      <c r="AT299" s="375">
        <v>4830</v>
      </c>
      <c r="AU299" s="344" t="str">
        <f t="shared" si="157"/>
        <v/>
      </c>
      <c r="AV299" s="18">
        <f>IF(F298="","",(SUM($AS$6:AS299)))</f>
        <v>1692151.2399999977</v>
      </c>
      <c r="AW299" s="18">
        <f>IFERROR(IF(AS299&lt;&gt;"", SUMIFS($AS$10:AS299, $BG$10:BG299, BG299), ""),"")</f>
        <v>61731.48</v>
      </c>
      <c r="AX299" s="123">
        <f t="shared" ca="1" si="151"/>
        <v>380.3149606299213</v>
      </c>
      <c r="AY299" s="124" t="str">
        <f t="shared" ca="1" si="130"/>
        <v>LINK</v>
      </c>
      <c r="AZ299" t="s">
        <v>1197</v>
      </c>
      <c r="BG299" t="str">
        <f t="shared" si="135"/>
        <v>2025-11</v>
      </c>
    </row>
    <row r="300" spans="1:59">
      <c r="A300" s="510" t="str">
        <f>VLOOKUP(F300,'Tenement Lookup'!A:BH,60,FALSE)</f>
        <v>M 80/268</v>
      </c>
      <c r="B300" t="s">
        <v>507</v>
      </c>
      <c r="C300" s="151" t="s">
        <v>508</v>
      </c>
      <c r="D300" s="1">
        <f t="shared" si="121"/>
        <v>45968.21</v>
      </c>
      <c r="E300" t="s">
        <v>171</v>
      </c>
      <c r="F300" s="501" t="s">
        <v>1198</v>
      </c>
      <c r="H300" s="4" t="s">
        <v>588</v>
      </c>
      <c r="I300" s="4">
        <v>5</v>
      </c>
      <c r="J300" s="122">
        <f t="shared" si="152"/>
        <v>650</v>
      </c>
      <c r="K300" s="21">
        <v>0</v>
      </c>
      <c r="L300" s="28">
        <v>1.6</v>
      </c>
      <c r="M300" s="22">
        <f t="shared" si="153"/>
        <v>1.6</v>
      </c>
      <c r="N300" s="30"/>
      <c r="O300" s="26"/>
      <c r="P300" s="31">
        <f t="shared" si="154"/>
        <v>0</v>
      </c>
      <c r="Q300" s="21"/>
      <c r="R300" s="28"/>
      <c r="S300" s="22"/>
      <c r="T300" s="30"/>
      <c r="U300" s="26"/>
      <c r="V300" s="31"/>
      <c r="W300" s="26">
        <f t="shared" si="137"/>
        <v>1.6</v>
      </c>
      <c r="X300" s="36">
        <f t="shared" si="138"/>
        <v>280</v>
      </c>
      <c r="Y300" s="301">
        <f t="shared" si="143"/>
        <v>280</v>
      </c>
      <c r="Z300" s="38">
        <v>1</v>
      </c>
      <c r="AA300" s="38">
        <v>1</v>
      </c>
      <c r="AB300" s="38">
        <v>1</v>
      </c>
      <c r="AC300" s="38">
        <v>13122</v>
      </c>
      <c r="AD300" s="157">
        <f t="shared" si="155"/>
        <v>750</v>
      </c>
      <c r="AE300" s="29">
        <v>0.5</v>
      </c>
      <c r="AF300" s="29">
        <v>6</v>
      </c>
      <c r="AG300" s="40"/>
      <c r="AH300" s="44">
        <v>1</v>
      </c>
      <c r="AI300" s="13">
        <v>3.5</v>
      </c>
      <c r="AJ300" s="304" t="s">
        <v>1199</v>
      </c>
      <c r="AK300" s="45">
        <v>1</v>
      </c>
      <c r="AL300" s="23"/>
      <c r="AM300" s="138" t="s">
        <v>1196</v>
      </c>
      <c r="AN300" s="25">
        <f t="shared" ca="1" si="136"/>
        <v>12</v>
      </c>
      <c r="AO300" s="50"/>
      <c r="AP300" s="53">
        <f t="shared" si="156"/>
        <v>4380</v>
      </c>
      <c r="AQ300" s="322">
        <v>767.93</v>
      </c>
      <c r="AR300" s="324">
        <f t="shared" si="149"/>
        <v>117.92999999999995</v>
      </c>
      <c r="AS300" s="375">
        <f t="shared" si="140"/>
        <v>6177.93</v>
      </c>
      <c r="AT300" s="375">
        <v>6177.93</v>
      </c>
      <c r="AU300" s="344">
        <f t="shared" si="157"/>
        <v>0.10521323485374551</v>
      </c>
      <c r="AV300" s="18">
        <f>IF(F299="","",(SUM($AS$6:AS300)))</f>
        <v>1698329.1699999976</v>
      </c>
      <c r="AW300" s="18">
        <f>IFERROR(IF(AS300&lt;&gt;"", SUMIFS($AS$10:AS300, $BG$10:BG300, BG300), ""),"")</f>
        <v>67909.41</v>
      </c>
      <c r="AX300" s="123">
        <f t="shared" ca="1" si="151"/>
        <v>3861.2062500000002</v>
      </c>
      <c r="AY300" s="124" t="str">
        <f t="shared" ca="1" si="130"/>
        <v>LINK</v>
      </c>
      <c r="AZ300" t="s">
        <v>1200</v>
      </c>
      <c r="BG300" t="str">
        <f t="shared" si="135"/>
        <v>2025-11</v>
      </c>
    </row>
    <row r="301" spans="1:59">
      <c r="A301" s="510" t="str">
        <f>VLOOKUP(F301,'Tenement Lookup'!A:BH,60,FALSE)</f>
        <v>M 80/268</v>
      </c>
      <c r="B301" t="s">
        <v>507</v>
      </c>
      <c r="C301" s="151" t="s">
        <v>508</v>
      </c>
      <c r="D301" s="1">
        <f t="shared" si="121"/>
        <v>45968.71</v>
      </c>
      <c r="E301" t="s">
        <v>172</v>
      </c>
      <c r="F301" s="501" t="s">
        <v>1198</v>
      </c>
      <c r="H301" s="4" t="s">
        <v>392</v>
      </c>
      <c r="I301" s="4">
        <v>0</v>
      </c>
      <c r="J301" s="122">
        <f t="shared" si="152"/>
        <v>0</v>
      </c>
      <c r="K301" s="21">
        <v>1.6</v>
      </c>
      <c r="L301" s="28">
        <v>5.4</v>
      </c>
      <c r="M301" s="22">
        <f t="shared" si="153"/>
        <v>3.8000000000000003</v>
      </c>
      <c r="N301" s="30"/>
      <c r="O301" s="26"/>
      <c r="P301" s="31">
        <f t="shared" si="154"/>
        <v>0</v>
      </c>
      <c r="Q301" s="21"/>
      <c r="R301" s="28"/>
      <c r="S301" s="22"/>
      <c r="T301" s="30"/>
      <c r="U301" s="26"/>
      <c r="V301" s="31"/>
      <c r="W301" s="26">
        <f t="shared" si="137"/>
        <v>3.8000000000000003</v>
      </c>
      <c r="X301" s="36">
        <f t="shared" si="138"/>
        <v>665</v>
      </c>
      <c r="Y301" s="301">
        <f t="shared" si="143"/>
        <v>920</v>
      </c>
      <c r="Z301" s="38"/>
      <c r="AA301" s="38"/>
      <c r="AB301" s="38"/>
      <c r="AC301" s="38"/>
      <c r="AD301" s="157">
        <f t="shared" si="155"/>
        <v>0</v>
      </c>
      <c r="AE301" s="29">
        <v>2</v>
      </c>
      <c r="AF301" s="29">
        <v>4.5</v>
      </c>
      <c r="AG301" s="40"/>
      <c r="AH301" s="44">
        <v>1</v>
      </c>
      <c r="AI301" s="13">
        <v>4.5</v>
      </c>
      <c r="AJ301" s="304" t="s">
        <v>1199</v>
      </c>
      <c r="AK301" s="45"/>
      <c r="AL301" s="23"/>
      <c r="AM301" s="138"/>
      <c r="AN301" s="25">
        <f t="shared" ca="1" si="136"/>
        <v>12</v>
      </c>
      <c r="AO301" s="50"/>
      <c r="AP301" s="53">
        <f t="shared" si="156"/>
        <v>4050</v>
      </c>
      <c r="AQ301" s="322">
        <v>395.85</v>
      </c>
      <c r="AR301" s="324">
        <f>IFERROR(AQ301-J301,"")</f>
        <v>395.85</v>
      </c>
      <c r="AS301" s="375">
        <f t="shared" si="140"/>
        <v>5365.85</v>
      </c>
      <c r="AT301" s="375">
        <v>5365.85</v>
      </c>
      <c r="AU301" s="344">
        <f t="shared" si="157"/>
        <v>0</v>
      </c>
      <c r="AV301" s="18">
        <f>IF(F300="","",(SUM($AS$6:AS301)))</f>
        <v>1703695.0199999977</v>
      </c>
      <c r="AW301" s="18">
        <f>IFERROR(IF(AS301&lt;&gt;"", SUMIFS($AS$10:AS301, $BG$10:BG301, BG301), ""),"")</f>
        <v>73275.260000000009</v>
      </c>
      <c r="AX301" s="123">
        <f t="shared" ca="1" si="151"/>
        <v>1412.0657894736842</v>
      </c>
      <c r="AY301" s="124" t="str">
        <f t="shared" ca="1" si="130"/>
        <v>LINK</v>
      </c>
      <c r="AZ301" t="s">
        <v>1201</v>
      </c>
      <c r="BG301" t="str">
        <f t="shared" si="135"/>
        <v>2025-11</v>
      </c>
    </row>
    <row r="302" spans="1:59">
      <c r="A302" s="510" t="str">
        <f>VLOOKUP(F302,'Tenement Lookup'!A:BH,60,FALSE)</f>
        <v>M 80/268</v>
      </c>
      <c r="B302" t="s">
        <v>507</v>
      </c>
      <c r="C302" s="151" t="s">
        <v>508</v>
      </c>
      <c r="D302" s="1">
        <f t="shared" si="121"/>
        <v>45969.21</v>
      </c>
      <c r="E302" t="s">
        <v>171</v>
      </c>
      <c r="F302" s="501" t="s">
        <v>1198</v>
      </c>
      <c r="H302" s="4" t="s">
        <v>588</v>
      </c>
      <c r="I302" s="4">
        <v>5</v>
      </c>
      <c r="J302" s="122">
        <f t="shared" si="152"/>
        <v>650</v>
      </c>
      <c r="K302" s="21">
        <v>5.4</v>
      </c>
      <c r="L302" s="28">
        <v>30</v>
      </c>
      <c r="M302" s="22">
        <f t="shared" si="153"/>
        <v>24.6</v>
      </c>
      <c r="N302" s="30"/>
      <c r="O302" s="26"/>
      <c r="P302" s="31">
        <f t="shared" si="154"/>
        <v>0</v>
      </c>
      <c r="Q302" s="21"/>
      <c r="R302" s="28"/>
      <c r="S302" s="22"/>
      <c r="T302" s="30"/>
      <c r="U302" s="26"/>
      <c r="V302" s="31"/>
      <c r="W302" s="26">
        <f t="shared" si="137"/>
        <v>24.6</v>
      </c>
      <c r="X302" s="36">
        <f t="shared" si="138"/>
        <v>4305</v>
      </c>
      <c r="Y302" s="301">
        <f t="shared" si="143"/>
        <v>4305</v>
      </c>
      <c r="Z302" s="38">
        <v>1</v>
      </c>
      <c r="AA302" s="38">
        <v>1</v>
      </c>
      <c r="AB302" s="38">
        <v>1</v>
      </c>
      <c r="AC302" s="38">
        <v>13122</v>
      </c>
      <c r="AD302" s="157">
        <f t="shared" si="155"/>
        <v>750</v>
      </c>
      <c r="AE302" s="29">
        <v>7.25</v>
      </c>
      <c r="AF302" s="29">
        <v>3.75</v>
      </c>
      <c r="AG302" s="40"/>
      <c r="AH302" s="44">
        <v>1</v>
      </c>
      <c r="AI302" s="13"/>
      <c r="AJ302" s="304"/>
      <c r="AK302" s="45"/>
      <c r="AL302" s="23"/>
      <c r="AM302" s="138"/>
      <c r="AN302" s="25">
        <f t="shared" ca="1" si="136"/>
        <v>12</v>
      </c>
      <c r="AO302" s="50"/>
      <c r="AP302" s="53">
        <f t="shared" si="156"/>
        <v>2085</v>
      </c>
      <c r="AQ302" s="322">
        <v>650</v>
      </c>
      <c r="AR302" s="324">
        <f t="shared" ref="AR302:AR308" si="158">IFERROR(AQ302-J302,"")</f>
        <v>0</v>
      </c>
      <c r="AS302" s="375">
        <f t="shared" si="140"/>
        <v>7790</v>
      </c>
      <c r="AT302" s="375">
        <v>7790</v>
      </c>
      <c r="AU302" s="344">
        <f t="shared" si="157"/>
        <v>8.3440308087291401E-2</v>
      </c>
      <c r="AV302" s="18">
        <f>IF(F301="","",(SUM($AS$6:AS302)))</f>
        <v>1711485.0199999977</v>
      </c>
      <c r="AW302" s="18">
        <f>IFERROR(IF(AS302&lt;&gt;"", SUMIFS($AS$10:AS302, $BG$10:BG302, BG302), ""),"")</f>
        <v>81065.260000000009</v>
      </c>
      <c r="AX302" s="123">
        <f t="shared" ca="1" si="151"/>
        <v>316.66666666666663</v>
      </c>
      <c r="AY302" s="124" t="str">
        <f t="shared" ca="1" si="130"/>
        <v>LINK</v>
      </c>
      <c r="AZ302" t="s">
        <v>1203</v>
      </c>
      <c r="BG302" t="str">
        <f t="shared" si="135"/>
        <v>2025-11</v>
      </c>
    </row>
    <row r="303" spans="1:59">
      <c r="A303" s="510" t="str">
        <f>VLOOKUP(F303,'Tenement Lookup'!A:BH,60,FALSE)</f>
        <v>M 80/268</v>
      </c>
      <c r="B303" t="s">
        <v>507</v>
      </c>
      <c r="C303" s="151" t="s">
        <v>508</v>
      </c>
      <c r="D303" s="1">
        <f t="shared" si="121"/>
        <v>45969.71</v>
      </c>
      <c r="E303" t="s">
        <v>172</v>
      </c>
      <c r="F303" s="501" t="s">
        <v>1202</v>
      </c>
      <c r="H303" s="4" t="s">
        <v>392</v>
      </c>
      <c r="I303" s="4">
        <v>0</v>
      </c>
      <c r="J303" s="122">
        <f t="shared" si="152"/>
        <v>0</v>
      </c>
      <c r="K303" s="21">
        <v>0</v>
      </c>
      <c r="L303" s="28">
        <v>12.5</v>
      </c>
      <c r="M303" s="22">
        <f t="shared" si="153"/>
        <v>12.5</v>
      </c>
      <c r="N303" s="30"/>
      <c r="O303" s="26"/>
      <c r="P303" s="31">
        <f t="shared" si="154"/>
        <v>0</v>
      </c>
      <c r="Q303" s="21"/>
      <c r="R303" s="28"/>
      <c r="S303" s="22"/>
      <c r="T303" s="30"/>
      <c r="U303" s="26"/>
      <c r="V303" s="31"/>
      <c r="W303" s="26">
        <f t="shared" ref="W303:W309" si="159">IF(F303="","",(M303+P303+S303+V303))</f>
        <v>12.5</v>
      </c>
      <c r="X303" s="36">
        <f t="shared" ref="X303:X309" si="160">IF(F303="","",((M303*$M$2)+(P303*$P$2)+(S303*$S$2)+(V303*$V$2)))</f>
        <v>2187.5</v>
      </c>
      <c r="Y303" s="301">
        <f t="shared" si="143"/>
        <v>2760</v>
      </c>
      <c r="Z303" s="38"/>
      <c r="AA303" s="38"/>
      <c r="AB303" s="38"/>
      <c r="AC303" s="38"/>
      <c r="AD303" s="157">
        <f t="shared" si="155"/>
        <v>0</v>
      </c>
      <c r="AE303" s="29">
        <v>6</v>
      </c>
      <c r="AF303" s="29">
        <v>2</v>
      </c>
      <c r="AG303" s="40"/>
      <c r="AH303" s="44">
        <v>1</v>
      </c>
      <c r="AI303" s="13">
        <v>3</v>
      </c>
      <c r="AJ303" s="304" t="s">
        <v>1199</v>
      </c>
      <c r="AK303" s="45"/>
      <c r="AL303" s="23"/>
      <c r="AM303" s="138"/>
      <c r="AN303" s="25">
        <f t="shared" ca="1" si="136"/>
        <v>12</v>
      </c>
      <c r="AO303" s="50"/>
      <c r="AP303" s="53">
        <f t="shared" si="156"/>
        <v>2360</v>
      </c>
      <c r="AQ303" s="322">
        <v>117.93</v>
      </c>
      <c r="AR303" s="324">
        <f t="shared" si="158"/>
        <v>117.93</v>
      </c>
      <c r="AS303" s="375">
        <f t="shared" si="140"/>
        <v>5237.93</v>
      </c>
      <c r="AT303" s="375">
        <v>5237.93</v>
      </c>
      <c r="AU303" s="344">
        <f t="shared" si="157"/>
        <v>0</v>
      </c>
      <c r="AV303" s="18">
        <f>IF(F302="","",(SUM($AS$6:AS303)))</f>
        <v>1716722.9499999976</v>
      </c>
      <c r="AW303" s="18">
        <f>IFERROR(IF(AS303&lt;&gt;"", SUMIFS($AS$10:AS303, $BG$10:BG303, BG303), ""),"")</f>
        <v>86303.19</v>
      </c>
      <c r="AX303" s="123">
        <f t="shared" ca="1" si="151"/>
        <v>419.03440000000001</v>
      </c>
      <c r="AY303" s="124" t="str">
        <f t="shared" ca="1" si="130"/>
        <v>LINK</v>
      </c>
      <c r="AZ303" t="s">
        <v>1204</v>
      </c>
      <c r="BG303" t="str">
        <f t="shared" si="135"/>
        <v>2025-11</v>
      </c>
    </row>
    <row r="304" spans="1:59">
      <c r="A304" s="510" t="str">
        <f>VLOOKUP(F304,'Tenement Lookup'!A:BH,60,FALSE)</f>
        <v>M 80/268</v>
      </c>
      <c r="B304" t="s">
        <v>507</v>
      </c>
      <c r="C304" s="151" t="s">
        <v>508</v>
      </c>
      <c r="D304" s="1">
        <f t="shared" ref="D304:D324" si="161">D302+1</f>
        <v>45970.21</v>
      </c>
      <c r="E304" t="s">
        <v>171</v>
      </c>
      <c r="F304" s="501" t="s">
        <v>1202</v>
      </c>
      <c r="H304" s="4" t="s">
        <v>588</v>
      </c>
      <c r="I304" s="4">
        <v>5</v>
      </c>
      <c r="J304" s="122">
        <f t="shared" si="152"/>
        <v>650</v>
      </c>
      <c r="K304" s="21">
        <v>12.5</v>
      </c>
      <c r="L304" s="28">
        <v>30</v>
      </c>
      <c r="M304" s="22">
        <f t="shared" si="153"/>
        <v>17.5</v>
      </c>
      <c r="N304" s="30"/>
      <c r="O304" s="26"/>
      <c r="P304" s="31">
        <f t="shared" si="154"/>
        <v>0</v>
      </c>
      <c r="Q304" s="21"/>
      <c r="R304" s="28"/>
      <c r="S304" s="22"/>
      <c r="T304" s="30"/>
      <c r="U304" s="26"/>
      <c r="V304" s="31"/>
      <c r="W304" s="26">
        <f t="shared" si="159"/>
        <v>17.5</v>
      </c>
      <c r="X304" s="36">
        <f t="shared" si="160"/>
        <v>3062.5</v>
      </c>
      <c r="Y304" s="301">
        <f t="shared" si="143"/>
        <v>3680</v>
      </c>
      <c r="Z304" s="38">
        <v>1</v>
      </c>
      <c r="AA304" s="38">
        <v>1</v>
      </c>
      <c r="AB304" s="38">
        <v>1</v>
      </c>
      <c r="AC304" s="38">
        <v>13122</v>
      </c>
      <c r="AD304" s="157">
        <f t="shared" si="155"/>
        <v>750</v>
      </c>
      <c r="AE304" s="29">
        <v>8</v>
      </c>
      <c r="AF304" s="29">
        <v>2</v>
      </c>
      <c r="AG304" s="40"/>
      <c r="AH304" s="44">
        <v>1</v>
      </c>
      <c r="AI304" s="13">
        <v>1</v>
      </c>
      <c r="AJ304" s="304"/>
      <c r="AK304" s="45"/>
      <c r="AL304" s="23"/>
      <c r="AM304" s="138"/>
      <c r="AN304" s="25">
        <f t="shared" ca="1" si="136"/>
        <v>12</v>
      </c>
      <c r="AO304" s="50"/>
      <c r="AP304" s="53">
        <f t="shared" si="156"/>
        <v>1640</v>
      </c>
      <c r="AQ304" s="322">
        <v>650</v>
      </c>
      <c r="AR304" s="324">
        <f t="shared" si="158"/>
        <v>0</v>
      </c>
      <c r="AS304" s="375">
        <f t="shared" si="140"/>
        <v>6720</v>
      </c>
      <c r="AT304" s="375">
        <v>6720</v>
      </c>
      <c r="AU304" s="344">
        <f t="shared" si="157"/>
        <v>9.6726190476190479E-2</v>
      </c>
      <c r="AV304" s="18">
        <f>IF(F303="","",(SUM($AS$6:AS304)))</f>
        <v>1723442.9499999976</v>
      </c>
      <c r="AW304" s="18">
        <f>IFERROR(IF(AS304&lt;&gt;"", SUMIFS($AS$10:AS304, $BG$10:BG304, BG304), ""),"")</f>
        <v>93023.19</v>
      </c>
      <c r="AX304" s="123">
        <f t="shared" ca="1" si="151"/>
        <v>384</v>
      </c>
      <c r="AY304" s="124" t="str">
        <f t="shared" ca="1" si="130"/>
        <v>LINK</v>
      </c>
      <c r="AZ304" t="s">
        <v>1205</v>
      </c>
      <c r="BG304" t="str">
        <f t="shared" si="135"/>
        <v>2025-11</v>
      </c>
    </row>
    <row r="305" spans="1:59">
      <c r="A305" s="510" t="str">
        <f>VLOOKUP(F305,'Tenement Lookup'!A:BH,60,FALSE)</f>
        <v>M 80/268</v>
      </c>
      <c r="B305" t="s">
        <v>507</v>
      </c>
      <c r="C305" s="151" t="s">
        <v>508</v>
      </c>
      <c r="D305" s="1">
        <f t="shared" si="161"/>
        <v>45970.71</v>
      </c>
      <c r="E305" t="s">
        <v>172</v>
      </c>
      <c r="F305" s="501" t="s">
        <v>1202</v>
      </c>
      <c r="H305" s="4" t="s">
        <v>392</v>
      </c>
      <c r="I305" s="4">
        <v>0</v>
      </c>
      <c r="J305" s="122">
        <f t="shared" si="152"/>
        <v>0</v>
      </c>
      <c r="K305" s="21"/>
      <c r="L305" s="28"/>
      <c r="M305" s="22">
        <f t="shared" si="153"/>
        <v>0</v>
      </c>
      <c r="N305" s="30"/>
      <c r="O305" s="26"/>
      <c r="P305" s="31">
        <f t="shared" si="154"/>
        <v>0</v>
      </c>
      <c r="Q305" s="21"/>
      <c r="R305" s="28"/>
      <c r="S305" s="22"/>
      <c r="T305" s="30"/>
      <c r="U305" s="26"/>
      <c r="V305" s="31"/>
      <c r="W305" s="26">
        <f t="shared" si="159"/>
        <v>0</v>
      </c>
      <c r="X305" s="36">
        <f t="shared" si="160"/>
        <v>0</v>
      </c>
      <c r="Y305" s="301">
        <f t="shared" si="143"/>
        <v>0</v>
      </c>
      <c r="Z305" s="38"/>
      <c r="AA305" s="38"/>
      <c r="AB305" s="38"/>
      <c r="AC305" s="38"/>
      <c r="AD305" s="157">
        <f t="shared" si="155"/>
        <v>0</v>
      </c>
      <c r="AE305" s="29"/>
      <c r="AF305" s="29"/>
      <c r="AG305" s="40"/>
      <c r="AH305" s="44"/>
      <c r="AI305" s="13"/>
      <c r="AJ305" s="304"/>
      <c r="AK305" s="45">
        <v>12</v>
      </c>
      <c r="AL305" s="23"/>
      <c r="AM305" s="138"/>
      <c r="AN305" s="25">
        <f t="shared" ca="1" si="136"/>
        <v>12</v>
      </c>
      <c r="AO305" s="50"/>
      <c r="AP305" s="53">
        <f t="shared" si="156"/>
        <v>0</v>
      </c>
      <c r="AQ305" s="322"/>
      <c r="AR305" s="324">
        <f t="shared" si="158"/>
        <v>0</v>
      </c>
      <c r="AS305" s="375">
        <f t="shared" ref="AS305:AS324" si="162">IF(F304="","",(SUM(Y305,AP305,AR305,AD305,J305)))</f>
        <v>0</v>
      </c>
      <c r="AT305" s="375"/>
      <c r="AU305" s="344" t="str">
        <f t="shared" si="157"/>
        <v/>
      </c>
      <c r="AV305" s="18">
        <f>IF(F304="","",(SUM($AS$6:AS305)))</f>
        <v>1723442.9499999976</v>
      </c>
      <c r="AW305" s="18">
        <f>IFERROR(IF(AS305&lt;&gt;"", SUMIFS($AS$10:AS305, $BG$10:BG305, BG305), ""),"")</f>
        <v>93023.19</v>
      </c>
      <c r="AX305" s="123" t="str">
        <f t="shared" ca="1" si="151"/>
        <v>no drilling completed</v>
      </c>
      <c r="AY305" s="124" t="str">
        <f t="shared" ca="1" si="130"/>
        <v>LINK</v>
      </c>
      <c r="AZ305" t="s">
        <v>1206</v>
      </c>
      <c r="BG305" t="str">
        <f t="shared" si="135"/>
        <v>2025-11</v>
      </c>
    </row>
    <row r="306" spans="1:59">
      <c r="A306" s="510" t="str">
        <f>VLOOKUP(F306,'Tenement Lookup'!A:BH,60,FALSE)</f>
        <v>M 80/268</v>
      </c>
      <c r="B306" t="s">
        <v>507</v>
      </c>
      <c r="C306" s="151" t="s">
        <v>508</v>
      </c>
      <c r="D306" s="1">
        <f t="shared" si="161"/>
        <v>45971.21</v>
      </c>
      <c r="E306" t="s">
        <v>171</v>
      </c>
      <c r="F306" s="501" t="s">
        <v>1202</v>
      </c>
      <c r="H306" s="4" t="s">
        <v>588</v>
      </c>
      <c r="I306" s="4">
        <v>5</v>
      </c>
      <c r="J306" s="122">
        <f t="shared" si="152"/>
        <v>650</v>
      </c>
      <c r="K306" s="21"/>
      <c r="L306" s="28"/>
      <c r="M306" s="22">
        <f t="shared" si="153"/>
        <v>0</v>
      </c>
      <c r="N306" s="30"/>
      <c r="O306" s="26"/>
      <c r="P306" s="31">
        <f t="shared" si="154"/>
        <v>0</v>
      </c>
      <c r="Q306" s="21"/>
      <c r="R306" s="28"/>
      <c r="S306" s="22"/>
      <c r="T306" s="30"/>
      <c r="U306" s="26"/>
      <c r="V306" s="31"/>
      <c r="W306" s="26">
        <f t="shared" si="159"/>
        <v>0</v>
      </c>
      <c r="X306" s="36">
        <f t="shared" si="160"/>
        <v>0</v>
      </c>
      <c r="Y306" s="301">
        <f t="shared" si="143"/>
        <v>0</v>
      </c>
      <c r="Z306" s="38">
        <v>1</v>
      </c>
      <c r="AA306" s="38">
        <v>1</v>
      </c>
      <c r="AB306" s="38">
        <v>1</v>
      </c>
      <c r="AC306" s="38">
        <v>13122</v>
      </c>
      <c r="AD306" s="157">
        <f t="shared" si="155"/>
        <v>750</v>
      </c>
      <c r="AE306" s="29"/>
      <c r="AF306" s="29"/>
      <c r="AG306" s="40"/>
      <c r="AH306" s="44">
        <v>12</v>
      </c>
      <c r="AI306" s="13"/>
      <c r="AJ306" s="304" t="s">
        <v>1207</v>
      </c>
      <c r="AK306" s="45"/>
      <c r="AL306" s="23"/>
      <c r="AM306" s="138"/>
      <c r="AN306" s="25">
        <f t="shared" ca="1" si="136"/>
        <v>12</v>
      </c>
      <c r="AO306" s="50"/>
      <c r="AP306" s="53">
        <f t="shared" si="156"/>
        <v>4320</v>
      </c>
      <c r="AQ306" s="322">
        <v>650</v>
      </c>
      <c r="AR306" s="324">
        <f t="shared" si="158"/>
        <v>0</v>
      </c>
      <c r="AS306" s="375">
        <f t="shared" si="162"/>
        <v>5720</v>
      </c>
      <c r="AT306" s="375">
        <v>5720</v>
      </c>
      <c r="AU306" s="344">
        <f t="shared" si="157"/>
        <v>0.11363636363636363</v>
      </c>
      <c r="AV306" s="18">
        <f>IF(F305="","",(SUM($AS$6:AS306)))</f>
        <v>1729162.9499999976</v>
      </c>
      <c r="AW306" s="18">
        <f>IFERROR(IF(AS306&lt;&gt;"", SUMIFS($AS$10:AS306, $BG$10:BG306, BG306), ""),"")</f>
        <v>98743.19</v>
      </c>
      <c r="AX306" s="123" t="str">
        <f t="shared" ca="1" si="151"/>
        <v>no drilling completed</v>
      </c>
      <c r="AY306" s="124" t="str">
        <f t="shared" ca="1" si="130"/>
        <v>LINK</v>
      </c>
      <c r="AZ306" t="s">
        <v>1208</v>
      </c>
      <c r="BG306" t="str">
        <f t="shared" si="135"/>
        <v>2025-11</v>
      </c>
    </row>
    <row r="307" spans="1:59">
      <c r="A307" s="510" t="str">
        <f>VLOOKUP(F307,'Tenement Lookup'!A:BH,60,FALSE)</f>
        <v>M 80/268</v>
      </c>
      <c r="B307" t="s">
        <v>507</v>
      </c>
      <c r="C307" s="151" t="s">
        <v>508</v>
      </c>
      <c r="D307" s="1">
        <f t="shared" si="161"/>
        <v>45971.71</v>
      </c>
      <c r="E307" t="s">
        <v>172</v>
      </c>
      <c r="F307" s="501" t="s">
        <v>1202</v>
      </c>
      <c r="H307" s="4"/>
      <c r="I307" s="4"/>
      <c r="J307" s="122" t="str">
        <f t="shared" si="152"/>
        <v/>
      </c>
      <c r="K307" s="21"/>
      <c r="L307" s="28"/>
      <c r="M307" s="22">
        <f t="shared" si="153"/>
        <v>0</v>
      </c>
      <c r="N307" s="30"/>
      <c r="O307" s="26"/>
      <c r="P307" s="31">
        <f t="shared" si="154"/>
        <v>0</v>
      </c>
      <c r="Q307" s="21"/>
      <c r="R307" s="28"/>
      <c r="S307" s="22"/>
      <c r="T307" s="30"/>
      <c r="U307" s="26"/>
      <c r="V307" s="31"/>
      <c r="W307" s="26">
        <f t="shared" si="159"/>
        <v>0</v>
      </c>
      <c r="X307" s="36">
        <f t="shared" si="160"/>
        <v>0</v>
      </c>
      <c r="Y307" s="301">
        <f t="shared" si="143"/>
        <v>0</v>
      </c>
      <c r="Z307" s="38"/>
      <c r="AA307" s="38"/>
      <c r="AB307" s="38"/>
      <c r="AC307" s="38"/>
      <c r="AD307" s="157">
        <f t="shared" si="155"/>
        <v>0</v>
      </c>
      <c r="AE307" s="29"/>
      <c r="AF307" s="29"/>
      <c r="AG307" s="40"/>
      <c r="AH307" s="44"/>
      <c r="AI307" s="13"/>
      <c r="AJ307" s="304"/>
      <c r="AK307" s="45"/>
      <c r="AL307" s="23"/>
      <c r="AM307" s="138"/>
      <c r="AN307" s="25">
        <f t="shared" ca="1" si="136"/>
        <v>0</v>
      </c>
      <c r="AO307" s="50"/>
      <c r="AP307" s="53">
        <f t="shared" si="156"/>
        <v>0</v>
      </c>
      <c r="AQ307" s="322"/>
      <c r="AR307" s="324" t="str">
        <f t="shared" si="158"/>
        <v/>
      </c>
      <c r="AS307" s="375">
        <f t="shared" si="162"/>
        <v>0</v>
      </c>
      <c r="AT307" s="375"/>
      <c r="AU307" s="344" t="str">
        <f t="shared" si="157"/>
        <v/>
      </c>
      <c r="AV307" s="18">
        <f>IF(F306="","",(SUM($AS$6:AS307)))</f>
        <v>1729162.9499999976</v>
      </c>
      <c r="AW307" s="18">
        <f>IFERROR(IF(AS307&lt;&gt;"", SUMIFS($AS$10:AS307, $BG$10:BG307, BG307), ""),"")</f>
        <v>98743.19</v>
      </c>
      <c r="AX307" s="123" t="str">
        <f t="shared" ca="1" si="151"/>
        <v>no drilling completed</v>
      </c>
      <c r="AY307" s="124" t="str">
        <f t="shared" ca="1" si="130"/>
        <v>LINK</v>
      </c>
      <c r="AZ307" t="s">
        <v>1193</v>
      </c>
      <c r="BG307" t="str">
        <f t="shared" si="135"/>
        <v>2025-11</v>
      </c>
    </row>
    <row r="308" spans="1:59">
      <c r="A308" s="510" t="str">
        <f>VLOOKUP(F308,'Tenement Lookup'!A:BH,60,FALSE)</f>
        <v>M 80/268</v>
      </c>
      <c r="B308" t="s">
        <v>507</v>
      </c>
      <c r="C308" s="151" t="s">
        <v>508</v>
      </c>
      <c r="D308" s="1">
        <f t="shared" si="161"/>
        <v>45972.21</v>
      </c>
      <c r="E308" t="s">
        <v>171</v>
      </c>
      <c r="F308" s="501" t="s">
        <v>1202</v>
      </c>
      <c r="H308" s="4" t="s">
        <v>588</v>
      </c>
      <c r="I308" s="4">
        <v>5</v>
      </c>
      <c r="J308" s="122">
        <f t="shared" si="152"/>
        <v>650</v>
      </c>
      <c r="K308" s="21"/>
      <c r="L308" s="28"/>
      <c r="M308" s="22">
        <f t="shared" si="153"/>
        <v>0</v>
      </c>
      <c r="N308" s="30"/>
      <c r="O308" s="26"/>
      <c r="P308" s="31">
        <f t="shared" si="154"/>
        <v>0</v>
      </c>
      <c r="Q308" s="21"/>
      <c r="R308" s="28"/>
      <c r="S308" s="22"/>
      <c r="T308" s="30"/>
      <c r="U308" s="26"/>
      <c r="V308" s="31"/>
      <c r="W308" s="26">
        <f t="shared" si="159"/>
        <v>0</v>
      </c>
      <c r="X308" s="36">
        <f t="shared" si="160"/>
        <v>0</v>
      </c>
      <c r="Y308" s="301">
        <f t="shared" si="143"/>
        <v>0</v>
      </c>
      <c r="Z308" s="38">
        <v>1</v>
      </c>
      <c r="AA308" s="38">
        <v>1</v>
      </c>
      <c r="AB308" s="38">
        <v>1</v>
      </c>
      <c r="AC308" s="38">
        <v>13122</v>
      </c>
      <c r="AD308" s="157">
        <f t="shared" si="155"/>
        <v>750</v>
      </c>
      <c r="AE308" s="29"/>
      <c r="AF308" s="29"/>
      <c r="AG308" s="40"/>
      <c r="AH308" s="44">
        <v>12</v>
      </c>
      <c r="AI308" s="13"/>
      <c r="AJ308" s="304" t="s">
        <v>1209</v>
      </c>
      <c r="AK308" s="45"/>
      <c r="AL308" s="23"/>
      <c r="AM308" s="138"/>
      <c r="AN308" s="25">
        <f t="shared" ca="1" si="136"/>
        <v>12</v>
      </c>
      <c r="AO308" s="50"/>
      <c r="AP308" s="53">
        <f t="shared" si="156"/>
        <v>4320</v>
      </c>
      <c r="AQ308" s="322">
        <v>650</v>
      </c>
      <c r="AR308" s="324">
        <f t="shared" si="158"/>
        <v>0</v>
      </c>
      <c r="AS308" s="375">
        <f t="shared" si="162"/>
        <v>5720</v>
      </c>
      <c r="AT308" s="375">
        <v>5720</v>
      </c>
      <c r="AU308" s="344">
        <f t="shared" si="157"/>
        <v>0.11363636363636363</v>
      </c>
      <c r="AV308" s="18">
        <f>IF(F307="","",(SUM($AS$6:AS308)))</f>
        <v>1734882.9499999976</v>
      </c>
      <c r="AW308" s="18">
        <f>IFERROR(IF(AS308&lt;&gt;"", SUMIFS($AS$10:AS308, $BG$10:BG308, BG308), ""),"")</f>
        <v>104463.19</v>
      </c>
      <c r="AX308" s="123" t="str">
        <f t="shared" ca="1" si="151"/>
        <v>no drilling completed</v>
      </c>
      <c r="AY308" s="124" t="str">
        <f t="shared" ca="1" si="130"/>
        <v>LINK</v>
      </c>
      <c r="AZ308" t="s">
        <v>1210</v>
      </c>
      <c r="BG308" t="str">
        <f t="shared" si="135"/>
        <v>2025-11</v>
      </c>
    </row>
    <row r="309" spans="1:59">
      <c r="A309" s="510" t="str">
        <f>VLOOKUP(F309,'Tenement Lookup'!A:BH,60,FALSE)</f>
        <v>M 80/268</v>
      </c>
      <c r="B309" t="s">
        <v>507</v>
      </c>
      <c r="C309" s="151" t="s">
        <v>508</v>
      </c>
      <c r="D309" s="1">
        <f t="shared" si="161"/>
        <v>45972.71</v>
      </c>
      <c r="E309" t="s">
        <v>172</v>
      </c>
      <c r="F309" s="501" t="s">
        <v>1202</v>
      </c>
      <c r="H309" s="4"/>
      <c r="I309" s="4"/>
      <c r="J309" s="122" t="str">
        <f t="shared" si="152"/>
        <v/>
      </c>
      <c r="K309" s="21"/>
      <c r="L309" s="28"/>
      <c r="M309" s="22">
        <f t="shared" ref="M309:M323" si="163">IF(ISBLANK(K309),0,L309-K309)</f>
        <v>0</v>
      </c>
      <c r="N309" s="30"/>
      <c r="O309" s="26"/>
      <c r="P309" s="31">
        <f t="shared" ref="P309" si="164">IF(ISBLANK(N309),,O309-N309)</f>
        <v>0</v>
      </c>
      <c r="Q309" s="21"/>
      <c r="R309" s="28"/>
      <c r="S309" s="22"/>
      <c r="T309" s="30"/>
      <c r="U309" s="26"/>
      <c r="V309" s="31"/>
      <c r="W309" s="26">
        <f t="shared" si="159"/>
        <v>0</v>
      </c>
      <c r="X309" s="36">
        <f t="shared" si="160"/>
        <v>0</v>
      </c>
      <c r="Y309" s="301">
        <f t="shared" si="143"/>
        <v>0</v>
      </c>
      <c r="Z309" s="38"/>
      <c r="AA309" s="38"/>
      <c r="AB309" s="38"/>
      <c r="AC309" s="38"/>
      <c r="AD309" s="157">
        <f t="shared" si="155"/>
        <v>0</v>
      </c>
      <c r="AE309" s="29"/>
      <c r="AF309" s="29"/>
      <c r="AG309" s="40"/>
      <c r="AH309" s="44"/>
      <c r="AI309" s="13"/>
      <c r="AJ309" s="304"/>
      <c r="AK309" s="45"/>
      <c r="AL309" s="23"/>
      <c r="AM309" s="138"/>
      <c r="AN309" s="25">
        <f t="shared" ca="1" si="136"/>
        <v>0</v>
      </c>
      <c r="AO309" s="50"/>
      <c r="AP309" s="53">
        <f t="shared" ref="AP309:AP311" si="165">(AF309*$AF$2)+(AH309*$AH$2)+(AI309*$AI$2)</f>
        <v>0</v>
      </c>
      <c r="AQ309" s="322"/>
      <c r="AR309" s="324" t="str">
        <f t="shared" ref="AR309:AR311" si="166">IFERROR(AQ309-J309,"")</f>
        <v/>
      </c>
      <c r="AS309" s="375">
        <f t="shared" si="162"/>
        <v>0</v>
      </c>
      <c r="AT309" s="375"/>
      <c r="AU309" s="344" t="str">
        <f t="shared" ref="AU309:AU310" si="167">IFERROR(J309/AS309,"")</f>
        <v/>
      </c>
      <c r="AV309" s="18">
        <f>IF(F308="","",(SUM($AS$6:AS309)))</f>
        <v>1734882.9499999976</v>
      </c>
      <c r="AW309" s="18">
        <f>IFERROR(IF(AS309&lt;&gt;"", SUMIFS($AS$10:AS309, $BG$10:BG309, BG309), ""),"")</f>
        <v>104463.19</v>
      </c>
      <c r="AX309" s="123" t="str">
        <f t="shared" ca="1" si="151"/>
        <v>no drilling completed</v>
      </c>
      <c r="AY309" s="124" t="str">
        <f t="shared" ca="1" si="130"/>
        <v>LINK</v>
      </c>
      <c r="BG309" t="str">
        <f t="shared" si="135"/>
        <v>2025-11</v>
      </c>
    </row>
    <row r="310" spans="1:59">
      <c r="A310" s="510" t="str">
        <f>VLOOKUP(F310,'Tenement Lookup'!A:BH,60,FALSE)</f>
        <v>M 80/268</v>
      </c>
      <c r="B310" t="s">
        <v>507</v>
      </c>
      <c r="C310" s="151" t="s">
        <v>508</v>
      </c>
      <c r="D310" s="1">
        <f t="shared" si="161"/>
        <v>45973.21</v>
      </c>
      <c r="E310" t="s">
        <v>171</v>
      </c>
      <c r="F310" s="501" t="s">
        <v>1202</v>
      </c>
      <c r="H310" s="4" t="s">
        <v>588</v>
      </c>
      <c r="I310" s="4">
        <v>5</v>
      </c>
      <c r="J310" s="122">
        <f t="shared" si="152"/>
        <v>650</v>
      </c>
      <c r="K310" s="21"/>
      <c r="L310" s="28"/>
      <c r="M310" s="22">
        <f t="shared" si="163"/>
        <v>0</v>
      </c>
      <c r="N310" s="30"/>
      <c r="O310" s="26"/>
      <c r="P310" s="31"/>
      <c r="Q310" s="21"/>
      <c r="R310" s="28"/>
      <c r="S310" s="22"/>
      <c r="T310" s="30"/>
      <c r="U310" s="26"/>
      <c r="V310" s="31"/>
      <c r="W310" s="26"/>
      <c r="X310" s="36"/>
      <c r="Y310" s="301">
        <f t="shared" si="143"/>
        <v>0</v>
      </c>
      <c r="Z310" s="38">
        <v>1</v>
      </c>
      <c r="AA310" s="38">
        <v>1</v>
      </c>
      <c r="AB310" s="38">
        <v>1</v>
      </c>
      <c r="AC310" s="38">
        <v>13122</v>
      </c>
      <c r="AD310" s="157">
        <f>IF(Y310="","",SUMPRODUCT(Z310:AB310,$Z$2:$AB$2))</f>
        <v>750</v>
      </c>
      <c r="AE310" s="29"/>
      <c r="AF310" s="29"/>
      <c r="AG310" s="40"/>
      <c r="AH310" s="44">
        <v>12</v>
      </c>
      <c r="AI310" s="13"/>
      <c r="AJ310" s="304" t="s">
        <v>1211</v>
      </c>
      <c r="AK310" s="45"/>
      <c r="AL310" s="23"/>
      <c r="AM310" s="138"/>
      <c r="AN310" s="25">
        <f t="shared" ca="1" si="136"/>
        <v>12</v>
      </c>
      <c r="AO310" s="50"/>
      <c r="AP310" s="53">
        <f t="shared" si="165"/>
        <v>4320</v>
      </c>
      <c r="AQ310" s="322">
        <v>650</v>
      </c>
      <c r="AR310" s="324">
        <f t="shared" si="166"/>
        <v>0</v>
      </c>
      <c r="AS310" s="375">
        <f t="shared" si="162"/>
        <v>5720</v>
      </c>
      <c r="AT310" s="375">
        <v>5720</v>
      </c>
      <c r="AU310" s="344">
        <f t="shared" si="167"/>
        <v>0.11363636363636363</v>
      </c>
      <c r="AV310" s="18">
        <f>IF(F309="","",(SUM($AS$6:AS310)))</f>
        <v>1740602.9499999976</v>
      </c>
      <c r="AW310" s="18">
        <f>IFERROR(IF(AS310&lt;&gt;"", SUMIFS($AS$10:AS310, $BG$10:BG310, BG310), ""),"")</f>
        <v>110183.19</v>
      </c>
      <c r="AX310" s="123" t="str">
        <f t="shared" ca="1" si="151"/>
        <v>no drilling completed</v>
      </c>
      <c r="AY310" s="124" t="str">
        <f t="shared" ca="1" si="130"/>
        <v>LINK</v>
      </c>
      <c r="AZ310" t="s">
        <v>1212</v>
      </c>
      <c r="BG310" t="str">
        <f t="shared" si="135"/>
        <v>2025-11</v>
      </c>
    </row>
    <row r="311" spans="1:59">
      <c r="A311" s="510" t="str">
        <f>VLOOKUP(F311,'Tenement Lookup'!A:BH,60,FALSE)</f>
        <v>M 80/268</v>
      </c>
      <c r="B311" t="s">
        <v>507</v>
      </c>
      <c r="C311" s="151" t="s">
        <v>508</v>
      </c>
      <c r="D311" s="1">
        <f t="shared" si="161"/>
        <v>45973.71</v>
      </c>
      <c r="E311" t="s">
        <v>172</v>
      </c>
      <c r="F311" s="501" t="s">
        <v>1202</v>
      </c>
      <c r="H311" s="4"/>
      <c r="I311" s="4"/>
      <c r="J311" s="4" t="str">
        <f t="shared" si="152"/>
        <v/>
      </c>
      <c r="K311" s="21"/>
      <c r="L311" s="28"/>
      <c r="M311" s="22">
        <f t="shared" si="163"/>
        <v>0</v>
      </c>
      <c r="N311" s="30"/>
      <c r="O311" s="26"/>
      <c r="P311" s="31"/>
      <c r="Q311" s="21"/>
      <c r="R311" s="28"/>
      <c r="S311" s="22"/>
      <c r="T311" s="30"/>
      <c r="U311" s="26"/>
      <c r="V311" s="31"/>
      <c r="W311" s="26"/>
      <c r="X311" s="36"/>
      <c r="Y311" s="301">
        <f t="shared" si="143"/>
        <v>0</v>
      </c>
      <c r="Z311" s="38"/>
      <c r="AA311" s="38"/>
      <c r="AB311" s="38"/>
      <c r="AC311" s="38"/>
      <c r="AD311" s="157">
        <f t="shared" si="155"/>
        <v>0</v>
      </c>
      <c r="AE311" s="29"/>
      <c r="AF311" s="29"/>
      <c r="AG311" s="40"/>
      <c r="AH311" s="44"/>
      <c r="AI311" s="13"/>
      <c r="AJ311" s="304"/>
      <c r="AK311" s="45"/>
      <c r="AL311" s="23"/>
      <c r="AM311" s="138"/>
      <c r="AN311" s="25">
        <f t="shared" ca="1" si="136"/>
        <v>0</v>
      </c>
      <c r="AO311" s="50"/>
      <c r="AP311" s="53">
        <f t="shared" si="165"/>
        <v>0</v>
      </c>
      <c r="AQ311" s="322"/>
      <c r="AR311" s="324" t="str">
        <f t="shared" si="166"/>
        <v/>
      </c>
      <c r="AS311" s="375">
        <f t="shared" si="162"/>
        <v>0</v>
      </c>
      <c r="AT311" s="375"/>
      <c r="AU311" s="344" t="str">
        <f t="shared" ref="AU311:AU313" si="168">IFERROR(J311/AS311,"")</f>
        <v/>
      </c>
      <c r="AV311" s="18">
        <f>IF(F310="","",(SUM($AS$6:AS311)))</f>
        <v>1740602.9499999976</v>
      </c>
      <c r="AW311" s="18">
        <f>IFERROR(IF(AS311&lt;&gt;"", SUMIFS($AS$10:AS311, $BG$10:BG311, BG311), ""),"")</f>
        <v>110183.19</v>
      </c>
      <c r="AX311" s="123" t="str">
        <f t="shared" ca="1" si="151"/>
        <v>no drilling completed</v>
      </c>
      <c r="AY311" s="124" t="str">
        <f t="shared" ca="1" si="130"/>
        <v>LINK</v>
      </c>
      <c r="BG311" t="str">
        <f t="shared" si="135"/>
        <v>2025-11</v>
      </c>
    </row>
    <row r="312" spans="1:59">
      <c r="A312" s="510" t="str">
        <f>VLOOKUP(F312,'Tenement Lookup'!A:BH,60,FALSE)</f>
        <v>M 80/268</v>
      </c>
      <c r="B312" t="s">
        <v>507</v>
      </c>
      <c r="C312" s="151" t="s">
        <v>508</v>
      </c>
      <c r="D312" s="1">
        <f t="shared" si="161"/>
        <v>45974.21</v>
      </c>
      <c r="E312" t="s">
        <v>171</v>
      </c>
      <c r="F312" s="501" t="s">
        <v>1202</v>
      </c>
      <c r="H312" s="4" t="s">
        <v>588</v>
      </c>
      <c r="I312" s="4">
        <v>5</v>
      </c>
      <c r="J312" s="122">
        <f t="shared" si="152"/>
        <v>650</v>
      </c>
      <c r="K312" s="21"/>
      <c r="L312" s="28"/>
      <c r="M312" s="22">
        <f t="shared" si="163"/>
        <v>0</v>
      </c>
      <c r="N312" s="30"/>
      <c r="O312" s="26"/>
      <c r="P312" s="31"/>
      <c r="Q312" s="21"/>
      <c r="R312" s="28"/>
      <c r="S312" s="22"/>
      <c r="T312" s="30"/>
      <c r="U312" s="26"/>
      <c r="V312" s="31"/>
      <c r="W312" s="26"/>
      <c r="X312" s="36"/>
      <c r="Y312" s="301">
        <f t="shared" si="143"/>
        <v>0</v>
      </c>
      <c r="Z312" s="38">
        <v>1</v>
      </c>
      <c r="AA312" s="38">
        <v>1</v>
      </c>
      <c r="AB312" s="38">
        <v>1</v>
      </c>
      <c r="AC312" s="38">
        <v>13122</v>
      </c>
      <c r="AD312" s="157">
        <f t="shared" si="155"/>
        <v>750</v>
      </c>
      <c r="AE312" s="29"/>
      <c r="AF312" s="29"/>
      <c r="AG312" s="40"/>
      <c r="AH312" s="44">
        <v>4</v>
      </c>
      <c r="AI312" s="13"/>
      <c r="AJ312" s="304"/>
      <c r="AK312" s="45">
        <v>8</v>
      </c>
      <c r="AL312" s="23"/>
      <c r="AM312" s="138"/>
      <c r="AN312" s="25">
        <f t="shared" ca="1" si="136"/>
        <v>12</v>
      </c>
      <c r="AO312" s="50"/>
      <c r="AP312" s="53">
        <f t="shared" ref="AP312:AP313" si="169">(AF312*$AF$2)+(AH312*$AH$2)+(AI312*$AI$2)</f>
        <v>1440</v>
      </c>
      <c r="AQ312" s="322">
        <v>650</v>
      </c>
      <c r="AR312" s="324">
        <f t="shared" ref="AR312:AR313" si="170">IFERROR(AQ312-J312,"")</f>
        <v>0</v>
      </c>
      <c r="AS312" s="375">
        <f t="shared" si="162"/>
        <v>2840</v>
      </c>
      <c r="AT312" s="375">
        <v>2840</v>
      </c>
      <c r="AU312" s="344">
        <f t="shared" si="168"/>
        <v>0.22887323943661972</v>
      </c>
      <c r="AV312" s="18">
        <f>IF(F311="","",(SUM($AS$6:AS312)))</f>
        <v>1743442.9499999976</v>
      </c>
      <c r="AW312" s="18">
        <f>IFERROR(IF(AS312&lt;&gt;"", SUMIFS($AS$10:AS312, $BG$10:BG312, BG312), ""),"")</f>
        <v>113023.19</v>
      </c>
      <c r="AX312" s="123" t="str">
        <f t="shared" ca="1" si="151"/>
        <v>no drilling completed</v>
      </c>
      <c r="AY312" s="124" t="str">
        <f t="shared" ca="1" si="130"/>
        <v>LINK</v>
      </c>
      <c r="AZ312" t="s">
        <v>1213</v>
      </c>
      <c r="BG312" t="str">
        <f t="shared" si="135"/>
        <v>2025-11</v>
      </c>
    </row>
    <row r="313" spans="1:59">
      <c r="A313" s="510" t="str">
        <f>VLOOKUP(F313,'Tenement Lookup'!A:BH,60,FALSE)</f>
        <v>M 80/268</v>
      </c>
      <c r="B313" t="s">
        <v>507</v>
      </c>
      <c r="C313" s="151" t="s">
        <v>508</v>
      </c>
      <c r="D313" s="1">
        <f t="shared" si="161"/>
        <v>45974.71</v>
      </c>
      <c r="E313" t="s">
        <v>172</v>
      </c>
      <c r="F313" s="501" t="s">
        <v>1202</v>
      </c>
      <c r="H313" s="4"/>
      <c r="I313" s="4"/>
      <c r="J313" s="122" t="str">
        <f t="shared" si="152"/>
        <v/>
      </c>
      <c r="K313" s="21"/>
      <c r="L313" s="28"/>
      <c r="M313" s="22">
        <f t="shared" si="163"/>
        <v>0</v>
      </c>
      <c r="N313" s="30"/>
      <c r="O313" s="26"/>
      <c r="P313" s="31"/>
      <c r="Q313" s="21"/>
      <c r="R313" s="28"/>
      <c r="S313" s="22"/>
      <c r="T313" s="30"/>
      <c r="U313" s="26"/>
      <c r="V313" s="31"/>
      <c r="W313" s="26"/>
      <c r="X313" s="36"/>
      <c r="Y313" s="301">
        <f t="shared" si="143"/>
        <v>0</v>
      </c>
      <c r="Z313" s="38"/>
      <c r="AA313" s="38"/>
      <c r="AB313" s="38"/>
      <c r="AC313" s="38"/>
      <c r="AD313" s="157">
        <f t="shared" si="155"/>
        <v>0</v>
      </c>
      <c r="AE313" s="29"/>
      <c r="AF313" s="29"/>
      <c r="AG313" s="40"/>
      <c r="AH313" s="44"/>
      <c r="AI313" s="13"/>
      <c r="AJ313" s="304"/>
      <c r="AK313" s="45"/>
      <c r="AL313" s="23"/>
      <c r="AM313" s="138"/>
      <c r="AN313" s="25">
        <f t="shared" ca="1" si="136"/>
        <v>0</v>
      </c>
      <c r="AO313" s="50"/>
      <c r="AP313" s="53">
        <f t="shared" si="169"/>
        <v>0</v>
      </c>
      <c r="AQ313" s="322"/>
      <c r="AR313" s="324" t="str">
        <f t="shared" si="170"/>
        <v/>
      </c>
      <c r="AS313" s="375">
        <f t="shared" si="162"/>
        <v>0</v>
      </c>
      <c r="AT313" s="375"/>
      <c r="AU313" s="344" t="str">
        <f t="shared" si="168"/>
        <v/>
      </c>
      <c r="AV313" s="18">
        <f>IF(F312="","",(SUM($AS$6:AS313)))</f>
        <v>1743442.9499999976</v>
      </c>
      <c r="AW313" s="18">
        <f>IFERROR(IF(AS313&lt;&gt;"", SUMIFS($AS$10:AS313, $BG$10:BG313, BG313), ""),"")</f>
        <v>113023.19</v>
      </c>
      <c r="AX313" s="123" t="str">
        <f t="shared" ca="1" si="151"/>
        <v>no drilling completed</v>
      </c>
      <c r="AY313" s="124" t="str">
        <f t="shared" ca="1" si="130"/>
        <v>LINK</v>
      </c>
      <c r="BG313" t="str">
        <f t="shared" si="135"/>
        <v>2025-11</v>
      </c>
    </row>
    <row r="314" spans="1:59">
      <c r="A314" s="510" t="str">
        <f>VLOOKUP(F314,'Tenement Lookup'!A:BH,60,FALSE)</f>
        <v>M 80/268</v>
      </c>
      <c r="B314" t="s">
        <v>507</v>
      </c>
      <c r="C314" s="151" t="s">
        <v>508</v>
      </c>
      <c r="D314" s="1">
        <f t="shared" si="161"/>
        <v>45975.21</v>
      </c>
      <c r="E314" t="s">
        <v>171</v>
      </c>
      <c r="F314" s="501" t="s">
        <v>1202</v>
      </c>
      <c r="H314" s="4" t="s">
        <v>588</v>
      </c>
      <c r="I314" s="4">
        <v>5</v>
      </c>
      <c r="J314" s="122">
        <f t="shared" si="152"/>
        <v>650</v>
      </c>
      <c r="K314" s="21"/>
      <c r="L314" s="28"/>
      <c r="M314" s="22">
        <f t="shared" si="163"/>
        <v>0</v>
      </c>
      <c r="N314" s="30"/>
      <c r="O314" s="26"/>
      <c r="P314" s="31"/>
      <c r="Q314" s="21"/>
      <c r="R314" s="28"/>
      <c r="S314" s="22"/>
      <c r="T314" s="30"/>
      <c r="U314" s="26"/>
      <c r="V314" s="31"/>
      <c r="W314" s="26"/>
      <c r="X314" s="36"/>
      <c r="Y314" s="301">
        <f t="shared" si="143"/>
        <v>0</v>
      </c>
      <c r="Z314" s="38">
        <v>1</v>
      </c>
      <c r="AA314" s="38">
        <v>1</v>
      </c>
      <c r="AB314" s="38">
        <v>1</v>
      </c>
      <c r="AC314" s="38">
        <v>13122</v>
      </c>
      <c r="AD314" s="157">
        <f t="shared" si="155"/>
        <v>750</v>
      </c>
      <c r="AE314" s="29"/>
      <c r="AF314" s="29">
        <v>5</v>
      </c>
      <c r="AG314" s="40" t="s">
        <v>1214</v>
      </c>
      <c r="AH314" s="44">
        <v>4</v>
      </c>
      <c r="AI314" s="13"/>
      <c r="AJ314" s="304"/>
      <c r="AK314" s="45">
        <v>3</v>
      </c>
      <c r="AL314" s="23"/>
      <c r="AM314" s="138"/>
      <c r="AN314" s="25">
        <f t="shared" ca="1" si="136"/>
        <v>12</v>
      </c>
      <c r="AO314" s="50"/>
      <c r="AP314" s="53">
        <f t="shared" ref="AP314:AP333" si="171">(AF314*$AF$2)+(AH314*$AH$2)+(AI314*$AI$2)</f>
        <v>3740</v>
      </c>
      <c r="AQ314" s="322">
        <v>650</v>
      </c>
      <c r="AR314" s="324">
        <f t="shared" ref="AR314:AR332" si="172">IFERROR(AQ314-J314,"")</f>
        <v>0</v>
      </c>
      <c r="AS314" s="375">
        <f t="shared" si="162"/>
        <v>5140</v>
      </c>
      <c r="AT314" s="375">
        <v>5140</v>
      </c>
      <c r="AU314" s="344">
        <f t="shared" ref="AU314:AU333" si="173">IFERROR(J314/AS314,"")</f>
        <v>0.12645914396887159</v>
      </c>
      <c r="AV314" s="18">
        <f>IF(F313="","",(SUM($AS$6:AS314)))</f>
        <v>1748582.9499999976</v>
      </c>
      <c r="AW314" s="18">
        <f>IFERROR(IF(AS314&lt;&gt;"", SUMIFS($AS$10:AS314, $BG$10:BG314, BG314), ""),"")</f>
        <v>118163.19</v>
      </c>
      <c r="AX314" s="123" t="str">
        <f t="shared" ca="1" si="151"/>
        <v>no drilling completed</v>
      </c>
      <c r="AY314" s="124" t="str">
        <f t="shared" ca="1" si="130"/>
        <v>LINK</v>
      </c>
      <c r="AZ314" t="s">
        <v>1215</v>
      </c>
      <c r="BG314" t="str">
        <f t="shared" si="135"/>
        <v>2025-11</v>
      </c>
    </row>
    <row r="315" spans="1:59">
      <c r="A315" s="510" t="str">
        <f>VLOOKUP(F315,'Tenement Lookup'!A:BH,60,FALSE)</f>
        <v>M 80/268</v>
      </c>
      <c r="B315" t="s">
        <v>507</v>
      </c>
      <c r="C315" s="151" t="s">
        <v>508</v>
      </c>
      <c r="D315" s="1">
        <f t="shared" si="161"/>
        <v>45975.71</v>
      </c>
      <c r="E315" t="s">
        <v>172</v>
      </c>
      <c r="F315" s="501" t="s">
        <v>1202</v>
      </c>
      <c r="H315" s="4"/>
      <c r="I315" s="4">
        <v>0</v>
      </c>
      <c r="J315" s="122">
        <f t="shared" si="152"/>
        <v>0</v>
      </c>
      <c r="K315" s="21"/>
      <c r="L315" s="28"/>
      <c r="M315" s="22">
        <f t="shared" si="163"/>
        <v>0</v>
      </c>
      <c r="N315" s="30"/>
      <c r="O315" s="26"/>
      <c r="P315" s="31"/>
      <c r="Q315" s="21"/>
      <c r="R315" s="28"/>
      <c r="S315" s="22"/>
      <c r="T315" s="30"/>
      <c r="U315" s="26"/>
      <c r="V315" s="31"/>
      <c r="W315" s="26"/>
      <c r="X315" s="36"/>
      <c r="Y315" s="301">
        <f t="shared" si="143"/>
        <v>0</v>
      </c>
      <c r="Z315" s="38"/>
      <c r="AA315" s="38"/>
      <c r="AB315" s="38"/>
      <c r="AC315" s="38"/>
      <c r="AD315" s="157">
        <f t="shared" si="155"/>
        <v>0</v>
      </c>
      <c r="AE315" s="29"/>
      <c r="AF315" s="29"/>
      <c r="AG315" s="40"/>
      <c r="AH315" s="44"/>
      <c r="AI315" s="13"/>
      <c r="AJ315" s="304"/>
      <c r="AK315" s="45"/>
      <c r="AL315" s="23"/>
      <c r="AM315" s="138"/>
      <c r="AN315" s="25">
        <f t="shared" ca="1" si="136"/>
        <v>0</v>
      </c>
      <c r="AO315" s="50"/>
      <c r="AP315" s="53">
        <f t="shared" si="171"/>
        <v>0</v>
      </c>
      <c r="AQ315" s="322"/>
      <c r="AR315" s="324">
        <f t="shared" si="172"/>
        <v>0</v>
      </c>
      <c r="AS315" s="375">
        <f t="shared" si="162"/>
        <v>0</v>
      </c>
      <c r="AT315" s="375"/>
      <c r="AU315" s="344" t="str">
        <f t="shared" si="173"/>
        <v/>
      </c>
      <c r="AV315" s="18">
        <f>IF(F314="","",(SUM($AS$6:AS315)))</f>
        <v>1748582.9499999976</v>
      </c>
      <c r="AW315" s="18">
        <f>IFERROR(IF(AS315&lt;&gt;"", SUMIFS($AS$10:AS315, $BG$10:BG315, BG315), ""),"")</f>
        <v>118163.19</v>
      </c>
      <c r="AX315" s="123" t="str">
        <f t="shared" ca="1" si="151"/>
        <v>no drilling completed</v>
      </c>
      <c r="AY315" s="124" t="str">
        <f t="shared" ca="1" si="130"/>
        <v>LINK</v>
      </c>
      <c r="BG315" t="str">
        <f t="shared" si="135"/>
        <v>2025-11</v>
      </c>
    </row>
    <row r="316" spans="1:59">
      <c r="A316" s="510" t="e">
        <f>VLOOKUP(F316,'Tenement Lookup'!A:BH,60,FALSE)</f>
        <v>#N/A</v>
      </c>
      <c r="B316" t="s">
        <v>1225</v>
      </c>
      <c r="C316" s="151" t="s">
        <v>1223</v>
      </c>
      <c r="D316" s="1">
        <f t="shared" si="161"/>
        <v>45976.21</v>
      </c>
      <c r="E316" t="s">
        <v>171</v>
      </c>
      <c r="F316" s="501" t="s">
        <v>1222</v>
      </c>
      <c r="H316" s="4" t="s">
        <v>588</v>
      </c>
      <c r="I316" s="4">
        <v>0</v>
      </c>
      <c r="J316" s="122">
        <f t="shared" si="152"/>
        <v>0</v>
      </c>
      <c r="K316" s="21"/>
      <c r="L316" s="28"/>
      <c r="M316" s="22">
        <f t="shared" si="163"/>
        <v>0</v>
      </c>
      <c r="N316" s="30"/>
      <c r="O316" s="26"/>
      <c r="P316" s="31"/>
      <c r="Q316" s="21"/>
      <c r="R316" s="28"/>
      <c r="S316" s="22"/>
      <c r="T316" s="30"/>
      <c r="U316" s="26"/>
      <c r="V316" s="31"/>
      <c r="W316" s="26"/>
      <c r="X316" s="36"/>
      <c r="Y316" s="301">
        <f t="shared" ref="Y316:Y324" si="174">IF(F316&lt;&gt;"",IF(X316&lt;(AE316*$AE$2),(AE316*$AE$2),X316),"")</f>
        <v>0</v>
      </c>
      <c r="Z316" s="38"/>
      <c r="AA316" s="38"/>
      <c r="AB316" s="38"/>
      <c r="AC316" s="38"/>
      <c r="AD316" s="157">
        <f t="shared" si="155"/>
        <v>0</v>
      </c>
      <c r="AE316" s="29"/>
      <c r="AF316" s="29">
        <v>5</v>
      </c>
      <c r="AG316" s="40" t="s">
        <v>1214</v>
      </c>
      <c r="AH316" s="44">
        <v>6</v>
      </c>
      <c r="AI316" s="13"/>
      <c r="AJ316" s="304" t="s">
        <v>1216</v>
      </c>
      <c r="AK316" s="45">
        <v>1</v>
      </c>
      <c r="AL316" s="23"/>
      <c r="AM316" s="138"/>
      <c r="AN316" s="25">
        <f t="shared" ca="1" si="136"/>
        <v>12</v>
      </c>
      <c r="AO316" s="50"/>
      <c r="AP316" s="53">
        <f t="shared" si="171"/>
        <v>4460</v>
      </c>
      <c r="AQ316" s="322">
        <v>0</v>
      </c>
      <c r="AR316" s="324">
        <f t="shared" si="172"/>
        <v>0</v>
      </c>
      <c r="AS316" s="375">
        <f t="shared" si="162"/>
        <v>4460</v>
      </c>
      <c r="AT316" s="375">
        <v>4460</v>
      </c>
      <c r="AU316" s="344">
        <f t="shared" si="173"/>
        <v>0</v>
      </c>
      <c r="AV316" s="18">
        <f>IF(F315="","",(SUM($AS$6:AS316)))</f>
        <v>1753042.9499999976</v>
      </c>
      <c r="AW316" s="18">
        <f>IFERROR(IF(AS316&lt;&gt;"", SUMIFS($AS$10:AS316, $BG$10:BG316, BG316), ""),"")</f>
        <v>122623.19</v>
      </c>
      <c r="AX316" s="123" t="str">
        <f t="shared" ca="1" si="151"/>
        <v>no drilling completed</v>
      </c>
      <c r="AY316" s="124" t="str">
        <f t="shared" ca="1" si="130"/>
        <v>LINK</v>
      </c>
      <c r="AZ316" t="s">
        <v>1218</v>
      </c>
      <c r="BG316" t="str">
        <f t="shared" si="135"/>
        <v>2025-11</v>
      </c>
    </row>
    <row r="317" spans="1:59">
      <c r="A317" s="510" t="e">
        <f>VLOOKUP(F317,'Tenement Lookup'!A:BH,60,FALSE)</f>
        <v>#N/A</v>
      </c>
      <c r="B317" t="s">
        <v>1225</v>
      </c>
      <c r="C317" s="151" t="s">
        <v>1223</v>
      </c>
      <c r="D317" s="1">
        <f t="shared" si="161"/>
        <v>45976.71</v>
      </c>
      <c r="E317" t="s">
        <v>172</v>
      </c>
      <c r="F317" s="501" t="s">
        <v>1222</v>
      </c>
      <c r="H317" s="4" t="s">
        <v>392</v>
      </c>
      <c r="I317" s="4">
        <v>0</v>
      </c>
      <c r="J317" s="122">
        <f t="shared" si="152"/>
        <v>0</v>
      </c>
      <c r="K317" s="21"/>
      <c r="L317" s="28"/>
      <c r="M317" s="22">
        <f t="shared" si="163"/>
        <v>0</v>
      </c>
      <c r="N317" s="30"/>
      <c r="O317" s="26"/>
      <c r="P317" s="31"/>
      <c r="Q317" s="21"/>
      <c r="R317" s="28"/>
      <c r="S317" s="22"/>
      <c r="T317" s="30"/>
      <c r="U317" s="26"/>
      <c r="V317" s="31"/>
      <c r="W317" s="26"/>
      <c r="X317" s="36"/>
      <c r="Y317" s="301">
        <f t="shared" si="174"/>
        <v>0</v>
      </c>
      <c r="Z317" s="38"/>
      <c r="AA317" s="38"/>
      <c r="AB317" s="38"/>
      <c r="AC317" s="38"/>
      <c r="AD317" s="157">
        <f t="shared" si="155"/>
        <v>0</v>
      </c>
      <c r="AE317" s="29"/>
      <c r="AF317" s="29"/>
      <c r="AG317" s="40"/>
      <c r="AH317" s="44">
        <v>12</v>
      </c>
      <c r="AI317" s="13"/>
      <c r="AJ317" s="304" t="s">
        <v>1217</v>
      </c>
      <c r="AK317" s="45"/>
      <c r="AL317" s="23"/>
      <c r="AM317" s="138"/>
      <c r="AN317" s="25">
        <f t="shared" ca="1" si="136"/>
        <v>12</v>
      </c>
      <c r="AO317" s="50"/>
      <c r="AP317" s="53">
        <f t="shared" si="171"/>
        <v>4320</v>
      </c>
      <c r="AQ317" s="322">
        <v>6757.31</v>
      </c>
      <c r="AR317" s="324">
        <f t="shared" si="172"/>
        <v>6757.31</v>
      </c>
      <c r="AS317" s="375">
        <f t="shared" si="162"/>
        <v>11077.310000000001</v>
      </c>
      <c r="AT317" s="375">
        <v>11077.31</v>
      </c>
      <c r="AU317" s="344">
        <f t="shared" si="173"/>
        <v>0</v>
      </c>
      <c r="AV317" s="18">
        <f>IF(F316="","",(SUM($AS$6:AS317)))</f>
        <v>1764120.2599999977</v>
      </c>
      <c r="AW317" s="18">
        <f>IFERROR(IF(AS317&lt;&gt;"", SUMIFS($AS$10:AS317, $BG$10:BG317, BG317), ""),"")</f>
        <v>133700.5</v>
      </c>
      <c r="AX317" s="123" t="str">
        <f t="shared" ca="1" si="151"/>
        <v>no drilling completed</v>
      </c>
      <c r="AY317" s="124" t="str">
        <f t="shared" ca="1" si="130"/>
        <v>LINK</v>
      </c>
      <c r="AZ317" t="s">
        <v>1227</v>
      </c>
      <c r="BG317" t="str">
        <f t="shared" si="135"/>
        <v>2025-11</v>
      </c>
    </row>
    <row r="318" spans="1:59">
      <c r="A318" s="510" t="e">
        <f>VLOOKUP(F318,'Tenement Lookup'!A:BH,60,FALSE)</f>
        <v>#N/A</v>
      </c>
      <c r="B318" t="s">
        <v>1225</v>
      </c>
      <c r="C318" s="151" t="s">
        <v>1223</v>
      </c>
      <c r="D318" s="1">
        <f t="shared" si="161"/>
        <v>45977.21</v>
      </c>
      <c r="E318" t="s">
        <v>171</v>
      </c>
      <c r="F318" s="501" t="s">
        <v>1222</v>
      </c>
      <c r="H318" s="4" t="s">
        <v>588</v>
      </c>
      <c r="I318" s="4">
        <v>0</v>
      </c>
      <c r="J318" s="122">
        <f t="shared" si="152"/>
        <v>0</v>
      </c>
      <c r="K318" s="21"/>
      <c r="L318" s="28"/>
      <c r="M318" s="22">
        <f t="shared" si="163"/>
        <v>0</v>
      </c>
      <c r="N318" s="30"/>
      <c r="O318" s="26"/>
      <c r="P318" s="31"/>
      <c r="Q318" s="21"/>
      <c r="R318" s="28"/>
      <c r="S318" s="22"/>
      <c r="T318" s="30"/>
      <c r="U318" s="26"/>
      <c r="V318" s="31"/>
      <c r="W318" s="26"/>
      <c r="X318" s="36"/>
      <c r="Y318" s="301">
        <f t="shared" si="174"/>
        <v>0</v>
      </c>
      <c r="Z318" s="38"/>
      <c r="AA318" s="38"/>
      <c r="AB318" s="38"/>
      <c r="AC318" s="38"/>
      <c r="AD318" s="157"/>
      <c r="AE318" s="29"/>
      <c r="AF318" s="29"/>
      <c r="AG318" s="40"/>
      <c r="AH318" s="44">
        <v>12</v>
      </c>
      <c r="AI318" s="13"/>
      <c r="AJ318" s="304"/>
      <c r="AK318" s="45"/>
      <c r="AL318" s="23"/>
      <c r="AM318" s="138"/>
      <c r="AN318" s="25">
        <f t="shared" ca="1" si="136"/>
        <v>12</v>
      </c>
      <c r="AO318" s="50"/>
      <c r="AP318" s="53">
        <f>(AF318*$AF$2)+(AH319*$AH$2)+(AI318*$AI$2)</f>
        <v>4320</v>
      </c>
      <c r="AQ318" s="322">
        <v>0</v>
      </c>
      <c r="AR318" s="324">
        <f t="shared" si="172"/>
        <v>0</v>
      </c>
      <c r="AS318" s="375">
        <f t="shared" si="162"/>
        <v>4320</v>
      </c>
      <c r="AT318" s="375">
        <v>4320</v>
      </c>
      <c r="AU318" s="344">
        <f t="shared" si="173"/>
        <v>0</v>
      </c>
      <c r="AV318" s="18">
        <f>IF(F317="","",(SUM($AS$6:AS318)))</f>
        <v>1768440.2599999977</v>
      </c>
      <c r="AW318" s="18">
        <f>IFERROR(IF(AS318&lt;&gt;"", SUMIFS($AS$10:AS318, $BG$10:BG318, BG318), ""),"")</f>
        <v>138020.5</v>
      </c>
      <c r="AX318" s="123" t="str">
        <f t="shared" ca="1" si="151"/>
        <v>no drilling completed</v>
      </c>
      <c r="AY318" s="124" t="str">
        <f t="shared" ca="1" si="130"/>
        <v>LINK</v>
      </c>
      <c r="AZ318" t="s">
        <v>1219</v>
      </c>
      <c r="BG318" t="str">
        <f t="shared" si="135"/>
        <v>2025-11</v>
      </c>
    </row>
    <row r="319" spans="1:59">
      <c r="A319" s="510" t="e">
        <f>VLOOKUP(F319,'Tenement Lookup'!A:BH,60,FALSE)</f>
        <v>#N/A</v>
      </c>
      <c r="B319" t="s">
        <v>1225</v>
      </c>
      <c r="C319" s="151" t="s">
        <v>1223</v>
      </c>
      <c r="D319" s="1">
        <f t="shared" si="161"/>
        <v>45977.71</v>
      </c>
      <c r="E319" t="s">
        <v>172</v>
      </c>
      <c r="F319" s="501" t="s">
        <v>1222</v>
      </c>
      <c r="H319" s="4" t="s">
        <v>392</v>
      </c>
      <c r="I319" s="4">
        <v>0</v>
      </c>
      <c r="J319" s="122">
        <f t="shared" si="152"/>
        <v>0</v>
      </c>
      <c r="K319" s="21"/>
      <c r="L319" s="28"/>
      <c r="M319" s="22">
        <f t="shared" si="163"/>
        <v>0</v>
      </c>
      <c r="N319" s="30"/>
      <c r="O319" s="26"/>
      <c r="P319" s="31"/>
      <c r="Q319" s="21"/>
      <c r="R319" s="28"/>
      <c r="S319" s="22"/>
      <c r="T319" s="30"/>
      <c r="U319" s="26"/>
      <c r="V319" s="31"/>
      <c r="W319" s="26"/>
      <c r="X319" s="36"/>
      <c r="Y319" s="301">
        <f t="shared" si="174"/>
        <v>0</v>
      </c>
      <c r="Z319" s="38"/>
      <c r="AA319" s="38"/>
      <c r="AB319" s="38"/>
      <c r="AC319" s="38"/>
      <c r="AD319" s="157"/>
      <c r="AE319" s="29"/>
      <c r="AF319" s="29"/>
      <c r="AG319" s="40"/>
      <c r="AH319" s="44">
        <v>12</v>
      </c>
      <c r="AI319" s="13"/>
      <c r="AJ319" s="304"/>
      <c r="AK319" s="45"/>
      <c r="AL319" s="23"/>
      <c r="AM319" s="138"/>
      <c r="AN319" s="25">
        <f t="shared" ca="1" si="136"/>
        <v>12</v>
      </c>
      <c r="AO319" s="50"/>
      <c r="AP319" s="53">
        <f t="shared" si="171"/>
        <v>4320</v>
      </c>
      <c r="AQ319" s="322">
        <v>0</v>
      </c>
      <c r="AR319" s="324">
        <f t="shared" si="172"/>
        <v>0</v>
      </c>
      <c r="AS319" s="375">
        <f t="shared" si="162"/>
        <v>4320</v>
      </c>
      <c r="AT319" s="375">
        <v>4320</v>
      </c>
      <c r="AU319" s="344">
        <f t="shared" si="173"/>
        <v>0</v>
      </c>
      <c r="AV319" s="18">
        <f>IF(F318="","",(SUM($AS$6:AS319)))</f>
        <v>1772760.2599999977</v>
      </c>
      <c r="AW319" s="18">
        <f>IFERROR(IF(AS319&lt;&gt;"", SUMIFS($AS$10:AS319, $BG$10:BG319, BG319), ""),"")</f>
        <v>142340.5</v>
      </c>
      <c r="AX319" s="123" t="str">
        <f t="shared" ca="1" si="151"/>
        <v>no drilling completed</v>
      </c>
      <c r="AY319" s="124" t="str">
        <f t="shared" ca="1" si="130"/>
        <v>LINK</v>
      </c>
      <c r="AZ319" t="s">
        <v>1219</v>
      </c>
      <c r="BG319" t="str">
        <f t="shared" si="135"/>
        <v>2025-11</v>
      </c>
    </row>
    <row r="320" spans="1:59">
      <c r="A320" s="510" t="e">
        <f>VLOOKUP(F320,'Tenement Lookup'!A:BH,60,FALSE)</f>
        <v>#N/A</v>
      </c>
      <c r="B320" t="s">
        <v>1225</v>
      </c>
      <c r="C320" s="151" t="s">
        <v>1223</v>
      </c>
      <c r="D320" s="1">
        <f t="shared" si="161"/>
        <v>45978.21</v>
      </c>
      <c r="E320" t="s">
        <v>171</v>
      </c>
      <c r="F320" s="501" t="s">
        <v>1222</v>
      </c>
      <c r="H320" s="4" t="s">
        <v>588</v>
      </c>
      <c r="I320" s="4">
        <v>0</v>
      </c>
      <c r="J320" s="122">
        <f t="shared" si="152"/>
        <v>0</v>
      </c>
      <c r="K320" s="21"/>
      <c r="L320" s="28"/>
      <c r="M320" s="22">
        <f t="shared" si="163"/>
        <v>0</v>
      </c>
      <c r="N320" s="30"/>
      <c r="O320" s="26"/>
      <c r="P320" s="31"/>
      <c r="Q320" s="21"/>
      <c r="R320" s="28"/>
      <c r="S320" s="22"/>
      <c r="T320" s="30"/>
      <c r="U320" s="26"/>
      <c r="V320" s="31"/>
      <c r="W320" s="26"/>
      <c r="X320" s="36"/>
      <c r="Y320" s="301">
        <f t="shared" si="174"/>
        <v>0</v>
      </c>
      <c r="Z320" s="38"/>
      <c r="AA320" s="38"/>
      <c r="AB320" s="38"/>
      <c r="AC320" s="38"/>
      <c r="AD320" s="157"/>
      <c r="AE320" s="29"/>
      <c r="AF320" s="29"/>
      <c r="AG320" s="40"/>
      <c r="AH320" s="44">
        <v>12</v>
      </c>
      <c r="AI320" s="13"/>
      <c r="AJ320" s="304"/>
      <c r="AK320" s="45"/>
      <c r="AL320" s="23"/>
      <c r="AM320" s="138"/>
      <c r="AN320" s="25">
        <f t="shared" ca="1" si="136"/>
        <v>12</v>
      </c>
      <c r="AO320" s="50"/>
      <c r="AP320" s="53">
        <f t="shared" si="171"/>
        <v>4320</v>
      </c>
      <c r="AQ320" s="322">
        <v>0</v>
      </c>
      <c r="AR320" s="324">
        <f t="shared" si="172"/>
        <v>0</v>
      </c>
      <c r="AS320" s="375">
        <f t="shared" si="162"/>
        <v>4320</v>
      </c>
      <c r="AT320" s="375">
        <v>4320</v>
      </c>
      <c r="AU320" s="344">
        <f t="shared" si="173"/>
        <v>0</v>
      </c>
      <c r="AV320" s="18">
        <f>IF(F319="","",(SUM($AS$6:AS320)))</f>
        <v>1777080.2599999977</v>
      </c>
      <c r="AW320" s="18">
        <f>IFERROR(IF(AS320&lt;&gt;"", SUMIFS($AS$10:AS320, $BG$10:BG320, BG320), ""),"")</f>
        <v>146660.5</v>
      </c>
      <c r="AX320" s="123" t="str">
        <f t="shared" ca="1" si="151"/>
        <v>no drilling completed</v>
      </c>
      <c r="AY320" s="124" t="str">
        <f t="shared" ca="1" si="130"/>
        <v>LINK</v>
      </c>
      <c r="AZ320" t="s">
        <v>1220</v>
      </c>
      <c r="BG320" t="str">
        <f t="shared" si="135"/>
        <v>2025-11</v>
      </c>
    </row>
    <row r="321" spans="1:59">
      <c r="A321" s="510" t="e">
        <f>VLOOKUP(F321,'Tenement Lookup'!A:BH,60,FALSE)</f>
        <v>#N/A</v>
      </c>
      <c r="B321" t="s">
        <v>1225</v>
      </c>
      <c r="C321" s="151" t="s">
        <v>1223</v>
      </c>
      <c r="D321" s="1">
        <f t="shared" si="161"/>
        <v>45978.71</v>
      </c>
      <c r="E321" t="s">
        <v>172</v>
      </c>
      <c r="F321" s="501" t="s">
        <v>1222</v>
      </c>
      <c r="H321" s="4" t="s">
        <v>392</v>
      </c>
      <c r="I321" s="4">
        <v>0</v>
      </c>
      <c r="J321" s="122">
        <f t="shared" si="152"/>
        <v>0</v>
      </c>
      <c r="K321" s="21"/>
      <c r="L321" s="28"/>
      <c r="M321" s="22">
        <f t="shared" si="163"/>
        <v>0</v>
      </c>
      <c r="N321" s="30"/>
      <c r="O321" s="26"/>
      <c r="P321" s="31"/>
      <c r="Q321" s="21"/>
      <c r="R321" s="28"/>
      <c r="S321" s="22"/>
      <c r="T321" s="30"/>
      <c r="U321" s="26"/>
      <c r="V321" s="31"/>
      <c r="W321" s="26"/>
      <c r="X321" s="36"/>
      <c r="Y321" s="301">
        <f t="shared" si="174"/>
        <v>0</v>
      </c>
      <c r="Z321" s="38"/>
      <c r="AA321" s="38"/>
      <c r="AB321" s="38"/>
      <c r="AC321" s="38"/>
      <c r="AD321" s="157"/>
      <c r="AE321" s="29"/>
      <c r="AF321" s="29"/>
      <c r="AG321" s="40"/>
      <c r="AH321" s="44">
        <v>12</v>
      </c>
      <c r="AI321" s="13"/>
      <c r="AJ321" s="304"/>
      <c r="AK321" s="45"/>
      <c r="AL321" s="23"/>
      <c r="AM321" s="138"/>
      <c r="AN321" s="25">
        <f t="shared" ca="1" si="136"/>
        <v>12</v>
      </c>
      <c r="AO321" s="50"/>
      <c r="AP321" s="53">
        <f t="shared" si="171"/>
        <v>4320</v>
      </c>
      <c r="AQ321" s="322">
        <v>0</v>
      </c>
      <c r="AR321" s="324">
        <f t="shared" si="172"/>
        <v>0</v>
      </c>
      <c r="AS321" s="375">
        <f t="shared" si="162"/>
        <v>4320</v>
      </c>
      <c r="AT321" s="375">
        <v>4320</v>
      </c>
      <c r="AU321" s="344">
        <f t="shared" si="173"/>
        <v>0</v>
      </c>
      <c r="AV321" s="18">
        <f>IF(F320="","",(SUM($AS$6:AS321)))</f>
        <v>1781400.2599999977</v>
      </c>
      <c r="AW321" s="18">
        <f>IFERROR(IF(AS321&lt;&gt;"", SUMIFS($AS$10:AS321, $BG$10:BG321, BG321), ""),"")</f>
        <v>150980.5</v>
      </c>
      <c r="AX321" s="123" t="str">
        <f t="shared" ca="1" si="151"/>
        <v>no drilling completed</v>
      </c>
      <c r="AY321" s="124" t="str">
        <f t="shared" ca="1" si="130"/>
        <v>LINK</v>
      </c>
      <c r="AZ321" t="s">
        <v>1221</v>
      </c>
      <c r="BG321" t="str">
        <f t="shared" si="135"/>
        <v>2025-11</v>
      </c>
    </row>
    <row r="322" spans="1:59" s="458" customFormat="1">
      <c r="A322" s="510" t="e">
        <f>VLOOKUP(F322,'Tenement Lookup'!A:BH,60,FALSE)</f>
        <v>#N/A</v>
      </c>
      <c r="B322" s="458" t="s">
        <v>1225</v>
      </c>
      <c r="C322" s="459" t="s">
        <v>1223</v>
      </c>
      <c r="D322" s="460">
        <f t="shared" si="161"/>
        <v>45979.21</v>
      </c>
      <c r="E322" s="458" t="s">
        <v>171</v>
      </c>
      <c r="F322" s="502" t="s">
        <v>1222</v>
      </c>
      <c r="G322" s="461"/>
      <c r="H322" s="462" t="s">
        <v>588</v>
      </c>
      <c r="I322" s="462">
        <v>0</v>
      </c>
      <c r="J322" s="463">
        <f t="shared" si="152"/>
        <v>0</v>
      </c>
      <c r="K322" s="464"/>
      <c r="L322" s="465"/>
      <c r="M322" s="466">
        <f t="shared" si="163"/>
        <v>0</v>
      </c>
      <c r="N322" s="467"/>
      <c r="O322" s="468"/>
      <c r="P322" s="469"/>
      <c r="Q322" s="464"/>
      <c r="R322" s="465"/>
      <c r="S322" s="466"/>
      <c r="T322" s="467"/>
      <c r="U322" s="468"/>
      <c r="V322" s="469"/>
      <c r="W322" s="468"/>
      <c r="X322" s="470"/>
      <c r="Y322" s="471">
        <f t="shared" si="174"/>
        <v>0</v>
      </c>
      <c r="Z322" s="472"/>
      <c r="AA322" s="472"/>
      <c r="AB322" s="472"/>
      <c r="AC322" s="472"/>
      <c r="AD322" s="473"/>
      <c r="AE322" s="474"/>
      <c r="AF322" s="474">
        <v>11</v>
      </c>
      <c r="AG322" s="475"/>
      <c r="AH322" s="476">
        <v>1</v>
      </c>
      <c r="AI322" s="477"/>
      <c r="AJ322" s="478"/>
      <c r="AK322" s="479"/>
      <c r="AL322" s="480"/>
      <c r="AM322" s="481"/>
      <c r="AN322" s="482">
        <f t="shared" ca="1" si="136"/>
        <v>12</v>
      </c>
      <c r="AO322" s="483"/>
      <c r="AP322" s="484">
        <f t="shared" si="171"/>
        <v>5420</v>
      </c>
      <c r="AQ322" s="485">
        <v>0</v>
      </c>
      <c r="AR322" s="486">
        <f t="shared" si="172"/>
        <v>0</v>
      </c>
      <c r="AS322" s="487">
        <f t="shared" si="162"/>
        <v>5420</v>
      </c>
      <c r="AT322" s="487">
        <v>5420</v>
      </c>
      <c r="AU322" s="488">
        <f t="shared" si="173"/>
        <v>0</v>
      </c>
      <c r="AV322" s="18">
        <f>IF(F321="","",(SUM($AS$6:AS322)))</f>
        <v>1786820.2599999977</v>
      </c>
      <c r="AW322" s="489">
        <f>IFERROR(IF(AS322&lt;&gt;"", SUMIFS($AS$10:AS322, $BG$10:BG322, BG322), ""),"")</f>
        <v>156400.5</v>
      </c>
      <c r="AX322" s="490" t="str">
        <f t="shared" ca="1" si="151"/>
        <v>no drilling completed</v>
      </c>
      <c r="AY322" s="491" t="str">
        <f t="shared" ca="1" si="130"/>
        <v>LINK</v>
      </c>
      <c r="BG322" s="458" t="str">
        <f t="shared" si="135"/>
        <v>2025-11</v>
      </c>
    </row>
    <row r="323" spans="1:59" s="458" customFormat="1">
      <c r="A323" s="510" t="e">
        <f>VLOOKUP(F323,'Tenement Lookup'!A:BH,60,FALSE)</f>
        <v>#N/A</v>
      </c>
      <c r="B323" s="458" t="s">
        <v>1225</v>
      </c>
      <c r="C323" s="459" t="s">
        <v>1223</v>
      </c>
      <c r="D323" s="460">
        <f t="shared" si="161"/>
        <v>45979.71</v>
      </c>
      <c r="E323" s="458" t="s">
        <v>172</v>
      </c>
      <c r="F323" s="502" t="s">
        <v>1222</v>
      </c>
      <c r="G323" s="461"/>
      <c r="H323" s="462" t="s">
        <v>392</v>
      </c>
      <c r="I323" s="462">
        <v>0</v>
      </c>
      <c r="J323" s="463">
        <f t="shared" si="152"/>
        <v>0</v>
      </c>
      <c r="K323" s="464"/>
      <c r="L323" s="465"/>
      <c r="M323" s="466">
        <f t="shared" si="163"/>
        <v>0</v>
      </c>
      <c r="N323" s="467"/>
      <c r="O323" s="468"/>
      <c r="P323" s="469"/>
      <c r="Q323" s="464"/>
      <c r="R323" s="465"/>
      <c r="S323" s="466"/>
      <c r="T323" s="467"/>
      <c r="U323" s="468"/>
      <c r="V323" s="469"/>
      <c r="W323" s="468"/>
      <c r="X323" s="470"/>
      <c r="Y323" s="471">
        <f t="shared" si="174"/>
        <v>0</v>
      </c>
      <c r="Z323" s="472"/>
      <c r="AA323" s="472"/>
      <c r="AB323" s="472"/>
      <c r="AC323" s="472"/>
      <c r="AD323" s="473"/>
      <c r="AE323" s="474"/>
      <c r="AF323" s="474">
        <v>10</v>
      </c>
      <c r="AG323" s="475"/>
      <c r="AH323" s="476">
        <v>1</v>
      </c>
      <c r="AI323" s="477"/>
      <c r="AJ323" s="478"/>
      <c r="AK323" s="479">
        <v>1</v>
      </c>
      <c r="AL323" s="480"/>
      <c r="AM323" s="481" t="s">
        <v>242</v>
      </c>
      <c r="AN323" s="482">
        <f t="shared" ca="1" si="136"/>
        <v>12</v>
      </c>
      <c r="AO323" s="483"/>
      <c r="AP323" s="484">
        <f t="shared" si="171"/>
        <v>4960</v>
      </c>
      <c r="AQ323" s="485"/>
      <c r="AR323" s="486">
        <f t="shared" si="172"/>
        <v>0</v>
      </c>
      <c r="AS323" s="487">
        <f t="shared" si="162"/>
        <v>4960</v>
      </c>
      <c r="AT323" s="487">
        <v>4960</v>
      </c>
      <c r="AU323" s="488">
        <f t="shared" si="173"/>
        <v>0</v>
      </c>
      <c r="AV323" s="18">
        <f>IF(F322="","",(SUM($AS$6:AS323)))</f>
        <v>1791780.2599999977</v>
      </c>
      <c r="AW323" s="489">
        <f>IFERROR(IF(AS323&lt;&gt;"", SUMIFS($AS$10:AS323, $BG$10:BG323, BG323), ""),"")</f>
        <v>161360.5</v>
      </c>
      <c r="AX323" s="490" t="str">
        <f t="shared" ca="1" si="151"/>
        <v>no drilling completed</v>
      </c>
      <c r="AY323" s="491" t="str">
        <f t="shared" ca="1" si="130"/>
        <v>LINK</v>
      </c>
      <c r="AZ323" s="458" t="s">
        <v>1224</v>
      </c>
      <c r="BG323" s="458" t="str">
        <f t="shared" si="135"/>
        <v>2025-11</v>
      </c>
    </row>
    <row r="324" spans="1:59" s="458" customFormat="1">
      <c r="A324" s="510" t="e">
        <f>VLOOKUP(F324,'Tenement Lookup'!A:BH,60,FALSE)</f>
        <v>#N/A</v>
      </c>
      <c r="B324" s="458" t="s">
        <v>1225</v>
      </c>
      <c r="C324" s="459" t="s">
        <v>1223</v>
      </c>
      <c r="D324" s="460">
        <f t="shared" si="161"/>
        <v>45980.21</v>
      </c>
      <c r="E324" s="458" t="s">
        <v>171</v>
      </c>
      <c r="F324" s="502" t="s">
        <v>1222</v>
      </c>
      <c r="G324" s="461"/>
      <c r="H324" s="462" t="s">
        <v>577</v>
      </c>
      <c r="I324" s="462">
        <v>0</v>
      </c>
      <c r="J324" s="463">
        <f t="shared" si="152"/>
        <v>0</v>
      </c>
      <c r="K324" s="464"/>
      <c r="L324" s="465"/>
      <c r="M324" s="466"/>
      <c r="N324" s="467"/>
      <c r="O324" s="468"/>
      <c r="P324" s="469"/>
      <c r="Q324" s="464"/>
      <c r="R324" s="465"/>
      <c r="S324" s="466"/>
      <c r="T324" s="467"/>
      <c r="U324" s="468"/>
      <c r="V324" s="469"/>
      <c r="W324" s="468"/>
      <c r="X324" s="470"/>
      <c r="Y324" s="471">
        <f t="shared" si="174"/>
        <v>0</v>
      </c>
      <c r="Z324" s="472"/>
      <c r="AA324" s="472"/>
      <c r="AB324" s="472"/>
      <c r="AC324" s="472"/>
      <c r="AD324" s="473"/>
      <c r="AE324" s="474"/>
      <c r="AF324" s="474">
        <v>6.5</v>
      </c>
      <c r="AG324" s="475"/>
      <c r="AH324" s="476">
        <v>1</v>
      </c>
      <c r="AI324" s="477"/>
      <c r="AJ324" s="478"/>
      <c r="AK324" s="479">
        <v>4.5</v>
      </c>
      <c r="AL324" s="480"/>
      <c r="AM324" s="481" t="s">
        <v>242</v>
      </c>
      <c r="AN324" s="482">
        <f t="shared" ca="1" si="136"/>
        <v>12</v>
      </c>
      <c r="AO324" s="483"/>
      <c r="AP324" s="484">
        <f t="shared" si="171"/>
        <v>3350</v>
      </c>
      <c r="AQ324" s="485">
        <v>7130.71</v>
      </c>
      <c r="AR324" s="486">
        <f t="shared" si="172"/>
        <v>7130.71</v>
      </c>
      <c r="AS324" s="487">
        <f t="shared" si="162"/>
        <v>10480.709999999999</v>
      </c>
      <c r="AT324" s="487">
        <v>10480.709999999999</v>
      </c>
      <c r="AU324" s="488">
        <f t="shared" si="173"/>
        <v>0</v>
      </c>
      <c r="AV324" s="489">
        <f>IF(F323="","",(SUM($AS$6:AS324)))</f>
        <v>1802260.9699999976</v>
      </c>
      <c r="AW324" s="489">
        <f>IFERROR(IF(AS324&lt;&gt;"", SUMIFS($AS$10:AS324, $BG$10:BG324, BG324), ""),"")</f>
        <v>171841.21</v>
      </c>
      <c r="AX324" s="490" t="str">
        <f t="shared" ca="1" si="151"/>
        <v>no drilling completed</v>
      </c>
      <c r="AY324" s="491" t="str">
        <f t="shared" ca="1" si="130"/>
        <v>LINK</v>
      </c>
      <c r="AZ324" s="458" t="s">
        <v>1229</v>
      </c>
      <c r="BG324" s="458" t="str">
        <f t="shared" si="135"/>
        <v>2025-11</v>
      </c>
    </row>
    <row r="325" spans="1:59" s="140" customFormat="1">
      <c r="A325" s="510" t="e">
        <f>VLOOKUP(F325,'Tenement Lookup'!A:BH,60,FALSE)</f>
        <v>#N/A</v>
      </c>
      <c r="B325" s="140" t="s">
        <v>1228</v>
      </c>
      <c r="C325" s="426"/>
      <c r="D325" s="427"/>
      <c r="F325" s="503"/>
      <c r="G325" s="428"/>
      <c r="H325" s="405"/>
      <c r="I325" s="405"/>
      <c r="J325" s="429"/>
      <c r="K325" s="430"/>
      <c r="L325" s="431"/>
      <c r="M325" s="432"/>
      <c r="N325" s="433"/>
      <c r="O325" s="434"/>
      <c r="P325" s="435"/>
      <c r="Q325" s="430"/>
      <c r="R325" s="431"/>
      <c r="S325" s="432"/>
      <c r="T325" s="433"/>
      <c r="U325" s="434"/>
      <c r="V325" s="435"/>
      <c r="W325" s="434"/>
      <c r="X325" s="436"/>
      <c r="Y325" s="437"/>
      <c r="Z325" s="438"/>
      <c r="AA325" s="438"/>
      <c r="AB325" s="438"/>
      <c r="AC325" s="438"/>
      <c r="AD325" s="439"/>
      <c r="AE325" s="440"/>
      <c r="AF325" s="440"/>
      <c r="AG325" s="441"/>
      <c r="AH325" s="442"/>
      <c r="AI325" s="443"/>
      <c r="AJ325" s="444"/>
      <c r="AK325" s="445"/>
      <c r="AL325" s="446"/>
      <c r="AM325" s="447"/>
      <c r="AN325" s="482">
        <f t="shared" ca="1" si="136"/>
        <v>0</v>
      </c>
      <c r="AO325" s="448"/>
      <c r="AP325" s="449"/>
      <c r="AQ325" s="450"/>
      <c r="AR325" s="451"/>
      <c r="AS325" s="452"/>
      <c r="AT325" s="452"/>
      <c r="AU325" s="453"/>
      <c r="AV325" s="454"/>
      <c r="AW325" s="454"/>
      <c r="AX325" s="455"/>
      <c r="AY325" s="456"/>
      <c r="AZ325" s="457"/>
    </row>
    <row r="326" spans="1:59" s="140" customFormat="1">
      <c r="A326" s="509"/>
      <c r="C326" s="426"/>
      <c r="D326" s="427"/>
      <c r="F326" s="503"/>
      <c r="G326" s="428"/>
      <c r="H326" s="405"/>
      <c r="I326" s="405"/>
      <c r="J326" s="429"/>
      <c r="K326" s="430"/>
      <c r="L326" s="431"/>
      <c r="M326" s="432"/>
      <c r="N326" s="433"/>
      <c r="O326" s="434"/>
      <c r="P326" s="435"/>
      <c r="Q326" s="430"/>
      <c r="R326" s="431"/>
      <c r="S326" s="432"/>
      <c r="T326" s="433"/>
      <c r="U326" s="434"/>
      <c r="V326" s="435"/>
      <c r="W326" s="434"/>
      <c r="X326" s="436"/>
      <c r="Y326" s="437"/>
      <c r="Z326" s="438"/>
      <c r="AA326" s="438"/>
      <c r="AB326" s="438"/>
      <c r="AC326" s="438"/>
      <c r="AD326" s="439"/>
      <c r="AE326" s="440"/>
      <c r="AF326" s="440"/>
      <c r="AG326" s="441"/>
      <c r="AH326" s="442"/>
      <c r="AI326" s="443"/>
      <c r="AJ326" s="444"/>
      <c r="AK326" s="445"/>
      <c r="AL326" s="446"/>
      <c r="AM326" s="447"/>
      <c r="AN326" s="482">
        <f t="shared" ca="1" si="136"/>
        <v>0</v>
      </c>
      <c r="AO326" s="448"/>
      <c r="AP326" s="449"/>
      <c r="AQ326" s="450"/>
      <c r="AR326" s="451"/>
      <c r="AS326" s="452"/>
      <c r="AT326" s="452"/>
      <c r="AU326" s="453"/>
      <c r="AV326" s="454"/>
      <c r="AW326" s="454"/>
      <c r="AX326" s="455"/>
      <c r="AY326" s="456"/>
    </row>
    <row r="327" spans="1:59" s="140" customFormat="1">
      <c r="A327" s="509"/>
      <c r="C327" s="426"/>
      <c r="D327" s="427"/>
      <c r="F327" s="503"/>
      <c r="G327" s="428"/>
      <c r="H327" s="405"/>
      <c r="I327" s="405"/>
      <c r="J327" s="429"/>
      <c r="K327" s="430"/>
      <c r="L327" s="431"/>
      <c r="M327" s="432"/>
      <c r="N327" s="433"/>
      <c r="O327" s="434"/>
      <c r="P327" s="435"/>
      <c r="Q327" s="430"/>
      <c r="R327" s="431"/>
      <c r="S327" s="432"/>
      <c r="T327" s="433"/>
      <c r="U327" s="434"/>
      <c r="V327" s="435"/>
      <c r="W327" s="434"/>
      <c r="X327" s="436"/>
      <c r="Y327" s="437"/>
      <c r="Z327" s="438"/>
      <c r="AA327" s="438"/>
      <c r="AB327" s="438"/>
      <c r="AC327" s="438"/>
      <c r="AD327" s="439"/>
      <c r="AE327" s="440"/>
      <c r="AF327" s="440"/>
      <c r="AG327" s="441"/>
      <c r="AH327" s="442"/>
      <c r="AI327" s="443"/>
      <c r="AJ327" s="444"/>
      <c r="AK327" s="445"/>
      <c r="AL327" s="446"/>
      <c r="AM327" s="447"/>
      <c r="AN327" s="482">
        <f t="shared" ca="1" si="136"/>
        <v>0</v>
      </c>
      <c r="AO327" s="448"/>
      <c r="AP327" s="449"/>
      <c r="AQ327" s="450"/>
      <c r="AR327" s="451"/>
      <c r="AS327" s="452"/>
      <c r="AT327" s="452"/>
      <c r="AU327" s="453"/>
      <c r="AV327" s="454"/>
      <c r="AW327" s="454"/>
      <c r="AX327" s="455"/>
      <c r="AY327" s="456"/>
    </row>
    <row r="328" spans="1:59" s="140" customFormat="1">
      <c r="A328" s="509"/>
      <c r="C328" s="426"/>
      <c r="D328" s="427"/>
      <c r="F328" s="503"/>
      <c r="G328" s="428"/>
      <c r="H328" s="405"/>
      <c r="I328" s="405"/>
      <c r="J328" s="429"/>
      <c r="K328" s="430"/>
      <c r="L328" s="431"/>
      <c r="M328" s="432"/>
      <c r="N328" s="433"/>
      <c r="O328" s="434"/>
      <c r="P328" s="435"/>
      <c r="Q328" s="430"/>
      <c r="R328" s="431"/>
      <c r="S328" s="432"/>
      <c r="T328" s="433"/>
      <c r="U328" s="434"/>
      <c r="V328" s="435"/>
      <c r="W328" s="434"/>
      <c r="X328" s="436"/>
      <c r="Y328" s="437"/>
      <c r="Z328" s="438"/>
      <c r="AA328" s="438"/>
      <c r="AB328" s="438"/>
      <c r="AC328" s="438"/>
      <c r="AD328" s="439"/>
      <c r="AE328" s="440"/>
      <c r="AF328" s="440"/>
      <c r="AG328" s="441"/>
      <c r="AH328" s="442"/>
      <c r="AI328" s="443"/>
      <c r="AJ328" s="444"/>
      <c r="AK328" s="445"/>
      <c r="AL328" s="446"/>
      <c r="AM328" s="447"/>
      <c r="AN328" s="482">
        <f t="shared" ca="1" si="136"/>
        <v>0</v>
      </c>
      <c r="AO328" s="448"/>
      <c r="AP328" s="449"/>
      <c r="AQ328" s="450"/>
      <c r="AR328" s="451"/>
      <c r="AS328" s="452"/>
      <c r="AT328" s="452"/>
      <c r="AU328" s="453"/>
      <c r="AV328" s="454"/>
      <c r="AW328" s="454"/>
      <c r="AX328" s="455"/>
      <c r="AY328" s="456"/>
    </row>
    <row r="329" spans="1:59">
      <c r="C329" s="151"/>
      <c r="D329" s="1"/>
      <c r="H329" s="4"/>
      <c r="I329" s="4"/>
      <c r="J329" s="122"/>
      <c r="K329" s="21"/>
      <c r="L329" s="28"/>
      <c r="M329" s="22"/>
      <c r="N329" s="30"/>
      <c r="O329" s="26"/>
      <c r="P329" s="31"/>
      <c r="Q329" s="21"/>
      <c r="R329" s="28"/>
      <c r="S329" s="22"/>
      <c r="T329" s="30"/>
      <c r="U329" s="26"/>
      <c r="V329" s="31"/>
      <c r="W329" s="26"/>
      <c r="X329" s="36"/>
      <c r="Y329" s="301"/>
      <c r="Z329" s="38"/>
      <c r="AA329" s="38"/>
      <c r="AB329" s="38"/>
      <c r="AC329" s="38"/>
      <c r="AD329" s="157"/>
      <c r="AE329" s="29"/>
      <c r="AF329" s="29"/>
      <c r="AG329" s="40"/>
      <c r="AH329" s="44"/>
      <c r="AI329" s="13"/>
      <c r="AJ329" s="304"/>
      <c r="AK329" s="45"/>
      <c r="AL329" s="23"/>
      <c r="AM329" s="138"/>
      <c r="AN329" s="482">
        <f t="shared" ca="1" si="136"/>
        <v>0</v>
      </c>
      <c r="AO329" s="50"/>
      <c r="AP329" s="53">
        <f t="shared" si="171"/>
        <v>0</v>
      </c>
      <c r="AQ329" s="322"/>
      <c r="AR329" s="324">
        <f t="shared" si="172"/>
        <v>0</v>
      </c>
      <c r="AS329" s="375" t="e">
        <f>IF(#REF!="","",(SUM(Y329,AP329,AR329,AD329,J329)))</f>
        <v>#REF!</v>
      </c>
      <c r="AT329" s="375"/>
      <c r="AU329" s="344" t="str">
        <f t="shared" si="173"/>
        <v/>
      </c>
      <c r="AV329" s="18"/>
      <c r="AW329" s="18" t="str">
        <f>IFERROR(IF(AS329&lt;&gt;"", SUMIFS($AS$10:AS329, $BG$10:BG329, BG329), ""),"")</f>
        <v/>
      </c>
      <c r="AX329" s="123" t="str">
        <f ca="1">IF(AND(D329&gt;TODAY(),ISBLANK(H329)),"",IF(ISBLANK(AE329),"no drilling completed",AS329/(W329)))</f>
        <v>no drilling completed</v>
      </c>
      <c r="AY329" s="124" t="str">
        <f ca="1">IF(D329&lt;TODAY(),HYPERLINK(BF329,"LINK"),"")</f>
        <v>LINK</v>
      </c>
      <c r="AZ329" t="s">
        <v>1226</v>
      </c>
    </row>
    <row r="330" spans="1:59">
      <c r="C330" s="151"/>
      <c r="D330" s="1"/>
      <c r="H330" s="4"/>
      <c r="I330" s="4"/>
      <c r="J330" s="122"/>
      <c r="K330" s="21"/>
      <c r="L330" s="28"/>
      <c r="M330" s="22"/>
      <c r="N330" s="30"/>
      <c r="O330" s="26"/>
      <c r="P330" s="31"/>
      <c r="Q330" s="21"/>
      <c r="R330" s="28"/>
      <c r="S330" s="22"/>
      <c r="T330" s="30"/>
      <c r="U330" s="26"/>
      <c r="V330" s="31"/>
      <c r="W330" s="26"/>
      <c r="X330" s="36"/>
      <c r="Y330" s="301"/>
      <c r="Z330" s="38"/>
      <c r="AA330" s="38"/>
      <c r="AB330" s="38"/>
      <c r="AC330" s="38"/>
      <c r="AD330" s="157"/>
      <c r="AE330" s="29"/>
      <c r="AF330" s="29"/>
      <c r="AG330" s="40"/>
      <c r="AH330" s="44"/>
      <c r="AI330" s="13"/>
      <c r="AJ330" s="304"/>
      <c r="AK330" s="45"/>
      <c r="AL330" s="23"/>
      <c r="AM330" s="138"/>
      <c r="AN330" s="482">
        <f t="shared" ca="1" si="136"/>
        <v>0</v>
      </c>
      <c r="AO330" s="50"/>
      <c r="AP330" s="53">
        <f t="shared" si="171"/>
        <v>0</v>
      </c>
      <c r="AQ330" s="322"/>
      <c r="AR330" s="324">
        <f t="shared" si="172"/>
        <v>0</v>
      </c>
      <c r="AS330" s="375" t="str">
        <f>IF(F329="","",(SUM(Y330,AP330,AR330,AD330,J330)))</f>
        <v/>
      </c>
      <c r="AT330" s="375"/>
      <c r="AU330" s="344" t="str">
        <f t="shared" si="173"/>
        <v/>
      </c>
      <c r="AV330" s="18" t="str">
        <f>IF(F329="","",(SUM($AS$6:AS330)))</f>
        <v/>
      </c>
      <c r="AW330" s="18"/>
      <c r="AX330" s="123"/>
      <c r="AY330" s="124"/>
    </row>
    <row r="331" spans="1:59">
      <c r="C331" s="151"/>
      <c r="D331" s="1"/>
      <c r="H331" s="4"/>
      <c r="I331" s="4"/>
      <c r="J331" s="122"/>
      <c r="K331" s="21"/>
      <c r="L331" s="28"/>
      <c r="M331" s="22"/>
      <c r="N331" s="30"/>
      <c r="O331" s="26"/>
      <c r="P331" s="31"/>
      <c r="Q331" s="21"/>
      <c r="R331" s="28"/>
      <c r="S331" s="22"/>
      <c r="T331" s="30"/>
      <c r="U331" s="26"/>
      <c r="V331" s="31"/>
      <c r="W331" s="26"/>
      <c r="X331" s="36"/>
      <c r="Y331" s="301"/>
      <c r="Z331" s="38"/>
      <c r="AA331" s="38"/>
      <c r="AB331" s="38"/>
      <c r="AC331" s="38"/>
      <c r="AD331" s="157"/>
      <c r="AE331" s="29"/>
      <c r="AF331" s="29"/>
      <c r="AG331" s="40"/>
      <c r="AH331" s="44"/>
      <c r="AI331" s="13"/>
      <c r="AJ331" s="304"/>
      <c r="AK331" s="45"/>
      <c r="AL331" s="23"/>
      <c r="AM331" s="138"/>
      <c r="AN331" s="25">
        <f ca="1">IF(D331&gt;TODAY(),"",SUM(AE331:AF331,AH331:AL331))</f>
        <v>0</v>
      </c>
      <c r="AO331" s="50"/>
      <c r="AP331" s="53">
        <f t="shared" si="171"/>
        <v>0</v>
      </c>
      <c r="AQ331" s="322"/>
      <c r="AR331" s="324">
        <f t="shared" si="172"/>
        <v>0</v>
      </c>
      <c r="AS331" s="375" t="str">
        <f>IF(F330="","",(SUM(Y331,AP331,AR331,AD331,J331)))</f>
        <v/>
      </c>
      <c r="AT331" s="375"/>
      <c r="AU331" s="344" t="str">
        <f t="shared" si="173"/>
        <v/>
      </c>
      <c r="AV331" s="18" t="str">
        <f>IF(F330="","",(SUM($AS$6:AS331)))</f>
        <v/>
      </c>
      <c r="AW331" s="18"/>
      <c r="AX331" s="123"/>
      <c r="AY331" s="124"/>
    </row>
    <row r="332" spans="1:59">
      <c r="C332" s="151"/>
      <c r="D332" s="1"/>
      <c r="H332" s="4"/>
      <c r="I332" s="4"/>
      <c r="J332" s="122"/>
      <c r="K332" s="21"/>
      <c r="L332" s="28"/>
      <c r="M332" s="22"/>
      <c r="N332" s="30"/>
      <c r="O332" s="26"/>
      <c r="P332" s="31"/>
      <c r="Q332" s="21"/>
      <c r="R332" s="28"/>
      <c r="S332" s="22"/>
      <c r="T332" s="30"/>
      <c r="U332" s="26"/>
      <c r="V332" s="31"/>
      <c r="W332" s="26"/>
      <c r="X332" s="36"/>
      <c r="Y332" s="301"/>
      <c r="Z332" s="38"/>
      <c r="AA332" s="38"/>
      <c r="AB332" s="38"/>
      <c r="AC332" s="38"/>
      <c r="AD332" s="157"/>
      <c r="AE332" s="29"/>
      <c r="AF332" s="29"/>
      <c r="AG332" s="40"/>
      <c r="AH332" s="44"/>
      <c r="AI332" s="13"/>
      <c r="AJ332" s="304"/>
      <c r="AK332" s="45"/>
      <c r="AL332" s="23"/>
      <c r="AM332" s="138"/>
      <c r="AN332" s="25">
        <f ca="1">IF(D332&gt;TODAY(),"",SUM(AE332:AF332,AH332:AL332))</f>
        <v>0</v>
      </c>
      <c r="AO332" s="50"/>
      <c r="AP332" s="53">
        <f t="shared" si="171"/>
        <v>0</v>
      </c>
      <c r="AQ332" s="322"/>
      <c r="AR332" s="324">
        <f t="shared" si="172"/>
        <v>0</v>
      </c>
      <c r="AS332" s="375" t="str">
        <f>IF(F331="","",(SUM(Y332,AP332,AR332,AD332,J332)))</f>
        <v/>
      </c>
      <c r="AT332" s="375"/>
      <c r="AU332" s="344" t="str">
        <f t="shared" si="173"/>
        <v/>
      </c>
      <c r="AV332" s="18" t="str">
        <f>IF(F331="","",(SUM($AS$6:AS332)))</f>
        <v/>
      </c>
      <c r="AW332" s="18"/>
      <c r="AX332" s="123"/>
      <c r="AY332" s="124"/>
    </row>
    <row r="333" spans="1:59">
      <c r="C333" s="151"/>
      <c r="D333" s="1"/>
      <c r="H333" s="4"/>
      <c r="I333" s="4"/>
      <c r="J333" s="122"/>
      <c r="K333" s="21"/>
      <c r="L333" s="28"/>
      <c r="M333" s="22"/>
      <c r="N333" s="30"/>
      <c r="O333" s="26"/>
      <c r="P333" s="31"/>
      <c r="Q333" s="21"/>
      <c r="R333" s="28"/>
      <c r="S333" s="22"/>
      <c r="T333" s="30"/>
      <c r="U333" s="26"/>
      <c r="V333" s="31"/>
      <c r="W333" s="26"/>
      <c r="X333" s="36"/>
      <c r="Y333" s="301"/>
      <c r="Z333" s="38"/>
      <c r="AA333" s="38"/>
      <c r="AB333" s="38"/>
      <c r="AC333" s="38"/>
      <c r="AD333" s="157"/>
      <c r="AE333" s="29"/>
      <c r="AF333" s="29"/>
      <c r="AG333" s="40"/>
      <c r="AH333" s="44"/>
      <c r="AI333" s="13"/>
      <c r="AJ333" s="304"/>
      <c r="AK333" s="45"/>
      <c r="AL333" s="23"/>
      <c r="AM333" s="138"/>
      <c r="AN333" s="25">
        <f ca="1">IF(D333&gt;TODAY(),"",SUM(AE333:AF333,AH333:AL333))</f>
        <v>0</v>
      </c>
      <c r="AO333" s="50"/>
      <c r="AP333" s="53">
        <f t="shared" si="171"/>
        <v>0</v>
      </c>
      <c r="AQ333" s="322"/>
      <c r="AR333" s="324"/>
      <c r="AS333" s="375" t="str">
        <f>IF(F332="","",(SUM(Y333,AP333,AR333,AD333,J333)))</f>
        <v/>
      </c>
      <c r="AT333" s="375"/>
      <c r="AU333" s="344" t="str">
        <f t="shared" si="173"/>
        <v/>
      </c>
      <c r="AV333" s="18"/>
      <c r="AW333" s="18"/>
      <c r="AX333" s="123"/>
      <c r="AY333" s="124"/>
    </row>
    <row r="334" spans="1:59">
      <c r="AT334" s="375"/>
    </row>
    <row r="335" spans="1:59">
      <c r="AT335" s="375"/>
    </row>
    <row r="336" spans="1:59">
      <c r="AT336" s="375"/>
    </row>
    <row r="337" spans="46:46">
      <c r="AT337" s="375"/>
    </row>
    <row r="338" spans="46:46">
      <c r="AT338" s="375"/>
    </row>
    <row r="339" spans="46:46">
      <c r="AT339" s="375"/>
    </row>
    <row r="340" spans="46:46">
      <c r="AT340" s="375"/>
    </row>
    <row r="341" spans="46:46">
      <c r="AT341" s="375"/>
    </row>
    <row r="342" spans="46:46">
      <c r="AT342" s="375"/>
    </row>
    <row r="343" spans="46:46">
      <c r="AT343" s="375"/>
    </row>
    <row r="344" spans="46:46">
      <c r="AT344" s="375"/>
    </row>
    <row r="345" spans="46:46">
      <c r="AT345" s="375"/>
    </row>
    <row r="346" spans="46:46">
      <c r="AT346" s="375"/>
    </row>
    <row r="347" spans="46:46">
      <c r="AT347" s="375"/>
    </row>
    <row r="348" spans="46:46">
      <c r="AT348" s="375"/>
    </row>
    <row r="349" spans="46:46">
      <c r="AT349" s="375"/>
    </row>
    <row r="350" spans="46:46">
      <c r="AT350" s="375"/>
    </row>
    <row r="351" spans="46:46">
      <c r="AT351" s="375"/>
    </row>
    <row r="352" spans="46:46">
      <c r="AT352" s="375"/>
    </row>
    <row r="353" spans="46:46">
      <c r="AT353" s="375"/>
    </row>
    <row r="354" spans="46:46">
      <c r="AT354" s="375"/>
    </row>
    <row r="355" spans="46:46">
      <c r="AT355" s="375"/>
    </row>
    <row r="356" spans="46:46">
      <c r="AT356" s="375"/>
    </row>
  </sheetData>
  <autoFilter ref="C2:CM325" xr:uid="{92DE012A-5E69-4BE6-BFEE-971D4AF5D428}"/>
  <phoneticPr fontId="3" type="noConversion"/>
  <conditionalFormatting sqref="A334:XFD1048393">
    <cfRule type="expression" dxfId="75" priority="51">
      <formula>$C524=TODAY()-1</formula>
    </cfRule>
  </conditionalFormatting>
  <conditionalFormatting sqref="A1048394:XFD1048576">
    <cfRule type="expression" dxfId="74" priority="480">
      <formula>$D1=TODAY()-1</formula>
    </cfRule>
  </conditionalFormatting>
  <conditionalFormatting sqref="B6:XFD95 AS329:AT333 A4:XFD5 A1:XFD2 A3:AW3 AZ3:XFD3 A6:A325 G329:G333 AZ329:XFD333">
    <cfRule type="expression" dxfId="73" priority="1198">
      <formula>$D191=TODAY()-1</formula>
    </cfRule>
  </conditionalFormatting>
  <conditionalFormatting sqref="B96:XFD126 AD329:AS333 B329:E333 AU329:AY333 AT329:AT356">
    <cfRule type="expression" dxfId="72" priority="445">
      <formula>$D296=TODAY()-1</formula>
    </cfRule>
  </conditionalFormatting>
  <conditionalFormatting sqref="B127:XFD127 B129:XFD129 B131:XFD131">
    <cfRule type="expression" dxfId="71" priority="555">
      <formula>#REF!=TODAY()-1</formula>
    </cfRule>
  </conditionalFormatting>
  <conditionalFormatting sqref="B128:XFD128 B328:E328">
    <cfRule type="expression" dxfId="70" priority="700">
      <formula>$D327=TODAY()-1</formula>
    </cfRule>
  </conditionalFormatting>
  <conditionalFormatting sqref="D327:F327">
    <cfRule type="expression" dxfId="69" priority="851">
      <formula>$D519=TODAY()-1</formula>
    </cfRule>
  </conditionalFormatting>
  <conditionalFormatting sqref="D328:F328">
    <cfRule type="expression" dxfId="68" priority="982">
      <formula>$D521=TODAY()-1</formula>
    </cfRule>
  </conditionalFormatting>
  <conditionalFormatting sqref="D290:G292 BH290:XFD292 F292:F299 D329:F333">
    <cfRule type="expression" dxfId="67" priority="552">
      <formula>$D484=TODAY()-1</formula>
    </cfRule>
  </conditionalFormatting>
  <conditionalFormatting sqref="H327:AC333">
    <cfRule type="expression" dxfId="66" priority="16">
      <formula>$C327=TODAY()</formula>
    </cfRule>
  </conditionalFormatting>
  <conditionalFormatting sqref="H329:AC333">
    <cfRule type="expression" dxfId="65" priority="17">
      <formula>$D529=TODAY()-1</formula>
    </cfRule>
  </conditionalFormatting>
  <conditionalFormatting sqref="H132:AV175 H176:AY177 H178:XFD199 H200:AY200 H201:XFD201 H202:AY202 H203:XFD205 H206:AY206 H207:XFD245 H246:AY246 H247:XFD247 H248:AY248 H249:XFD251 H252:AU308 AD309:AN326 AN325:AN330 AW132:XFD167 B132:G289 AW168:AY168 BA168:XFD168 AW169:XFD170 AW171:AY172 BA171:XFD172 AW173:XFD175 BA176:XFD177 AC176:AC178 BA200:XFD200 BA202:XFD202 BA206:XFD206 BA246:XFD246 BA248:XFD248 AW252:XFD268 AV252:AV323 AW269:AY269 BA269:XFD269 AW270:XFD271 AW272:AY273 BA272:XFD273 AW274:XFD274 AW275:BF284 BH275:XFD289 AW275:AW301 BG275:BG325 AW285:AY285 BA285:BF285 AW286:BF295 D286:D305 E287:E309 F290:F299 AW296:AY323 D306:E326 AZ307 H309:AC309 AO309:AU309 AP310:AU313 H310:L314 M310:X323 Y310:AC326 AO310:AO326 AS313:AT317 AU314:AU323 AP314:AR326 H315:I316 J315:L317 I317 H317:H326 AS317:AS328 I318:L323 I324:X326 AU324:AY326 AW326:AW328 AJ327:AJ328 AV327:AV328 B290:C326 AT318:AT326">
    <cfRule type="expression" dxfId="64" priority="447">
      <formula>$D329=TODAY()-1</formula>
    </cfRule>
  </conditionalFormatting>
  <conditionalFormatting sqref="H327:AY327 B130:XFD130 B327:E327 H328">
    <cfRule type="expression" dxfId="63" priority="828">
      <formula>$D328=TODAY()-1</formula>
    </cfRule>
  </conditionalFormatting>
  <conditionalFormatting sqref="I328:AY328">
    <cfRule type="expression" dxfId="62" priority="643">
      <formula>$D527=TODAY()-1</formula>
    </cfRule>
  </conditionalFormatting>
  <conditionalFormatting sqref="N4">
    <cfRule type="expression" dxfId="61" priority="55">
      <formula>$C4=TODAY()</formula>
    </cfRule>
  </conditionalFormatting>
  <conditionalFormatting sqref="AC40:AC41 AJ41">
    <cfRule type="expression" dxfId="60" priority="76">
      <formula>$C39=TODAY()</formula>
    </cfRule>
  </conditionalFormatting>
  <conditionalFormatting sqref="AE16">
    <cfRule type="cellIs" dxfId="59" priority="74" operator="equal">
      <formula>AN16=12</formula>
    </cfRule>
    <cfRule type="cellIs" dxfId="58" priority="73" operator="equal">
      <formula>AN16&lt;12</formula>
    </cfRule>
    <cfRule type="cellIs" dxfId="57" priority="72" operator="equal">
      <formula>AN16&gt;12</formula>
    </cfRule>
    <cfRule type="expression" dxfId="56" priority="71">
      <formula>ISBLANK(AE16)</formula>
    </cfRule>
  </conditionalFormatting>
  <conditionalFormatting sqref="AN6:AN333">
    <cfRule type="expression" dxfId="55" priority="61" stopIfTrue="1">
      <formula>ISBLANK(AN6)</formula>
    </cfRule>
    <cfRule type="cellIs" dxfId="54" priority="62" operator="equal">
      <formula>AN6&gt;12</formula>
    </cfRule>
    <cfRule type="cellIs" dxfId="53" priority="65" operator="equal">
      <formula>AN6=12</formula>
    </cfRule>
  </conditionalFormatting>
  <conditionalFormatting sqref="AS2:AT3 AS5:AT1048576">
    <cfRule type="expression" dxfId="52" priority="52">
      <formula>$AS2&lt;&gt;$AT2</formula>
    </cfRule>
  </conditionalFormatting>
  <conditionalFormatting sqref="AS327:AT327 G327 AZ327:XFD327">
    <cfRule type="expression" dxfId="51" priority="799">
      <formula>$D515=TODAY()-1</formula>
    </cfRule>
  </conditionalFormatting>
  <conditionalFormatting sqref="AS328:AT328 G328 AZ328:XFD328">
    <cfRule type="expression" dxfId="50" priority="951">
      <formula>$D517=TODAY()-1</formula>
    </cfRule>
  </conditionalFormatting>
  <conditionalFormatting sqref="AT318:AT327">
    <cfRule type="expression" dxfId="49" priority="827">
      <formula>$C318=TODAY()</formula>
    </cfRule>
  </conditionalFormatting>
  <conditionalFormatting sqref="AT328:AT356 BH275:AAH296 AZ296:BF296 AS313:AT317 AS317:AS333 H6:AL6 AO6:AU6 AW6:AAH6 AW6:AW38 AN6:AN99 D6:G101 AV6:AV175 AM6:AM333 H7:AC7 AO7:AR37 AW7:BB37 AE7:AL39 AD7:AD113 AS7:AU175 BC7:AAH234 H8:Y32 Z8:AC113 AR16:AR301 W33:Y38 H33:V49 AW38:AY39 BA38:BB39 AO38:AQ96 W39:W49 X39:Y110 AJ40 AE40:AI41 AK40:AL41 AW40:BB49 AE42:AL305 AX43:AX155 AW50:AY53 BA50:BB53 H50:W305 AW54:BB55 AW56:AY57 BA56:BB57 AW58:BB96 AO97:AP97 AW97:AY97 BA97:BB97 AQ97:AQ102 AN98:AP102 D102:E103 G103 AN103:AQ308 AW104:AY105 BA104:BB105 D104:G305 AW106:BB113 X111:Z305 AW114:AY114 BA114:BB114 AA114:AD305 AW115:BB116 AW117:AY117 BA117:BB117 AW118:BB145 AW146:AY147 BA146:BB147 AW148:BB150 AW151:AY151 BA151:BB151 AW152:BB153 AW154:AY154 BA154:BB154 AW155:BB167 AW168:AY168 BA168:BB168 AW169:BB170 AW171:AY172 BA171:BB172 AW173:BB175 AW176:AY177 BA176:BB177 AS176:AV251 AW178:BB199 AW200:AY200 BA200:BB200 AW201:BB201 AW202:AY202 BA202:BB202 AW203:BB205 AW206:AY206 BA206:BB206 AW207:BB233 AY234:BB234 AW234:AX236 AY235:AAH236 BA235:BG248 AW237:AAH245 AW246:AY246 BA246:AAH246 AW247:AAH247 AW248:AY248 BA248:AAH248 AW249:AAH268 AS252:AU301 AV252:AV323 AW269:AY269 BA269:AAH269 AW270:AAH271 AW272:AY273 BA272:AAH273 AW274:AAH274 AW275:BF284 AW275:AW301 BG275:BG325 AW285:AY285 BA285:BF285 AW286:BF295 E296:E309 AW296:AY323 AR302:AU309 F305:F309 D306:AL308 AZ307 D309:AC309 AO309:AQ309 J309:J310 AD309:AL333 AN309:AN333 G310:L310 AP310:AU313 M310:X323 Y310:AC326 D310:F333 AO310:AO333 H311:L314 AU314:AU323 AP314:AR333 H315:I316 J315:L317 I317 H317:H326 I318:L323 I324:X326 AU324:AY333">
    <cfRule type="expression" dxfId="48" priority="58">
      <formula>$C6=TODAY()</formula>
    </cfRule>
  </conditionalFormatting>
  <conditionalFormatting sqref="AW6:AW333">
    <cfRule type="expression" dxfId="47" priority="70">
      <formula>TEXT(D6,"yyyy-mm")&lt;&gt;TEXT(D7,"yyyy-mm")</formula>
    </cfRule>
  </conditionalFormatting>
  <conditionalFormatting sqref="AW98:BB103">
    <cfRule type="expression" dxfId="46" priority="56">
      <formula>$C98=TODAY()</formula>
    </cfRule>
  </conditionalFormatting>
  <conditionalFormatting sqref="AZ38">
    <cfRule type="expression" dxfId="45" priority="57">
      <formula>$C38=TODAY()</formula>
    </cfRule>
  </conditionalFormatting>
  <conditionalFormatting sqref="AZ56 AZ272">
    <cfRule type="expression" dxfId="44" priority="82">
      <formula>$C57=TODAY()</formula>
    </cfRule>
  </conditionalFormatting>
  <conditionalFormatting sqref="AZ99">
    <cfRule type="expression" dxfId="43" priority="53">
      <formula>$D15=TODAY()-1</formula>
    </cfRule>
  </conditionalFormatting>
  <conditionalFormatting sqref="AZ272">
    <cfRule type="expression" dxfId="42" priority="852">
      <formula>$D470=TODAY()-1</formula>
    </cfRule>
  </conditionalFormatting>
  <conditionalFormatting sqref="AZ297">
    <cfRule type="expression" dxfId="41" priority="990">
      <formula>$C297=TODAY()</formula>
    </cfRule>
    <cfRule type="expression" dxfId="40" priority="991">
      <formula>$D494=TODAY()-1</formula>
    </cfRule>
  </conditionalFormatting>
  <conditionalFormatting sqref="AZ296:BF296 BH296:XFD325 BA297:BF297 AZ298:BF306 BA307:BF308 AZ308 AZ309:BF324 G311:G326 AS314:AT326 BA325:BF325 AZ326:XFD326 AS327:AS328">
    <cfRule type="expression" dxfId="39" priority="46">
      <formula>$D483=TODAY()-1</formula>
    </cfRule>
  </conditionalFormatting>
  <conditionalFormatting sqref="BH293:XFD295 D293:G309 G310 D310:F326">
    <cfRule type="expression" dxfId="38" priority="516">
      <formula>$D484=TODAY()-1</formula>
    </cfRule>
  </conditionalFormatting>
  <hyperlinks>
    <hyperlink ref="C2" r:id="rId1" display="https://www.coreplan.io/app/ddh1-drilling/speewah-mining-speewah-fluorite-project-wa/plods/1665-" xr:uid="{E0965753-F63C-4CF0-8ED6-9C9F894E6D3C}"/>
  </hyperlinks>
  <pageMargins left="0.7" right="0.7" top="0.75" bottom="0.75" header="0.3" footer="0.3"/>
  <pageSetup paperSize="9" orientation="portrait" horizontalDpi="4294967293"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FDE18-DBE4-4A38-84E6-6370C1F43324}">
  <sheetPr codeName="Sheet8">
    <tabColor theme="8" tint="0.79998168889431442"/>
  </sheetPr>
  <dimension ref="A1:BT486"/>
  <sheetViews>
    <sheetView tabSelected="1" workbookViewId="0">
      <pane xSplit="4" ySplit="5" topLeftCell="U6" activePane="bottomRight" state="frozen"/>
      <selection pane="topRight" activeCell="A120" sqref="A120"/>
      <selection pane="bottomLeft" activeCell="A120" sqref="A120"/>
      <selection pane="bottomRight" activeCell="L4" sqref="L4:Q4"/>
    </sheetView>
  </sheetViews>
  <sheetFormatPr defaultColWidth="11" defaultRowHeight="15"/>
  <cols>
    <col min="3" max="3" width="12.7109375" style="59" bestFit="1" customWidth="1"/>
    <col min="4" max="4" width="12.28515625" style="59" customWidth="1"/>
    <col min="5" max="6" width="16.42578125" style="28" customWidth="1"/>
    <col min="7" max="7" width="14.7109375" style="28" customWidth="1"/>
    <col min="8" max="8" width="16.28515625" style="28" customWidth="1"/>
    <col min="9" max="9" width="14.28515625" style="266" bestFit="1" customWidth="1"/>
    <col min="10" max="10" width="11" style="266"/>
    <col min="11" max="11" width="13.85546875" style="59" bestFit="1" customWidth="1"/>
    <col min="12" max="12" width="11" style="7"/>
    <col min="13" max="13" width="11" style="267"/>
    <col min="15" max="15" width="11" style="267"/>
    <col min="16" max="16" width="11" style="4"/>
    <col min="17" max="17" width="11" style="267"/>
    <col min="18" max="18" width="11" style="8"/>
    <col min="21" max="21" width="14.85546875" style="59" bestFit="1" customWidth="1"/>
    <col min="22" max="22" width="13.42578125" style="270" bestFit="1" customWidth="1"/>
    <col min="23" max="23" width="11" style="270"/>
    <col min="24" max="25" width="11" style="4"/>
    <col min="26" max="26" width="11" style="292"/>
    <col min="27" max="27" width="11" style="271"/>
    <col min="28" max="28" width="12.5703125" style="271" customWidth="1"/>
    <col min="29" max="30" width="18.7109375" style="271" customWidth="1"/>
    <col min="31" max="31" width="18.7109375" style="293" customWidth="1"/>
    <col min="32" max="32" width="20.140625" style="16" bestFit="1" customWidth="1"/>
    <col min="33" max="33" width="76.140625" bestFit="1" customWidth="1"/>
    <col min="34" max="34" width="16.85546875" style="308" bestFit="1" customWidth="1"/>
    <col min="35" max="35" width="27.5703125" style="254" bestFit="1" customWidth="1"/>
    <col min="36" max="36" width="21.7109375" style="308" bestFit="1" customWidth="1"/>
    <col min="37" max="37" width="34.5703125" style="43" bestFit="1" customWidth="1"/>
    <col min="38" max="39" width="31.5703125" style="309" bestFit="1" customWidth="1"/>
    <col min="40" max="40" width="31.5703125" style="294" customWidth="1"/>
    <col min="42" max="42" width="11" style="361"/>
    <col min="43" max="43" width="15.7109375" bestFit="1" customWidth="1"/>
    <col min="44" max="44" width="21.7109375" bestFit="1" customWidth="1"/>
    <col min="45" max="45" width="28.140625" customWidth="1"/>
    <col min="46" max="46" width="29.42578125" bestFit="1" customWidth="1"/>
    <col min="48" max="48" width="223" bestFit="1" customWidth="1"/>
    <col min="49" max="49" width="94.28515625" customWidth="1"/>
    <col min="50" max="51" width="11" customWidth="1"/>
    <col min="52" max="52" width="11" style="98" customWidth="1"/>
    <col min="53" max="56" width="11" customWidth="1"/>
  </cols>
  <sheetData>
    <row r="1" spans="1:72" ht="15.75" thickBot="1">
      <c r="E1" s="516"/>
      <c r="F1" s="516"/>
      <c r="G1" s="516"/>
      <c r="J1" s="378" t="s">
        <v>192</v>
      </c>
      <c r="K1" s="379" cm="1">
        <f t="array" ref="K1">SUM(IFERROR(K5:K499,""))</f>
        <v>35758</v>
      </c>
      <c r="U1" s="378" cm="1">
        <f t="array" ref="U1">SUM(IFERROR(U5:U499,""))</f>
        <v>632806.75</v>
      </c>
      <c r="V1" s="379"/>
      <c r="AF1"/>
      <c r="AH1" s="378" cm="1">
        <f t="array" ref="AH1">SUM(IFERROR(AH5:AH499,""))</f>
        <v>44030</v>
      </c>
      <c r="AI1" s="379" cm="1">
        <f t="array" ref="AI1">SUM(IFERROR(AI5:AI499,""))</f>
        <v>87230</v>
      </c>
      <c r="AJ1" s="378" cm="1">
        <f t="array" ref="AJ1">SUM(IFERROR(AJ5:AJ499,""))</f>
        <v>205591</v>
      </c>
      <c r="AK1" s="379"/>
      <c r="AL1" s="379" cm="1">
        <f t="array" ref="AL1">SUM(IFERROR(AL5:AL499,""))</f>
        <v>212295.46000000005</v>
      </c>
      <c r="AM1" s="379" cm="1">
        <f t="array" aca="1" ref="AM1" ca="1">SUM(IFERROR(AM5:AM499,""))</f>
        <v>1217660.2100000002</v>
      </c>
      <c r="AN1" s="380"/>
      <c r="AQ1" s="18">
        <f ca="1">MAX(AQ6:AQ1048576)/SUM(R$6:R$1048576)</f>
        <v>86.405918961112704</v>
      </c>
      <c r="AS1" s="89" t="s">
        <v>634</v>
      </c>
    </row>
    <row r="2" spans="1:72" s="89" customFormat="1" ht="15.75" thickBot="1">
      <c r="C2" s="279" t="s">
        <v>635</v>
      </c>
      <c r="E2" s="517" t="s">
        <v>191</v>
      </c>
      <c r="F2" s="518"/>
      <c r="G2" s="518"/>
      <c r="H2" s="382" cm="1">
        <f t="array" ref="H2">SUM(--(_xlfn.UNIQUE(_xlfn._xlws.FILTER(_xlfn.VSTACK(E5:E149,F5:F149, G5:G149,H5:H149), ISTEXT(_xlfn.VSTACK(E5:E149,F5:F149, G5:G149,H5:H149))))&lt;&gt;""))</f>
        <v>115</v>
      </c>
      <c r="K2" s="280" t="s">
        <v>636</v>
      </c>
      <c r="L2" s="279"/>
      <c r="R2" s="315"/>
      <c r="T2" s="281"/>
      <c r="Z2" s="279"/>
      <c r="AE2" s="287"/>
      <c r="AH2" s="305"/>
      <c r="AI2" s="305"/>
      <c r="AJ2" s="305"/>
      <c r="AK2" s="305"/>
      <c r="AL2" s="305"/>
      <c r="AM2" s="305"/>
      <c r="AP2" s="358"/>
      <c r="AR2" s="89" t="s">
        <v>14</v>
      </c>
      <c r="AS2" s="275">
        <f ca="1">AVERAGEIF(C$6:C$1048576,"EXT",AS5:AS155)</f>
        <v>78.226679016063201</v>
      </c>
      <c r="AZ2" s="282"/>
    </row>
    <row r="3" spans="1:72" s="27" customFormat="1">
      <c r="C3" s="32"/>
      <c r="E3" s="27" t="s">
        <v>118</v>
      </c>
      <c r="F3" s="27" t="s">
        <v>119</v>
      </c>
      <c r="G3" s="27" t="s">
        <v>637</v>
      </c>
      <c r="H3" s="27" t="s">
        <v>638</v>
      </c>
      <c r="K3" s="276">
        <v>130</v>
      </c>
      <c r="L3" s="316">
        <v>40</v>
      </c>
      <c r="M3" s="277">
        <v>45</v>
      </c>
      <c r="N3" s="277">
        <v>50</v>
      </c>
      <c r="O3" s="277">
        <v>55</v>
      </c>
      <c r="P3" s="277">
        <v>60</v>
      </c>
      <c r="Q3" s="277">
        <v>65</v>
      </c>
      <c r="R3" s="33">
        <f>AVERAGE(R8:R83)</f>
        <v>185.42105263157896</v>
      </c>
      <c r="T3" s="278">
        <v>575</v>
      </c>
      <c r="U3" s="278"/>
      <c r="V3" s="278">
        <v>110</v>
      </c>
      <c r="W3" s="278">
        <v>110</v>
      </c>
      <c r="X3" s="278">
        <v>175</v>
      </c>
      <c r="Y3" s="278">
        <v>420</v>
      </c>
      <c r="Z3" s="288">
        <v>575</v>
      </c>
      <c r="AA3" s="278">
        <v>575</v>
      </c>
      <c r="AB3" s="278">
        <v>360</v>
      </c>
      <c r="AC3" s="278">
        <v>360</v>
      </c>
      <c r="AD3" s="278">
        <v>0</v>
      </c>
      <c r="AE3" s="289"/>
      <c r="AF3" s="278"/>
      <c r="AG3" s="278"/>
      <c r="AH3" s="311"/>
      <c r="AI3" s="311"/>
      <c r="AJ3" s="306"/>
      <c r="AK3" s="306"/>
      <c r="AL3" s="306"/>
      <c r="AM3" s="515">
        <f ca="1">AVERAGE(AM6:AM86)</f>
        <v>15032.496419753088</v>
      </c>
      <c r="AP3" s="359"/>
      <c r="AR3" s="27" t="s">
        <v>12</v>
      </c>
      <c r="AS3" s="275">
        <f ca="1">AVERAGEIF(C$6:C$1048576,"INF",AS6:AS156)</f>
        <v>84.575341907966148</v>
      </c>
      <c r="AZ3" s="274"/>
    </row>
    <row r="4" spans="1:72" s="284" customFormat="1" ht="45.75" thickBot="1">
      <c r="B4" s="284" t="s">
        <v>198</v>
      </c>
      <c r="C4" s="283" t="s">
        <v>639</v>
      </c>
      <c r="D4" s="284" t="s">
        <v>125</v>
      </c>
      <c r="E4" s="284" t="s">
        <v>127</v>
      </c>
      <c r="F4" s="284" t="s">
        <v>127</v>
      </c>
      <c r="G4" s="284" t="s">
        <v>127</v>
      </c>
      <c r="H4" s="284" t="s">
        <v>127</v>
      </c>
      <c r="I4" s="284" t="s">
        <v>199</v>
      </c>
      <c r="J4" s="285" t="s">
        <v>129</v>
      </c>
      <c r="K4" s="284" t="s">
        <v>130</v>
      </c>
      <c r="L4" s="283" t="s">
        <v>640</v>
      </c>
      <c r="M4" s="284" t="s">
        <v>641</v>
      </c>
      <c r="N4" s="284" t="s">
        <v>642</v>
      </c>
      <c r="O4" s="284" t="s">
        <v>643</v>
      </c>
      <c r="P4" s="284" t="s">
        <v>644</v>
      </c>
      <c r="Q4" s="284" t="s">
        <v>645</v>
      </c>
      <c r="R4" s="317" t="s">
        <v>646</v>
      </c>
      <c r="S4" s="284" t="s">
        <v>146</v>
      </c>
      <c r="T4" s="284" t="s">
        <v>153</v>
      </c>
      <c r="U4" s="285" t="s">
        <v>147</v>
      </c>
      <c r="V4" s="284" t="s">
        <v>647</v>
      </c>
      <c r="W4" s="285" t="s">
        <v>648</v>
      </c>
      <c r="X4" s="285" t="s">
        <v>649</v>
      </c>
      <c r="Y4" s="285" t="s">
        <v>650</v>
      </c>
      <c r="Z4" s="290" t="s">
        <v>153</v>
      </c>
      <c r="AA4" s="285" t="s">
        <v>651</v>
      </c>
      <c r="AB4" s="284" t="s">
        <v>652</v>
      </c>
      <c r="AC4" s="284" t="s">
        <v>157</v>
      </c>
      <c r="AD4" s="284" t="s">
        <v>653</v>
      </c>
      <c r="AE4" s="291" t="s">
        <v>160</v>
      </c>
      <c r="AF4" s="284" t="s">
        <v>654</v>
      </c>
      <c r="AG4" s="284" t="s">
        <v>655</v>
      </c>
      <c r="AH4" s="307" t="s">
        <v>656</v>
      </c>
      <c r="AI4" s="307" t="s">
        <v>657</v>
      </c>
      <c r="AJ4" s="307" t="s">
        <v>658</v>
      </c>
      <c r="AK4" s="307" t="s">
        <v>163</v>
      </c>
      <c r="AL4" s="307" t="s">
        <v>327</v>
      </c>
      <c r="AM4" s="307" t="s">
        <v>165</v>
      </c>
      <c r="AN4" s="284" t="s">
        <v>659</v>
      </c>
      <c r="AP4" s="360">
        <f ca="1">AVERAGE(AP6:AP262)</f>
        <v>0.28758151675445803</v>
      </c>
      <c r="AQ4" s="284" t="s">
        <v>167</v>
      </c>
      <c r="AR4" s="284" t="s">
        <v>204</v>
      </c>
      <c r="AS4" s="284" t="s">
        <v>329</v>
      </c>
      <c r="AT4" s="284" t="s">
        <v>660</v>
      </c>
      <c r="AU4" s="284" t="s">
        <v>206</v>
      </c>
      <c r="AV4" s="284" t="s">
        <v>202</v>
      </c>
      <c r="AZ4" s="286"/>
    </row>
    <row r="5" spans="1:72" s="68" customFormat="1">
      <c r="C5" s="68" t="s">
        <v>10</v>
      </c>
      <c r="D5" s="68">
        <v>1</v>
      </c>
      <c r="E5" s="68">
        <v>2</v>
      </c>
      <c r="F5" s="68">
        <v>3</v>
      </c>
      <c r="G5" s="68">
        <v>4</v>
      </c>
      <c r="H5" s="68">
        <v>5</v>
      </c>
      <c r="I5" s="68">
        <v>6</v>
      </c>
      <c r="J5" s="68">
        <v>7</v>
      </c>
      <c r="K5" s="68">
        <v>8</v>
      </c>
      <c r="L5" s="364">
        <v>9</v>
      </c>
      <c r="M5" s="68">
        <v>10</v>
      </c>
      <c r="N5" s="68">
        <v>11</v>
      </c>
      <c r="O5" s="68">
        <v>12</v>
      </c>
      <c r="P5" s="68">
        <v>13</v>
      </c>
      <c r="Q5" s="68">
        <v>14</v>
      </c>
      <c r="R5" s="365">
        <v>15</v>
      </c>
      <c r="S5" s="68">
        <v>16</v>
      </c>
      <c r="T5" s="68">
        <v>17</v>
      </c>
      <c r="U5" s="68">
        <v>18</v>
      </c>
      <c r="V5" s="68">
        <v>19</v>
      </c>
      <c r="W5" s="68">
        <v>20</v>
      </c>
      <c r="X5" s="68">
        <v>21</v>
      </c>
      <c r="Y5" s="68">
        <v>22</v>
      </c>
      <c r="Z5" s="364"/>
      <c r="AA5" s="68">
        <v>23</v>
      </c>
      <c r="AB5" s="68">
        <v>24</v>
      </c>
      <c r="AC5" s="68">
        <v>25</v>
      </c>
      <c r="AE5" s="365"/>
      <c r="AH5" s="54"/>
      <c r="AI5" s="54"/>
      <c r="AJ5" s="54">
        <v>26</v>
      </c>
      <c r="AK5" s="54"/>
      <c r="AL5" s="54">
        <v>27</v>
      </c>
      <c r="AM5" s="54">
        <v>28</v>
      </c>
      <c r="AP5" s="366"/>
      <c r="AQ5" s="68">
        <v>29</v>
      </c>
      <c r="AR5" s="68">
        <v>30</v>
      </c>
      <c r="AS5" s="68">
        <v>31</v>
      </c>
      <c r="AU5" s="68">
        <v>32</v>
      </c>
      <c r="AV5" s="68">
        <v>33</v>
      </c>
      <c r="AW5" s="68">
        <v>34</v>
      </c>
      <c r="AX5" s="68">
        <v>35</v>
      </c>
      <c r="AY5" s="68">
        <v>36</v>
      </c>
      <c r="AZ5" s="61">
        <v>37</v>
      </c>
      <c r="BA5" s="68">
        <v>38</v>
      </c>
      <c r="BB5" s="68">
        <v>39</v>
      </c>
      <c r="BC5" s="68">
        <v>40</v>
      </c>
      <c r="BD5" s="68">
        <v>41</v>
      </c>
      <c r="BE5" s="68">
        <v>42</v>
      </c>
      <c r="BF5" s="68">
        <v>43</v>
      </c>
      <c r="BG5" s="68">
        <v>44</v>
      </c>
      <c r="BH5" s="68">
        <v>45</v>
      </c>
      <c r="BI5" s="68">
        <v>46</v>
      </c>
      <c r="BJ5" s="68">
        <v>47</v>
      </c>
      <c r="BK5" s="68">
        <v>48</v>
      </c>
      <c r="BL5" s="68">
        <v>49</v>
      </c>
      <c r="BM5" s="68">
        <v>50</v>
      </c>
      <c r="BN5" s="68">
        <v>51</v>
      </c>
      <c r="BO5" s="68">
        <v>52</v>
      </c>
      <c r="BP5" s="68">
        <v>53</v>
      </c>
      <c r="BQ5" s="68">
        <v>54</v>
      </c>
      <c r="BR5" s="68">
        <v>55</v>
      </c>
      <c r="BS5" s="68">
        <v>56</v>
      </c>
      <c r="BT5" s="68">
        <v>57</v>
      </c>
    </row>
    <row r="6" spans="1:72">
      <c r="A6" s="510" t="e">
        <f>VLOOKUP(E6,'Tenement Lookup'!A:BH,60,FALSE)</f>
        <v>#N/A</v>
      </c>
      <c r="C6" s="59" t="s">
        <v>12</v>
      </c>
      <c r="D6" s="265">
        <v>45830</v>
      </c>
      <c r="I6" s="266" t="s">
        <v>661</v>
      </c>
      <c r="L6" s="187"/>
      <c r="N6" s="4"/>
      <c r="R6" s="318"/>
      <c r="S6" s="268"/>
      <c r="T6" s="269">
        <v>0</v>
      </c>
      <c r="U6" s="295">
        <f t="shared" ref="U6:U8" si="0">IF(S6&lt;(T6*$T$3),(T6*$T$3),S6)</f>
        <v>0</v>
      </c>
      <c r="V6" s="270">
        <v>0</v>
      </c>
      <c r="W6" s="270">
        <v>0</v>
      </c>
      <c r="Z6" s="292">
        <f>T6</f>
        <v>0</v>
      </c>
      <c r="AA6" s="271">
        <v>9.5</v>
      </c>
      <c r="AB6" s="271">
        <v>2</v>
      </c>
      <c r="AD6" s="271">
        <v>0.5</v>
      </c>
      <c r="AF6" s="416">
        <f t="shared" ref="AF6:AF69" si="1">SUM(Z6:AE6)</f>
        <v>12</v>
      </c>
      <c r="AH6" s="314">
        <f t="shared" ref="AH6:AH69" si="2">SUMPRODUCT(X6:Y6,$X$3:$Y$3)</f>
        <v>0</v>
      </c>
      <c r="AI6" s="312">
        <f t="shared" ref="AI6:AI69" si="3">SUMPRODUCT(V6:W6,$V$3:$W$3)</f>
        <v>0</v>
      </c>
      <c r="AJ6" s="313">
        <f t="shared" ref="AJ6:AJ37" si="4">SUMPRODUCT(AA6:AE6,$AA$3:$AE$3)</f>
        <v>6182.5</v>
      </c>
      <c r="AK6" s="310"/>
      <c r="AM6" s="309">
        <f t="shared" ref="AM6:AM69" ca="1" si="5">IF(D6&gt;TODAY()-1,"",AI6+AH6+K6+U6+AJ6+AL6)</f>
        <v>6182.5</v>
      </c>
      <c r="AN6" s="309">
        <v>6182.5</v>
      </c>
      <c r="AO6" s="11">
        <f t="shared" ref="AO6:AO37" si="6">SUM(AL6,AH6,U6,K6)</f>
        <v>0</v>
      </c>
      <c r="AP6" s="361">
        <f t="shared" ref="AP6:AP69" ca="1" si="7">IFERROR((AM6-AO6)/AM6,"")</f>
        <v>1</v>
      </c>
      <c r="AQ6" s="11">
        <f ca="1">IF(D6&gt;TODAY()-1,"",SUM($AM$6:AM6))</f>
        <v>6182.5</v>
      </c>
      <c r="AR6" s="11">
        <f t="shared" ref="AR6:AR14" ca="1" si="8">AQ6</f>
        <v>6182.5</v>
      </c>
      <c r="AS6" s="11" t="str">
        <f t="shared" ref="AS6:AS12" si="9">IF(R6=0,"No drilling completed today, if maintenance provide context -&gt;",AM6/R6)</f>
        <v>No drilling completed today, if maintenance provide context -&gt;</v>
      </c>
      <c r="AT6" s="272"/>
    </row>
    <row r="7" spans="1:72">
      <c r="A7" s="510" t="e">
        <f>VLOOKUP(E7,'Tenement Lookup'!A:BH,60,FALSE)</f>
        <v>#N/A</v>
      </c>
      <c r="C7" s="59" t="s">
        <v>12</v>
      </c>
      <c r="D7" s="265">
        <v>45831</v>
      </c>
      <c r="I7" s="266" t="s">
        <v>661</v>
      </c>
      <c r="J7" s="266">
        <v>3</v>
      </c>
      <c r="K7" s="294">
        <f t="shared" ref="K7" si="10">J7*$K$3</f>
        <v>390</v>
      </c>
      <c r="L7" s="187"/>
      <c r="N7" s="4"/>
      <c r="R7" s="318"/>
      <c r="S7" s="268"/>
      <c r="T7" s="269"/>
      <c r="U7" s="295">
        <f t="shared" si="0"/>
        <v>0</v>
      </c>
      <c r="Z7" s="292">
        <f t="shared" ref="Z7:Z70" si="11">T7</f>
        <v>0</v>
      </c>
      <c r="AA7" s="271">
        <v>7.75</v>
      </c>
      <c r="AD7" s="271">
        <v>4.25</v>
      </c>
      <c r="AF7" s="416">
        <f t="shared" si="1"/>
        <v>12</v>
      </c>
      <c r="AH7" s="314">
        <f t="shared" si="2"/>
        <v>0</v>
      </c>
      <c r="AI7" s="312">
        <f t="shared" si="3"/>
        <v>0</v>
      </c>
      <c r="AJ7" s="313">
        <f t="shared" si="4"/>
        <v>4456.25</v>
      </c>
      <c r="AK7" s="310"/>
      <c r="AM7" s="309">
        <f t="shared" ca="1" si="5"/>
        <v>4846.25</v>
      </c>
      <c r="AN7" s="309">
        <v>4846.25</v>
      </c>
      <c r="AO7" s="11">
        <f t="shared" si="6"/>
        <v>390</v>
      </c>
      <c r="AP7" s="361">
        <f t="shared" ca="1" si="7"/>
        <v>0.91952540624193968</v>
      </c>
      <c r="AQ7" s="11">
        <f ca="1">IF(D7&gt;TODAY()-1,"",SUM($AM$6:AM7))</f>
        <v>11028.75</v>
      </c>
      <c r="AR7" s="11">
        <f t="shared" ca="1" si="8"/>
        <v>11028.75</v>
      </c>
      <c r="AS7" s="11" t="str">
        <f t="shared" si="9"/>
        <v>No drilling completed today, if maintenance provide context -&gt;</v>
      </c>
      <c r="AT7" s="272"/>
      <c r="BD7" s="11">
        <f ca="1">AVERAGE(AS8:AS54)</f>
        <v>88.474856645740417</v>
      </c>
    </row>
    <row r="8" spans="1:72">
      <c r="A8" s="510" t="str">
        <f>VLOOKUP(E8,'Tenement Lookup'!A:BH,60,FALSE)</f>
        <v>M 80/268</v>
      </c>
      <c r="B8" t="str">
        <f>VLOOKUP(E8,Purpose!$A$2:$B$334,2,FALSE)</f>
        <v>A Vein RC</v>
      </c>
      <c r="C8" s="59" t="s">
        <v>12</v>
      </c>
      <c r="D8" s="265">
        <v>45832</v>
      </c>
      <c r="E8" s="28" t="s">
        <v>662</v>
      </c>
      <c r="I8" s="266" t="s">
        <v>661</v>
      </c>
      <c r="J8" s="266">
        <v>3</v>
      </c>
      <c r="K8" s="294">
        <f>J8*$K$3</f>
        <v>390</v>
      </c>
      <c r="L8" s="187">
        <v>46</v>
      </c>
      <c r="N8" s="4"/>
      <c r="R8" s="318">
        <f>L8+M8+N8+O8+P8+Q8</f>
        <v>46</v>
      </c>
      <c r="S8" s="273">
        <f t="shared" ref="S8:S41" si="12">(L8*$L$3)+(M8*$M$3)+(N8*$N$3)+(O8*$O$3)+(P8*$P$3)+(Q8*$Q$3)</f>
        <v>1840</v>
      </c>
      <c r="T8" s="269">
        <v>3.25</v>
      </c>
      <c r="U8" s="295">
        <f t="shared" si="0"/>
        <v>1868.75</v>
      </c>
      <c r="V8" s="270">
        <v>2</v>
      </c>
      <c r="W8" s="270">
        <v>2</v>
      </c>
      <c r="X8" s="4">
        <v>1</v>
      </c>
      <c r="Y8" s="4">
        <v>1</v>
      </c>
      <c r="Z8" s="292">
        <f t="shared" si="11"/>
        <v>3.25</v>
      </c>
      <c r="AA8" s="271">
        <v>8</v>
      </c>
      <c r="AC8" s="271">
        <v>0.5</v>
      </c>
      <c r="AD8" s="271">
        <v>0.25</v>
      </c>
      <c r="AF8" s="416">
        <f t="shared" si="1"/>
        <v>12</v>
      </c>
      <c r="AH8" s="314">
        <f t="shared" si="2"/>
        <v>595</v>
      </c>
      <c r="AI8" s="312">
        <f t="shared" si="3"/>
        <v>440</v>
      </c>
      <c r="AJ8" s="313">
        <f t="shared" si="4"/>
        <v>4780</v>
      </c>
      <c r="AK8" s="310"/>
      <c r="AL8" s="309">
        <v>444.97</v>
      </c>
      <c r="AM8" s="309">
        <f t="shared" ca="1" si="5"/>
        <v>8518.7199999999993</v>
      </c>
      <c r="AN8" s="309">
        <v>8518.7199999999993</v>
      </c>
      <c r="AO8" s="11">
        <f t="shared" si="6"/>
        <v>3298.7200000000003</v>
      </c>
      <c r="AP8" s="361">
        <f t="shared" ca="1" si="7"/>
        <v>0.61276811539761833</v>
      </c>
      <c r="AQ8" s="11">
        <f ca="1">IF(D8&gt;TODAY()-1,"",SUM($AM$6:AM8))</f>
        <v>19547.47</v>
      </c>
      <c r="AR8" s="11">
        <f t="shared" ca="1" si="8"/>
        <v>19547.47</v>
      </c>
      <c r="AS8" s="11">
        <f t="shared" ca="1" si="9"/>
        <v>185.18956521739128</v>
      </c>
      <c r="AT8" s="11"/>
      <c r="AU8" s="124" t="str">
        <f t="shared" ref="AU8:AU71" ca="1" si="13">IF(D8&lt;TODAY(),HYPERLINK(BB8,"LINK"),"")</f>
        <v>LINK</v>
      </c>
      <c r="AV8" t="s">
        <v>663</v>
      </c>
      <c r="AW8" s="125" t="s">
        <v>664</v>
      </c>
      <c r="AX8" t="str">
        <f t="shared" ref="AX8:AX39" si="14">RIGHT(YEAR(D8),2)</f>
        <v>25</v>
      </c>
      <c r="AY8" t="str">
        <f t="shared" ref="AY8:AY39" si="15">_xlfn.TEXTJOIN(,TRUE,"0",MONTH(D8))</f>
        <v>06</v>
      </c>
      <c r="AZ8" s="98">
        <f t="shared" ref="AZ8:AZ39" si="16">IF(LEN(DAY(D8))=1,_xlfn.TEXTJOIN(,,"0",DAY(D8)),DAY(D8))</f>
        <v>24</v>
      </c>
      <c r="BA8" t="str">
        <f t="shared" ref="BA8:BA39" si="17">LEFT(D8,1)</f>
        <v>4</v>
      </c>
      <c r="BB8" t="str">
        <f>CONCATENATE(AW8,"-",AX8,AY8,AZ8,"D")</f>
        <v>https://www.coreplan.io/app/ddh1-drilling/speewah-mining-speewah-fluorite-project-strike/plods/6174-250624D</v>
      </c>
      <c r="BC8" t="str">
        <f t="shared" ref="BC8:BC39" si="18">TEXT(D8, "yyyy-mm")</f>
        <v>2025-06</v>
      </c>
    </row>
    <row r="9" spans="1:72">
      <c r="A9" s="510" t="str">
        <f>VLOOKUP(E9,'Tenement Lookup'!A:BH,60,FALSE)</f>
        <v>M 80/268</v>
      </c>
      <c r="B9" t="str">
        <f>VLOOKUP(E9,Purpose!$A$2:$B$334,2,FALSE)</f>
        <v>A Vein RC</v>
      </c>
      <c r="C9" s="59" t="s">
        <v>12</v>
      </c>
      <c r="D9" s="265">
        <v>45833</v>
      </c>
      <c r="E9" s="28" t="s">
        <v>662</v>
      </c>
      <c r="F9" s="28" t="s">
        <v>665</v>
      </c>
      <c r="I9" s="266" t="s">
        <v>661</v>
      </c>
      <c r="J9" s="266">
        <v>3</v>
      </c>
      <c r="K9" s="294">
        <f t="shared" ref="K9:K25" si="19">J9*$K$3</f>
        <v>390</v>
      </c>
      <c r="L9" s="187">
        <v>54</v>
      </c>
      <c r="M9" s="267">
        <f>8+38</f>
        <v>46</v>
      </c>
      <c r="N9" s="4"/>
      <c r="R9" s="318">
        <f>L9+M9+N9+O9+P9+Q9</f>
        <v>100</v>
      </c>
      <c r="S9" s="273">
        <f t="shared" si="12"/>
        <v>4230</v>
      </c>
      <c r="T9" s="269">
        <v>6.5</v>
      </c>
      <c r="U9" s="295">
        <f>IF(S9&lt;(T9*$T$3),(T9*$T$3),S9)</f>
        <v>4230</v>
      </c>
      <c r="V9" s="270">
        <v>5</v>
      </c>
      <c r="W9" s="270">
        <v>5</v>
      </c>
      <c r="X9" s="4">
        <v>1</v>
      </c>
      <c r="Y9" s="4">
        <v>1</v>
      </c>
      <c r="Z9" s="292">
        <f t="shared" si="11"/>
        <v>6.5</v>
      </c>
      <c r="AA9" s="271">
        <v>2.5</v>
      </c>
      <c r="AB9" s="271">
        <v>0.75</v>
      </c>
      <c r="AD9" s="271">
        <v>2.25</v>
      </c>
      <c r="AF9" s="416">
        <f t="shared" si="1"/>
        <v>12</v>
      </c>
      <c r="AH9" s="314">
        <f t="shared" si="2"/>
        <v>595</v>
      </c>
      <c r="AI9" s="312">
        <f t="shared" si="3"/>
        <v>1100</v>
      </c>
      <c r="AJ9" s="313">
        <f t="shared" si="4"/>
        <v>1707.5</v>
      </c>
      <c r="AK9" s="310"/>
      <c r="AL9" s="309">
        <f>143.97+301</f>
        <v>444.97</v>
      </c>
      <c r="AM9" s="309">
        <f t="shared" ca="1" si="5"/>
        <v>8467.4699999999993</v>
      </c>
      <c r="AN9" s="309">
        <v>8467.4699999999993</v>
      </c>
      <c r="AO9" s="11">
        <f t="shared" si="6"/>
        <v>5659.97</v>
      </c>
      <c r="AP9" s="361">
        <f t="shared" ca="1" si="7"/>
        <v>0.33156302886222205</v>
      </c>
      <c r="AQ9" s="11">
        <f ca="1">IF(D9&gt;TODAY()-1,"",SUM($AM$6:AM9))</f>
        <v>28014.940000000002</v>
      </c>
      <c r="AR9" s="11">
        <f t="shared" ca="1" si="8"/>
        <v>28014.940000000002</v>
      </c>
      <c r="AS9" s="11">
        <f t="shared" ca="1" si="9"/>
        <v>84.674699999999987</v>
      </c>
      <c r="AT9" s="11"/>
      <c r="AU9" s="124" t="str">
        <f t="shared" ca="1" si="13"/>
        <v>LINK</v>
      </c>
      <c r="AV9" t="s">
        <v>663</v>
      </c>
      <c r="AW9" s="125" t="s">
        <v>664</v>
      </c>
      <c r="AX9" t="str">
        <f t="shared" si="14"/>
        <v>25</v>
      </c>
      <c r="AY9" t="str">
        <f t="shared" si="15"/>
        <v>06</v>
      </c>
      <c r="AZ9" s="98">
        <f t="shared" si="16"/>
        <v>25</v>
      </c>
      <c r="BA9" t="str">
        <f t="shared" si="17"/>
        <v>4</v>
      </c>
      <c r="BB9" t="str">
        <f t="shared" ref="BB9:BB72" si="20">CONCATENATE(AW9,"-",AX9,AY9,AZ9,"D")</f>
        <v>https://www.coreplan.io/app/ddh1-drilling/speewah-mining-speewah-fluorite-project-strike/plods/6174-250625D</v>
      </c>
      <c r="BC9" t="str">
        <f t="shared" si="18"/>
        <v>2025-06</v>
      </c>
    </row>
    <row r="10" spans="1:72">
      <c r="A10" s="510" t="str">
        <f>VLOOKUP(E10,'Tenement Lookup'!A:BH,60,FALSE)</f>
        <v>M 80/268</v>
      </c>
      <c r="B10" t="str">
        <f>VLOOKUP(E10,Purpose!$A$2:$B$334,2,FALSE)</f>
        <v>A Vein RC</v>
      </c>
      <c r="C10" s="59" t="s">
        <v>12</v>
      </c>
      <c r="D10" s="265">
        <v>45834</v>
      </c>
      <c r="E10" s="28" t="s">
        <v>665</v>
      </c>
      <c r="F10" s="28" t="s">
        <v>666</v>
      </c>
      <c r="I10" s="266" t="s">
        <v>661</v>
      </c>
      <c r="J10" s="266">
        <v>3</v>
      </c>
      <c r="K10" s="294">
        <f t="shared" si="19"/>
        <v>390</v>
      </c>
      <c r="L10" s="187">
        <v>50</v>
      </c>
      <c r="M10" s="267">
        <v>62</v>
      </c>
      <c r="N10" s="4">
        <v>48</v>
      </c>
      <c r="R10" s="318">
        <f>L10+M10+N10+O10+P10+Q10</f>
        <v>160</v>
      </c>
      <c r="S10" s="273">
        <f t="shared" si="12"/>
        <v>7190</v>
      </c>
      <c r="T10" s="269">
        <v>4.75</v>
      </c>
      <c r="U10" s="295">
        <f>IF(S10&lt;(T10*$T$3),(T10*$T$3),S10)</f>
        <v>7190</v>
      </c>
      <c r="V10" s="270">
        <v>6</v>
      </c>
      <c r="W10" s="270">
        <v>6</v>
      </c>
      <c r="X10" s="4">
        <v>1</v>
      </c>
      <c r="Y10" s="4">
        <v>1</v>
      </c>
      <c r="Z10" s="292">
        <f t="shared" si="11"/>
        <v>4.75</v>
      </c>
      <c r="AA10" s="271">
        <v>2.5</v>
      </c>
      <c r="AB10" s="271">
        <v>1.25</v>
      </c>
      <c r="AD10" s="271">
        <v>3.5</v>
      </c>
      <c r="AF10" s="416">
        <f t="shared" si="1"/>
        <v>12</v>
      </c>
      <c r="AH10" s="314">
        <f t="shared" si="2"/>
        <v>595</v>
      </c>
      <c r="AI10" s="312">
        <f t="shared" si="3"/>
        <v>1320</v>
      </c>
      <c r="AJ10" s="313">
        <f t="shared" si="4"/>
        <v>1887.5</v>
      </c>
      <c r="AK10" s="310"/>
      <c r="AL10" s="309">
        <v>1396.82</v>
      </c>
      <c r="AM10" s="309">
        <f t="shared" ca="1" si="5"/>
        <v>12779.32</v>
      </c>
      <c r="AN10" s="309">
        <v>12779.32</v>
      </c>
      <c r="AO10" s="11">
        <f t="shared" si="6"/>
        <v>9571.82</v>
      </c>
      <c r="AP10" s="361">
        <f t="shared" ca="1" si="7"/>
        <v>0.25099144555422354</v>
      </c>
      <c r="AQ10" s="11">
        <f ca="1">IF(D10&gt;TODAY()-1,"",SUM($AM$6:AM10))</f>
        <v>40794.26</v>
      </c>
      <c r="AR10" s="11">
        <f t="shared" ca="1" si="8"/>
        <v>40794.26</v>
      </c>
      <c r="AS10" s="11">
        <f t="shared" ca="1" si="9"/>
        <v>79.870750000000001</v>
      </c>
      <c r="AT10" s="11"/>
      <c r="AU10" s="124" t="str">
        <f t="shared" ca="1" si="13"/>
        <v>LINK</v>
      </c>
      <c r="AV10" t="s">
        <v>667</v>
      </c>
      <c r="AW10" s="125" t="s">
        <v>664</v>
      </c>
      <c r="AX10" t="str">
        <f t="shared" si="14"/>
        <v>25</v>
      </c>
      <c r="AY10" t="str">
        <f t="shared" si="15"/>
        <v>06</v>
      </c>
      <c r="AZ10" s="98">
        <f t="shared" si="16"/>
        <v>26</v>
      </c>
      <c r="BA10" t="str">
        <f t="shared" si="17"/>
        <v>4</v>
      </c>
      <c r="BB10" t="str">
        <f t="shared" si="20"/>
        <v>https://www.coreplan.io/app/ddh1-drilling/speewah-mining-speewah-fluorite-project-strike/plods/6174-250626D</v>
      </c>
      <c r="BC10" t="str">
        <f t="shared" si="18"/>
        <v>2025-06</v>
      </c>
    </row>
    <row r="11" spans="1:72">
      <c r="A11" s="510" t="str">
        <f>VLOOKUP(E11,'Tenement Lookup'!A:BH,60,FALSE)</f>
        <v>M 80/268</v>
      </c>
      <c r="B11" t="str">
        <f>VLOOKUP(E11,Purpose!$A$2:$B$334,2,FALSE)</f>
        <v>A Vein RC</v>
      </c>
      <c r="C11" s="59" t="s">
        <v>12</v>
      </c>
      <c r="D11" s="265">
        <v>45835</v>
      </c>
      <c r="E11" s="28" t="s">
        <v>668</v>
      </c>
      <c r="F11" s="28" t="s">
        <v>669</v>
      </c>
      <c r="I11" s="266" t="s">
        <v>661</v>
      </c>
      <c r="J11" s="266">
        <v>3</v>
      </c>
      <c r="K11" s="294">
        <f t="shared" si="19"/>
        <v>390</v>
      </c>
      <c r="L11" s="187">
        <v>100</v>
      </c>
      <c r="M11" s="267">
        <v>58</v>
      </c>
      <c r="N11" s="4">
        <v>48</v>
      </c>
      <c r="R11" s="318">
        <f t="shared" ref="R11:R24" si="21">L11+M11+N11+O11+P11+Q11</f>
        <v>206</v>
      </c>
      <c r="S11" s="273">
        <f t="shared" si="12"/>
        <v>9010</v>
      </c>
      <c r="T11" s="269">
        <v>7</v>
      </c>
      <c r="U11" s="295">
        <f t="shared" ref="U11:U25" si="22">IF(S11&lt;(T11*$T$3),(T11*$T$3),S11)</f>
        <v>9010</v>
      </c>
      <c r="V11" s="270">
        <v>6</v>
      </c>
      <c r="W11" s="270">
        <v>6</v>
      </c>
      <c r="X11" s="4">
        <v>1</v>
      </c>
      <c r="Y11" s="4">
        <v>1</v>
      </c>
      <c r="Z11" s="292">
        <f t="shared" si="11"/>
        <v>7</v>
      </c>
      <c r="AA11" s="271">
        <v>3.5</v>
      </c>
      <c r="AB11" s="271">
        <v>0.25</v>
      </c>
      <c r="AD11" s="271">
        <v>1.25</v>
      </c>
      <c r="AF11" s="416">
        <f t="shared" si="1"/>
        <v>12</v>
      </c>
      <c r="AH11" s="314">
        <f t="shared" si="2"/>
        <v>595</v>
      </c>
      <c r="AI11" s="312">
        <f t="shared" si="3"/>
        <v>1320</v>
      </c>
      <c r="AJ11" s="313">
        <f t="shared" si="4"/>
        <v>2102.5</v>
      </c>
      <c r="AK11" s="310"/>
      <c r="AL11" s="309">
        <v>798.37</v>
      </c>
      <c r="AM11" s="309">
        <f t="shared" ca="1" si="5"/>
        <v>14215.87</v>
      </c>
      <c r="AN11" s="309">
        <v>14215.87</v>
      </c>
      <c r="AO11" s="11">
        <f t="shared" si="6"/>
        <v>10793.369999999999</v>
      </c>
      <c r="AP11" s="361">
        <f t="shared" ca="1" si="7"/>
        <v>0.24075206090095094</v>
      </c>
      <c r="AQ11" s="11">
        <f ca="1">IF(D11&gt;TODAY()-1,"",SUM($AM$6:AM11))</f>
        <v>55010.130000000005</v>
      </c>
      <c r="AR11" s="11">
        <f t="shared" ca="1" si="8"/>
        <v>55010.130000000005</v>
      </c>
      <c r="AS11" s="11">
        <f t="shared" ca="1" si="9"/>
        <v>69.009077669902922</v>
      </c>
      <c r="AT11" s="11"/>
      <c r="AU11" s="124" t="str">
        <f t="shared" ca="1" si="13"/>
        <v>LINK</v>
      </c>
      <c r="AV11" t="s">
        <v>670</v>
      </c>
      <c r="AW11" s="125" t="s">
        <v>664</v>
      </c>
      <c r="AX11" t="str">
        <f t="shared" si="14"/>
        <v>25</v>
      </c>
      <c r="AY11" t="str">
        <f t="shared" si="15"/>
        <v>06</v>
      </c>
      <c r="AZ11" s="98">
        <f t="shared" si="16"/>
        <v>27</v>
      </c>
      <c r="BA11" t="str">
        <f t="shared" si="17"/>
        <v>4</v>
      </c>
      <c r="BB11" t="str">
        <f t="shared" si="20"/>
        <v>https://www.coreplan.io/app/ddh1-drilling/speewah-mining-speewah-fluorite-project-strike/plods/6174-250627D</v>
      </c>
      <c r="BC11" t="str">
        <f t="shared" si="18"/>
        <v>2025-06</v>
      </c>
    </row>
    <row r="12" spans="1:72">
      <c r="A12" s="510" t="str">
        <f>VLOOKUP(E12,'Tenement Lookup'!A:BH,60,FALSE)</f>
        <v>M 80/268</v>
      </c>
      <c r="B12" t="str">
        <f>VLOOKUP(E12,Purpose!$A$2:$B$334,2,FALSE)</f>
        <v>A Vein RC</v>
      </c>
      <c r="C12" s="59" t="s">
        <v>12</v>
      </c>
      <c r="D12" s="265">
        <v>45836</v>
      </c>
      <c r="E12" s="28" t="s">
        <v>671</v>
      </c>
      <c r="F12" s="28" t="s">
        <v>672</v>
      </c>
      <c r="G12" s="28" t="s">
        <v>673</v>
      </c>
      <c r="I12" s="266" t="s">
        <v>661</v>
      </c>
      <c r="J12" s="266">
        <v>3</v>
      </c>
      <c r="K12" s="294">
        <f t="shared" si="19"/>
        <v>390</v>
      </c>
      <c r="L12" s="187">
        <v>138</v>
      </c>
      <c r="M12" s="267">
        <v>50</v>
      </c>
      <c r="N12" s="4"/>
      <c r="R12" s="318">
        <f t="shared" si="21"/>
        <v>188</v>
      </c>
      <c r="S12" s="273">
        <f t="shared" si="12"/>
        <v>7770</v>
      </c>
      <c r="T12" s="269">
        <v>5.75</v>
      </c>
      <c r="U12" s="295">
        <f t="shared" si="22"/>
        <v>7770</v>
      </c>
      <c r="V12" s="270">
        <v>5</v>
      </c>
      <c r="W12" s="270">
        <v>5</v>
      </c>
      <c r="X12" s="4">
        <v>1</v>
      </c>
      <c r="Y12" s="4">
        <v>1</v>
      </c>
      <c r="Z12" s="292">
        <f t="shared" si="11"/>
        <v>5.75</v>
      </c>
      <c r="AA12" s="271">
        <v>3.5</v>
      </c>
      <c r="AB12" s="271">
        <v>2</v>
      </c>
      <c r="AD12" s="271">
        <v>0.75</v>
      </c>
      <c r="AF12" s="416">
        <f t="shared" si="1"/>
        <v>12</v>
      </c>
      <c r="AH12" s="314">
        <f t="shared" si="2"/>
        <v>595</v>
      </c>
      <c r="AI12" s="312">
        <f t="shared" si="3"/>
        <v>1100</v>
      </c>
      <c r="AJ12" s="313">
        <f t="shared" si="4"/>
        <v>2732.5</v>
      </c>
      <c r="AK12" s="310"/>
      <c r="AL12" s="309">
        <v>1125.57</v>
      </c>
      <c r="AM12" s="309">
        <f t="shared" ca="1" si="5"/>
        <v>13713.07</v>
      </c>
      <c r="AN12" s="381">
        <v>13713.07</v>
      </c>
      <c r="AO12" s="11">
        <f t="shared" si="6"/>
        <v>9880.57</v>
      </c>
      <c r="AP12" s="361">
        <f t="shared" ca="1" si="7"/>
        <v>0.27947789955130398</v>
      </c>
      <c r="AQ12" s="11">
        <f ca="1">IF(D12&gt;TODAY()-1,"",SUM($AM$6:AM12))</f>
        <v>68723.200000000012</v>
      </c>
      <c r="AR12" s="11">
        <f t="shared" ca="1" si="8"/>
        <v>68723.200000000012</v>
      </c>
      <c r="AS12" s="11">
        <f t="shared" ca="1" si="9"/>
        <v>72.941861702127653</v>
      </c>
      <c r="AT12" s="11"/>
      <c r="AU12" s="124" t="str">
        <f t="shared" ca="1" si="13"/>
        <v>LINK</v>
      </c>
      <c r="AV12" t="s">
        <v>674</v>
      </c>
      <c r="AW12" s="125" t="s">
        <v>664</v>
      </c>
      <c r="AX12" t="str">
        <f t="shared" si="14"/>
        <v>25</v>
      </c>
      <c r="AY12" t="str">
        <f t="shared" si="15"/>
        <v>06</v>
      </c>
      <c r="AZ12" s="98">
        <f t="shared" si="16"/>
        <v>28</v>
      </c>
      <c r="BA12" t="str">
        <f t="shared" si="17"/>
        <v>4</v>
      </c>
      <c r="BB12" t="str">
        <f t="shared" si="20"/>
        <v>https://www.coreplan.io/app/ddh1-drilling/speewah-mining-speewah-fluorite-project-strike/plods/6174-250628D</v>
      </c>
      <c r="BC12" t="str">
        <f t="shared" si="18"/>
        <v>2025-06</v>
      </c>
    </row>
    <row r="13" spans="1:72">
      <c r="A13" s="510" t="str">
        <f>VLOOKUP(E13,'Tenement Lookup'!A:BH,60,FALSE)</f>
        <v>M 80/268</v>
      </c>
      <c r="B13" t="str">
        <f>VLOOKUP(E13,Purpose!$A$2:$B$334,2,FALSE)</f>
        <v>A Vein RC</v>
      </c>
      <c r="C13" s="59" t="s">
        <v>12</v>
      </c>
      <c r="D13" s="265">
        <v>45837</v>
      </c>
      <c r="E13" s="28" t="s">
        <v>673</v>
      </c>
      <c r="F13" s="28" t="s">
        <v>675</v>
      </c>
      <c r="G13" s="28" t="s">
        <v>676</v>
      </c>
      <c r="I13" s="266" t="s">
        <v>661</v>
      </c>
      <c r="J13" s="266">
        <v>3</v>
      </c>
      <c r="K13" s="294">
        <f t="shared" si="19"/>
        <v>390</v>
      </c>
      <c r="L13" s="187">
        <v>106</v>
      </c>
      <c r="M13" s="267">
        <v>58</v>
      </c>
      <c r="N13" s="4">
        <v>48</v>
      </c>
      <c r="R13" s="318">
        <f t="shared" si="21"/>
        <v>212</v>
      </c>
      <c r="S13" s="273">
        <f t="shared" si="12"/>
        <v>9250</v>
      </c>
      <c r="T13" s="269">
        <v>7.25</v>
      </c>
      <c r="U13" s="295">
        <f t="shared" si="22"/>
        <v>9250</v>
      </c>
      <c r="V13" s="270">
        <v>6</v>
      </c>
      <c r="W13" s="270">
        <v>6</v>
      </c>
      <c r="X13" s="4">
        <v>1</v>
      </c>
      <c r="Y13" s="4">
        <v>1</v>
      </c>
      <c r="Z13" s="292">
        <f t="shared" si="11"/>
        <v>7.25</v>
      </c>
      <c r="AA13" s="271">
        <v>2.75</v>
      </c>
      <c r="AB13" s="271">
        <v>1</v>
      </c>
      <c r="AC13" s="271">
        <v>0.25</v>
      </c>
      <c r="AD13" s="271">
        <v>0.75</v>
      </c>
      <c r="AF13" s="416">
        <f t="shared" si="1"/>
        <v>12</v>
      </c>
      <c r="AH13" s="314">
        <f t="shared" si="2"/>
        <v>595</v>
      </c>
      <c r="AI13" s="312">
        <f t="shared" si="3"/>
        <v>1320</v>
      </c>
      <c r="AJ13" s="313">
        <f t="shared" si="4"/>
        <v>2031.25</v>
      </c>
      <c r="AK13" s="310">
        <v>59214.69</v>
      </c>
      <c r="AL13" s="309">
        <f>AK13-K13</f>
        <v>58824.69</v>
      </c>
      <c r="AM13" s="309">
        <f t="shared" ca="1" si="5"/>
        <v>72410.94</v>
      </c>
      <c r="AN13" s="381">
        <v>72410.94</v>
      </c>
      <c r="AO13" s="11">
        <f t="shared" si="6"/>
        <v>69059.69</v>
      </c>
      <c r="AP13" s="361">
        <f t="shared" ca="1" si="7"/>
        <v>4.6280990137678092E-2</v>
      </c>
      <c r="AQ13" s="11">
        <f ca="1">IF(D13&gt;TODAY()-1,"",SUM($AM$6:AM13))</f>
        <v>141134.14000000001</v>
      </c>
      <c r="AR13" s="11">
        <f t="shared" ca="1" si="8"/>
        <v>141134.14000000001</v>
      </c>
      <c r="AS13" s="11"/>
      <c r="AT13" s="11"/>
      <c r="AU13" s="124" t="str">
        <f t="shared" ca="1" si="13"/>
        <v>LINK</v>
      </c>
      <c r="AW13" s="125" t="s">
        <v>664</v>
      </c>
      <c r="AX13" t="str">
        <f t="shared" si="14"/>
        <v>25</v>
      </c>
      <c r="AY13" t="str">
        <f t="shared" si="15"/>
        <v>06</v>
      </c>
      <c r="AZ13" s="98">
        <f t="shared" si="16"/>
        <v>29</v>
      </c>
      <c r="BA13" t="str">
        <f t="shared" si="17"/>
        <v>4</v>
      </c>
      <c r="BB13" t="str">
        <f t="shared" si="20"/>
        <v>https://www.coreplan.io/app/ddh1-drilling/speewah-mining-speewah-fluorite-project-strike/plods/6174-250629D</v>
      </c>
      <c r="BC13" t="str">
        <f t="shared" si="18"/>
        <v>2025-06</v>
      </c>
    </row>
    <row r="14" spans="1:72">
      <c r="A14" s="510" t="str">
        <f>VLOOKUP(E14,'Tenement Lookup'!A:BH,60,FALSE)</f>
        <v>M 80/268</v>
      </c>
      <c r="B14" t="str">
        <f>VLOOKUP(E14,Purpose!$A$2:$B$334,2,FALSE)</f>
        <v>A Vein RC</v>
      </c>
      <c r="C14" s="59" t="s">
        <v>12</v>
      </c>
      <c r="D14" s="265">
        <v>45838</v>
      </c>
      <c r="E14" s="28" t="s">
        <v>676</v>
      </c>
      <c r="F14" s="28" t="s">
        <v>677</v>
      </c>
      <c r="I14" s="266" t="s">
        <v>661</v>
      </c>
      <c r="J14" s="266">
        <v>3</v>
      </c>
      <c r="K14" s="294">
        <f t="shared" si="19"/>
        <v>390</v>
      </c>
      <c r="L14" s="187">
        <v>54</v>
      </c>
      <c r="M14" s="267">
        <v>100</v>
      </c>
      <c r="N14" s="4">
        <v>27</v>
      </c>
      <c r="R14" s="318">
        <f t="shared" si="21"/>
        <v>181</v>
      </c>
      <c r="S14" s="273">
        <f t="shared" si="12"/>
        <v>8010</v>
      </c>
      <c r="T14" s="269">
        <v>7.25</v>
      </c>
      <c r="U14" s="295">
        <f>IF(S14&lt;(T14*$T$3),(T14*$T$3),S14)</f>
        <v>8010</v>
      </c>
      <c r="V14" s="270">
        <v>7</v>
      </c>
      <c r="W14" s="270">
        <v>7</v>
      </c>
      <c r="X14" s="4">
        <v>1</v>
      </c>
      <c r="Y14" s="4">
        <v>1</v>
      </c>
      <c r="Z14" s="292">
        <f t="shared" si="11"/>
        <v>7.25</v>
      </c>
      <c r="AA14" s="271">
        <v>2.75</v>
      </c>
      <c r="AB14" s="271">
        <v>1.25</v>
      </c>
      <c r="AD14" s="271">
        <v>0.75</v>
      </c>
      <c r="AF14" s="416">
        <f t="shared" si="1"/>
        <v>12</v>
      </c>
      <c r="AH14" s="314">
        <f t="shared" si="2"/>
        <v>595</v>
      </c>
      <c r="AI14" s="312">
        <f t="shared" si="3"/>
        <v>1540</v>
      </c>
      <c r="AJ14" s="313">
        <f t="shared" si="4"/>
        <v>2031.25</v>
      </c>
      <c r="AK14" s="310"/>
      <c r="AL14" s="309">
        <v>613.67999999999995</v>
      </c>
      <c r="AM14" s="309">
        <f t="shared" ca="1" si="5"/>
        <v>13179.93</v>
      </c>
      <c r="AN14" s="381">
        <v>13179.93</v>
      </c>
      <c r="AO14" s="11">
        <f t="shared" si="6"/>
        <v>9608.68</v>
      </c>
      <c r="AP14" s="361">
        <f t="shared" ca="1" si="7"/>
        <v>0.27096122665294886</v>
      </c>
      <c r="AQ14" s="11">
        <f ca="1">IF(D14&gt;TODAY()-1,"",SUM($AM$6:AM14))</f>
        <v>154314.07</v>
      </c>
      <c r="AR14" s="11">
        <f t="shared" ca="1" si="8"/>
        <v>154314.07</v>
      </c>
      <c r="AS14" s="11">
        <f t="shared" ref="AS14:AS45" ca="1" si="23">IF(R14=0,"No drilling completed today, if maintenance provide context -&gt;",AM14/R14)</f>
        <v>72.817292817679558</v>
      </c>
      <c r="AT14" s="11"/>
      <c r="AU14" s="124" t="str">
        <f t="shared" ca="1" si="13"/>
        <v>LINK</v>
      </c>
      <c r="AV14" t="s">
        <v>678</v>
      </c>
      <c r="AW14" s="125" t="s">
        <v>664</v>
      </c>
      <c r="AX14" t="str">
        <f t="shared" si="14"/>
        <v>25</v>
      </c>
      <c r="AY14" t="str">
        <f t="shared" si="15"/>
        <v>06</v>
      </c>
      <c r="AZ14" s="98">
        <f t="shared" si="16"/>
        <v>30</v>
      </c>
      <c r="BA14" t="str">
        <f t="shared" si="17"/>
        <v>4</v>
      </c>
      <c r="BB14" t="str">
        <f t="shared" si="20"/>
        <v>https://www.coreplan.io/app/ddh1-drilling/speewah-mining-speewah-fluorite-project-strike/plods/6174-250630D</v>
      </c>
      <c r="BC14" t="str">
        <f t="shared" si="18"/>
        <v>2025-06</v>
      </c>
    </row>
    <row r="15" spans="1:72">
      <c r="A15" s="510" t="str">
        <f>VLOOKUP(E15,'Tenement Lookup'!A:BH,60,FALSE)</f>
        <v>M 80/268</v>
      </c>
      <c r="B15" t="str">
        <f>VLOOKUP(E15,Purpose!$A$2:$B$334,2,FALSE)</f>
        <v>A Vein RC</v>
      </c>
      <c r="C15" s="59" t="s">
        <v>12</v>
      </c>
      <c r="D15" s="265">
        <v>45839</v>
      </c>
      <c r="E15" s="28" t="s">
        <v>679</v>
      </c>
      <c r="F15" s="28" t="s">
        <v>680</v>
      </c>
      <c r="I15" s="266" t="s">
        <v>661</v>
      </c>
      <c r="J15" s="266">
        <v>4</v>
      </c>
      <c r="K15" s="294">
        <f t="shared" si="19"/>
        <v>520</v>
      </c>
      <c r="L15" s="187">
        <v>98</v>
      </c>
      <c r="M15" s="267">
        <v>50</v>
      </c>
      <c r="N15" s="4"/>
      <c r="R15" s="318">
        <f t="shared" si="21"/>
        <v>148</v>
      </c>
      <c r="S15" s="273">
        <f t="shared" si="12"/>
        <v>6170</v>
      </c>
      <c r="T15" s="269">
        <v>4.5</v>
      </c>
      <c r="U15" s="295">
        <f t="shared" si="22"/>
        <v>6170</v>
      </c>
      <c r="V15" s="270">
        <v>2</v>
      </c>
      <c r="W15" s="270">
        <v>2</v>
      </c>
      <c r="X15" s="4">
        <v>1</v>
      </c>
      <c r="Y15" s="4">
        <v>1</v>
      </c>
      <c r="Z15" s="292">
        <f t="shared" si="11"/>
        <v>4.5</v>
      </c>
      <c r="AA15" s="271">
        <v>2</v>
      </c>
      <c r="AB15" s="271">
        <v>0.75</v>
      </c>
      <c r="AC15" s="271">
        <v>0</v>
      </c>
      <c r="AD15" s="271">
        <v>4.75</v>
      </c>
      <c r="AF15" s="416">
        <f t="shared" si="1"/>
        <v>12</v>
      </c>
      <c r="AH15" s="314">
        <f t="shared" si="2"/>
        <v>595</v>
      </c>
      <c r="AI15" s="312">
        <f t="shared" si="3"/>
        <v>440</v>
      </c>
      <c r="AJ15" s="313">
        <f t="shared" si="4"/>
        <v>1420</v>
      </c>
      <c r="AK15" s="310"/>
      <c r="AL15" s="309">
        <f>1318.37-K15</f>
        <v>798.36999999999989</v>
      </c>
      <c r="AM15" s="309">
        <f t="shared" ca="1" si="5"/>
        <v>9943.369999999999</v>
      </c>
      <c r="AN15" s="381">
        <v>9943.3700000000008</v>
      </c>
      <c r="AO15" s="11">
        <f t="shared" si="6"/>
        <v>8083.37</v>
      </c>
      <c r="AP15" s="361">
        <f t="shared" ca="1" si="7"/>
        <v>0.18705931691167071</v>
      </c>
      <c r="AQ15" s="11">
        <f ca="1">IF(D15&gt;TODAY()-1,"",SUM($AM$6:AM15))</f>
        <v>164257.44</v>
      </c>
      <c r="AR15" s="11">
        <f ca="1">IF(AM15&lt;&gt;"", SUMIFS($AM$8:AM15, $BC$8:BC15, BC15), "")</f>
        <v>9943.369999999999</v>
      </c>
      <c r="AS15" s="11">
        <f t="shared" ca="1" si="23"/>
        <v>67.184932432432419</v>
      </c>
      <c r="AT15" s="11"/>
      <c r="AU15" s="124" t="str">
        <f t="shared" ca="1" si="13"/>
        <v>LINK</v>
      </c>
      <c r="AW15" s="125" t="s">
        <v>664</v>
      </c>
      <c r="AX15" t="str">
        <f t="shared" si="14"/>
        <v>25</v>
      </c>
      <c r="AY15" t="str">
        <f t="shared" si="15"/>
        <v>07</v>
      </c>
      <c r="AZ15" s="98" t="str">
        <f t="shared" si="16"/>
        <v>01</v>
      </c>
      <c r="BA15" t="str">
        <f t="shared" si="17"/>
        <v>4</v>
      </c>
      <c r="BB15" t="str">
        <f t="shared" si="20"/>
        <v>https://www.coreplan.io/app/ddh1-drilling/speewah-mining-speewah-fluorite-project-strike/plods/6174-250701D</v>
      </c>
      <c r="BC15" t="str">
        <f t="shared" si="18"/>
        <v>2025-07</v>
      </c>
    </row>
    <row r="16" spans="1:72">
      <c r="A16" s="510" t="str">
        <f>VLOOKUP(E16,'Tenement Lookup'!A:BH,60,FALSE)</f>
        <v>M 80/268</v>
      </c>
      <c r="B16" t="str">
        <f>VLOOKUP(E16,Purpose!$A$2:$B$334,2,FALSE)</f>
        <v>A Vein RC</v>
      </c>
      <c r="C16" s="59" t="s">
        <v>12</v>
      </c>
      <c r="D16" s="265">
        <v>45840</v>
      </c>
      <c r="E16" s="28" t="s">
        <v>680</v>
      </c>
      <c r="F16" s="28" t="s">
        <v>681</v>
      </c>
      <c r="G16" s="28" t="s">
        <v>682</v>
      </c>
      <c r="I16" s="266" t="s">
        <v>661</v>
      </c>
      <c r="J16" s="266">
        <v>4</v>
      </c>
      <c r="K16" s="294">
        <f t="shared" si="19"/>
        <v>520</v>
      </c>
      <c r="L16" s="187">
        <v>100</v>
      </c>
      <c r="M16" s="267">
        <v>52</v>
      </c>
      <c r="N16" s="4">
        <v>35</v>
      </c>
      <c r="R16" s="318">
        <f t="shared" si="21"/>
        <v>187</v>
      </c>
      <c r="S16" s="273">
        <f t="shared" si="12"/>
        <v>8090</v>
      </c>
      <c r="T16" s="269">
        <v>6.5</v>
      </c>
      <c r="U16" s="295">
        <f t="shared" si="22"/>
        <v>8090</v>
      </c>
      <c r="V16" s="270">
        <v>7</v>
      </c>
      <c r="W16" s="270">
        <v>7</v>
      </c>
      <c r="X16" s="4">
        <v>1</v>
      </c>
      <c r="Y16" s="4">
        <v>1</v>
      </c>
      <c r="Z16" s="292">
        <f t="shared" si="11"/>
        <v>6.5</v>
      </c>
      <c r="AA16" s="271">
        <v>3.25</v>
      </c>
      <c r="AB16" s="271">
        <v>1.5</v>
      </c>
      <c r="AD16" s="271">
        <v>0.75</v>
      </c>
      <c r="AF16" s="416">
        <f t="shared" si="1"/>
        <v>12</v>
      </c>
      <c r="AH16" s="314">
        <f t="shared" si="2"/>
        <v>595</v>
      </c>
      <c r="AI16" s="312">
        <f t="shared" si="3"/>
        <v>1540</v>
      </c>
      <c r="AJ16" s="313">
        <f t="shared" si="4"/>
        <v>2408.75</v>
      </c>
      <c r="AK16" s="310"/>
      <c r="AL16" s="309">
        <v>798.37</v>
      </c>
      <c r="AM16" s="309">
        <f t="shared" ca="1" si="5"/>
        <v>13952.12</v>
      </c>
      <c r="AN16" s="381">
        <v>13952.12</v>
      </c>
      <c r="AO16" s="11">
        <f t="shared" si="6"/>
        <v>10003.369999999999</v>
      </c>
      <c r="AP16" s="361">
        <f t="shared" ca="1" si="7"/>
        <v>0.28302150497558803</v>
      </c>
      <c r="AQ16" s="11">
        <f ca="1">IF(D16&gt;TODAY()-1,"",SUM($AM$6:AM16))</f>
        <v>178209.56</v>
      </c>
      <c r="AR16" s="11">
        <f ca="1">IF(AM16&lt;&gt;"", SUMIFS($AM$8:AM16, $BC$8:BC16, BC16), "")</f>
        <v>23895.489999999998</v>
      </c>
      <c r="AS16" s="11">
        <f t="shared" ca="1" si="23"/>
        <v>74.610267379679144</v>
      </c>
      <c r="AT16" s="11"/>
      <c r="AU16" s="124" t="str">
        <f t="shared" ca="1" si="13"/>
        <v>LINK</v>
      </c>
      <c r="AV16" t="s">
        <v>683</v>
      </c>
      <c r="AW16" s="125" t="s">
        <v>664</v>
      </c>
      <c r="AX16" t="str">
        <f t="shared" si="14"/>
        <v>25</v>
      </c>
      <c r="AY16" t="str">
        <f t="shared" si="15"/>
        <v>07</v>
      </c>
      <c r="AZ16" s="98" t="str">
        <f t="shared" si="16"/>
        <v>02</v>
      </c>
      <c r="BA16" t="str">
        <f t="shared" si="17"/>
        <v>4</v>
      </c>
      <c r="BB16" t="str">
        <f t="shared" si="20"/>
        <v>https://www.coreplan.io/app/ddh1-drilling/speewah-mining-speewah-fluorite-project-strike/plods/6174-250702D</v>
      </c>
      <c r="BC16" t="str">
        <f t="shared" si="18"/>
        <v>2025-07</v>
      </c>
    </row>
    <row r="17" spans="1:55">
      <c r="A17" s="510" t="str">
        <f>VLOOKUP(E17,'Tenement Lookup'!A:BH,60,FALSE)</f>
        <v>M 80/268</v>
      </c>
      <c r="B17" t="str">
        <f>VLOOKUP(E17,Purpose!$A$2:$B$334,2,FALSE)</f>
        <v>Infill</v>
      </c>
      <c r="C17" s="59" t="s">
        <v>12</v>
      </c>
      <c r="D17" s="265">
        <v>45841</v>
      </c>
      <c r="E17" s="28" t="s">
        <v>684</v>
      </c>
      <c r="F17" s="28" t="s">
        <v>685</v>
      </c>
      <c r="I17" s="266" t="s">
        <v>661</v>
      </c>
      <c r="J17" s="266">
        <v>4</v>
      </c>
      <c r="K17" s="294">
        <f t="shared" si="19"/>
        <v>520</v>
      </c>
      <c r="L17" s="187">
        <v>100</v>
      </c>
      <c r="M17" s="267">
        <v>58</v>
      </c>
      <c r="N17" s="4">
        <v>42</v>
      </c>
      <c r="R17" s="318">
        <f t="shared" si="21"/>
        <v>200</v>
      </c>
      <c r="S17" s="273">
        <f t="shared" si="12"/>
        <v>8710</v>
      </c>
      <c r="T17" s="269">
        <v>6</v>
      </c>
      <c r="U17" s="295">
        <f t="shared" si="22"/>
        <v>8710</v>
      </c>
      <c r="V17" s="270">
        <v>7</v>
      </c>
      <c r="W17" s="270">
        <v>7</v>
      </c>
      <c r="X17" s="4">
        <v>1</v>
      </c>
      <c r="Y17" s="4">
        <v>1</v>
      </c>
      <c r="Z17" s="292">
        <f t="shared" si="11"/>
        <v>6</v>
      </c>
      <c r="AA17" s="271">
        <v>2.75</v>
      </c>
      <c r="AB17" s="271">
        <v>0.75</v>
      </c>
      <c r="AD17" s="271">
        <v>2.5</v>
      </c>
      <c r="AF17" s="416">
        <f t="shared" si="1"/>
        <v>12</v>
      </c>
      <c r="AH17" s="314">
        <f t="shared" si="2"/>
        <v>595</v>
      </c>
      <c r="AI17" s="312">
        <f t="shared" si="3"/>
        <v>1540</v>
      </c>
      <c r="AJ17" s="313">
        <f t="shared" si="4"/>
        <v>1851.25</v>
      </c>
      <c r="AK17" s="310"/>
      <c r="AL17" s="309">
        <f>1318.37-K17</f>
        <v>798.36999999999989</v>
      </c>
      <c r="AM17" s="309">
        <f t="shared" ca="1" si="5"/>
        <v>14014.619999999999</v>
      </c>
      <c r="AN17" s="381">
        <v>14014.62</v>
      </c>
      <c r="AO17" s="11">
        <f t="shared" si="6"/>
        <v>10623.369999999999</v>
      </c>
      <c r="AP17" s="361">
        <f t="shared" ca="1" si="7"/>
        <v>0.24197944717730485</v>
      </c>
      <c r="AQ17" s="11">
        <f ca="1">IF(D17&gt;TODAY()-1,"",SUM($AM$6:AM17))</f>
        <v>192224.18</v>
      </c>
      <c r="AR17" s="11">
        <f ca="1">IF(AM17&lt;&gt;"", SUMIFS($AM$8:AM17, $BC$8:BC17, BC17), "")</f>
        <v>37910.11</v>
      </c>
      <c r="AS17" s="11">
        <f t="shared" ca="1" si="23"/>
        <v>70.073099999999997</v>
      </c>
      <c r="AT17" s="11"/>
      <c r="AU17" s="124" t="str">
        <f t="shared" ca="1" si="13"/>
        <v>LINK</v>
      </c>
      <c r="AV17" t="s">
        <v>686</v>
      </c>
      <c r="AW17" s="125" t="s">
        <v>664</v>
      </c>
      <c r="AX17" t="str">
        <f t="shared" si="14"/>
        <v>25</v>
      </c>
      <c r="AY17" t="str">
        <f t="shared" si="15"/>
        <v>07</v>
      </c>
      <c r="AZ17" s="98" t="str">
        <f t="shared" si="16"/>
        <v>03</v>
      </c>
      <c r="BA17" t="str">
        <f t="shared" si="17"/>
        <v>4</v>
      </c>
      <c r="BB17" t="str">
        <f t="shared" si="20"/>
        <v>https://www.coreplan.io/app/ddh1-drilling/speewah-mining-speewah-fluorite-project-strike/plods/6174-250703D</v>
      </c>
      <c r="BC17" t="str">
        <f t="shared" si="18"/>
        <v>2025-07</v>
      </c>
    </row>
    <row r="18" spans="1:55">
      <c r="A18" s="510" t="str">
        <f>VLOOKUP(E18,'Tenement Lookup'!A:BH,60,FALSE)</f>
        <v>M 80/268</v>
      </c>
      <c r="B18" t="str">
        <f>VLOOKUP(E18,Purpose!$A$2:$B$334,2,FALSE)</f>
        <v>Infill</v>
      </c>
      <c r="C18" s="59" t="s">
        <v>12</v>
      </c>
      <c r="D18" s="265">
        <v>45842</v>
      </c>
      <c r="E18" s="28" t="s">
        <v>685</v>
      </c>
      <c r="I18" s="266" t="s">
        <v>687</v>
      </c>
      <c r="J18" s="266">
        <v>4</v>
      </c>
      <c r="K18" s="294">
        <f t="shared" si="19"/>
        <v>520</v>
      </c>
      <c r="L18" s="187"/>
      <c r="M18" s="267">
        <v>42</v>
      </c>
      <c r="N18" s="4">
        <v>30</v>
      </c>
      <c r="R18" s="318">
        <f t="shared" si="21"/>
        <v>72</v>
      </c>
      <c r="S18" s="273">
        <f t="shared" si="12"/>
        <v>3390</v>
      </c>
      <c r="T18" s="269">
        <v>5</v>
      </c>
      <c r="U18" s="295">
        <f t="shared" si="22"/>
        <v>3390</v>
      </c>
      <c r="V18" s="270">
        <v>4</v>
      </c>
      <c r="W18" s="270">
        <v>4</v>
      </c>
      <c r="X18" s="4">
        <v>1</v>
      </c>
      <c r="Y18" s="4">
        <v>1</v>
      </c>
      <c r="Z18" s="292">
        <f t="shared" si="11"/>
        <v>5</v>
      </c>
      <c r="AA18" s="271">
        <v>0.25</v>
      </c>
      <c r="AB18" s="271">
        <v>0</v>
      </c>
      <c r="AD18" s="271">
        <v>6.75</v>
      </c>
      <c r="AF18" s="416">
        <f t="shared" si="1"/>
        <v>12</v>
      </c>
      <c r="AH18" s="314">
        <f t="shared" si="2"/>
        <v>595</v>
      </c>
      <c r="AI18" s="312">
        <f t="shared" si="3"/>
        <v>880</v>
      </c>
      <c r="AJ18" s="313">
        <f t="shared" si="4"/>
        <v>143.75</v>
      </c>
      <c r="AK18" s="310"/>
      <c r="AL18" s="309">
        <f>663.97-K18</f>
        <v>143.97000000000003</v>
      </c>
      <c r="AM18" s="309">
        <f t="shared" ca="1" si="5"/>
        <v>5672.72</v>
      </c>
      <c r="AN18" s="381">
        <v>5672.72</v>
      </c>
      <c r="AO18" s="11">
        <f t="shared" si="6"/>
        <v>4648.97</v>
      </c>
      <c r="AP18" s="361">
        <f t="shared" ca="1" si="7"/>
        <v>0.18046898137048892</v>
      </c>
      <c r="AQ18" s="11">
        <f ca="1">IF(D18&gt;TODAY()-1,"",SUM($AM$6:AM18))</f>
        <v>197896.9</v>
      </c>
      <c r="AR18" s="11">
        <f ca="1">IF(AM18&lt;&gt;"", SUMIFS($AM$8:AM18, $BC$8:BC18, BC18), "")</f>
        <v>43582.83</v>
      </c>
      <c r="AS18" s="11">
        <f t="shared" ca="1" si="23"/>
        <v>78.787777777777777</v>
      </c>
      <c r="AT18" s="11"/>
      <c r="AU18" s="124" t="str">
        <f t="shared" ca="1" si="13"/>
        <v>LINK</v>
      </c>
      <c r="AV18" t="s">
        <v>688</v>
      </c>
      <c r="AW18" s="125" t="s">
        <v>664</v>
      </c>
      <c r="AX18" t="str">
        <f t="shared" si="14"/>
        <v>25</v>
      </c>
      <c r="AY18" t="str">
        <f t="shared" si="15"/>
        <v>07</v>
      </c>
      <c r="AZ18" s="98" t="str">
        <f t="shared" si="16"/>
        <v>04</v>
      </c>
      <c r="BA18" t="str">
        <f t="shared" si="17"/>
        <v>4</v>
      </c>
      <c r="BB18" t="str">
        <f t="shared" si="20"/>
        <v>https://www.coreplan.io/app/ddh1-drilling/speewah-mining-speewah-fluorite-project-strike/plods/6174-250704D</v>
      </c>
      <c r="BC18" t="str">
        <f t="shared" si="18"/>
        <v>2025-07</v>
      </c>
    </row>
    <row r="19" spans="1:55" s="109" customFormat="1">
      <c r="A19" s="510" t="str">
        <f>VLOOKUP(E19,'Tenement Lookup'!A:BH,60,FALSE)</f>
        <v>M 80/268</v>
      </c>
      <c r="B19" t="str">
        <f>VLOOKUP(E19,Purpose!$A$2:$B$334,2,FALSE)</f>
        <v>Infill</v>
      </c>
      <c r="C19" s="59" t="s">
        <v>12</v>
      </c>
      <c r="D19" s="265">
        <v>45843</v>
      </c>
      <c r="E19" s="28" t="s">
        <v>685</v>
      </c>
      <c r="F19" s="28" t="s">
        <v>689</v>
      </c>
      <c r="G19" s="28"/>
      <c r="H19" s="28"/>
      <c r="I19" s="266" t="s">
        <v>687</v>
      </c>
      <c r="J19" s="266">
        <v>3</v>
      </c>
      <c r="K19" s="294">
        <f t="shared" si="19"/>
        <v>390</v>
      </c>
      <c r="L19" s="187">
        <v>50</v>
      </c>
      <c r="M19" s="267">
        <v>14</v>
      </c>
      <c r="N19" s="4">
        <v>20</v>
      </c>
      <c r="O19" s="267">
        <v>34</v>
      </c>
      <c r="P19" s="4"/>
      <c r="Q19" s="267"/>
      <c r="R19" s="318">
        <f t="shared" si="21"/>
        <v>118</v>
      </c>
      <c r="S19" s="273">
        <f t="shared" si="12"/>
        <v>5500</v>
      </c>
      <c r="T19" s="269">
        <v>5.25</v>
      </c>
      <c r="U19" s="295">
        <f t="shared" si="22"/>
        <v>5500</v>
      </c>
      <c r="V19" s="270">
        <v>5</v>
      </c>
      <c r="W19" s="270">
        <v>5</v>
      </c>
      <c r="X19" s="4">
        <v>1</v>
      </c>
      <c r="Y19" s="4">
        <v>1</v>
      </c>
      <c r="Z19" s="292">
        <f t="shared" si="11"/>
        <v>5.25</v>
      </c>
      <c r="AA19" s="271">
        <v>4</v>
      </c>
      <c r="AB19" s="271">
        <v>1.5</v>
      </c>
      <c r="AC19" s="271">
        <v>0</v>
      </c>
      <c r="AD19" s="271">
        <v>1.25</v>
      </c>
      <c r="AE19" s="293"/>
      <c r="AF19" s="416">
        <f t="shared" si="1"/>
        <v>12</v>
      </c>
      <c r="AG19"/>
      <c r="AH19" s="314">
        <f t="shared" si="2"/>
        <v>595</v>
      </c>
      <c r="AI19" s="312">
        <f t="shared" si="3"/>
        <v>1100</v>
      </c>
      <c r="AJ19" s="313">
        <f t="shared" si="4"/>
        <v>2840</v>
      </c>
      <c r="AK19" s="310"/>
      <c r="AL19" s="309">
        <v>613.67999999999995</v>
      </c>
      <c r="AM19" s="309">
        <f t="shared" ca="1" si="5"/>
        <v>11038.68</v>
      </c>
      <c r="AN19" s="381">
        <v>11038.68</v>
      </c>
      <c r="AO19" s="11">
        <f t="shared" si="6"/>
        <v>7098.68</v>
      </c>
      <c r="AP19" s="361">
        <f t="shared" ca="1" si="7"/>
        <v>0.35692673399355718</v>
      </c>
      <c r="AQ19" s="11">
        <f ca="1">IF(D19&gt;TODAY()-1,"",SUM($AM$6:AM19))</f>
        <v>208935.58</v>
      </c>
      <c r="AR19" s="11">
        <f ca="1">IF(AM19&lt;&gt;"", SUMIFS($AM$8:AM19, $BC$8:BC19, BC19), "")</f>
        <v>54621.51</v>
      </c>
      <c r="AS19" s="11">
        <f t="shared" ca="1" si="23"/>
        <v>93.548135593220337</v>
      </c>
      <c r="AT19" s="11"/>
      <c r="AU19" s="131" t="str">
        <f t="shared" ca="1" si="13"/>
        <v>LINK</v>
      </c>
      <c r="AV19" s="109" t="s">
        <v>690</v>
      </c>
      <c r="AW19" s="132" t="s">
        <v>664</v>
      </c>
      <c r="AX19" s="109" t="str">
        <f t="shared" si="14"/>
        <v>25</v>
      </c>
      <c r="AY19" s="109" t="str">
        <f t="shared" si="15"/>
        <v>07</v>
      </c>
      <c r="AZ19" s="98" t="str">
        <f t="shared" si="16"/>
        <v>05</v>
      </c>
      <c r="BA19" s="109" t="str">
        <f t="shared" si="17"/>
        <v>4</v>
      </c>
      <c r="BB19" t="str">
        <f t="shared" si="20"/>
        <v>https://www.coreplan.io/app/ddh1-drilling/speewah-mining-speewah-fluorite-project-strike/plods/6174-250705D</v>
      </c>
      <c r="BC19" s="109" t="str">
        <f t="shared" si="18"/>
        <v>2025-07</v>
      </c>
    </row>
    <row r="20" spans="1:55">
      <c r="A20" s="510" t="str">
        <f>VLOOKUP(E20,'Tenement Lookup'!A:BH,60,FALSE)</f>
        <v>M 80/268</v>
      </c>
      <c r="B20" t="str">
        <f>VLOOKUP(E20,Purpose!$A$2:$B$334,2,FALSE)</f>
        <v>Infill</v>
      </c>
      <c r="C20" s="59" t="s">
        <v>12</v>
      </c>
      <c r="D20" s="265">
        <v>45844</v>
      </c>
      <c r="E20" s="28" t="s">
        <v>691</v>
      </c>
      <c r="F20" s="28" t="s">
        <v>692</v>
      </c>
      <c r="I20" s="266" t="s">
        <v>687</v>
      </c>
      <c r="J20" s="266">
        <v>3</v>
      </c>
      <c r="K20" s="294">
        <f>J20*$K$3</f>
        <v>390</v>
      </c>
      <c r="L20" s="187">
        <v>100</v>
      </c>
      <c r="M20" s="267">
        <v>100</v>
      </c>
      <c r="N20" s="4">
        <v>42</v>
      </c>
      <c r="R20" s="318">
        <f>L20+M20+N20+O20+P20+Q20</f>
        <v>242</v>
      </c>
      <c r="S20" s="273">
        <f>(L20*$L$3)+(M20*$M$3)+(N20*$N$3)+(O20*$O$3)+(P20*$P$3)+(Q20*$Q$3)</f>
        <v>10600</v>
      </c>
      <c r="T20" s="269">
        <v>6.75</v>
      </c>
      <c r="U20" s="295">
        <f>IF(S20&lt;(T20*$T$3),(T20*$T$3),S20)</f>
        <v>10600</v>
      </c>
      <c r="V20" s="270">
        <v>6</v>
      </c>
      <c r="W20" s="270">
        <v>6</v>
      </c>
      <c r="X20" s="4">
        <v>1</v>
      </c>
      <c r="Y20" s="4">
        <v>1</v>
      </c>
      <c r="Z20" s="292">
        <f>T20</f>
        <v>6.75</v>
      </c>
      <c r="AA20" s="271">
        <v>3.5</v>
      </c>
      <c r="AB20" s="271">
        <v>1</v>
      </c>
      <c r="AD20" s="271">
        <v>0.75</v>
      </c>
      <c r="AF20" s="416">
        <f t="shared" si="1"/>
        <v>12</v>
      </c>
      <c r="AH20" s="314">
        <f t="shared" si="2"/>
        <v>595</v>
      </c>
      <c r="AI20" s="312">
        <f t="shared" si="3"/>
        <v>1320</v>
      </c>
      <c r="AJ20" s="313">
        <f t="shared" si="4"/>
        <v>2372.5</v>
      </c>
      <c r="AK20" s="310"/>
      <c r="AL20" s="309">
        <v>798.36999999999989</v>
      </c>
      <c r="AM20" s="309">
        <f t="shared" ca="1" si="5"/>
        <v>16075.869999999999</v>
      </c>
      <c r="AN20" s="381">
        <v>16075.87</v>
      </c>
      <c r="AO20" s="11">
        <f t="shared" si="6"/>
        <v>12383.369999999999</v>
      </c>
      <c r="AP20" s="361">
        <f t="shared" ca="1" si="7"/>
        <v>0.22969207887349177</v>
      </c>
      <c r="AQ20" s="11">
        <f ca="1">IF(D20&gt;TODAY()-1,"",SUM($AM$6:AM20))</f>
        <v>225011.44999999998</v>
      </c>
      <c r="AR20" s="11">
        <f ca="1">IF(AM20&lt;&gt;"", SUMIFS($AM$8:AM20, $BC$8:BC20, BC20), "")</f>
        <v>70697.38</v>
      </c>
      <c r="AS20" s="11">
        <f t="shared" ca="1" si="23"/>
        <v>66.429214876033058</v>
      </c>
      <c r="AT20" s="11"/>
      <c r="AU20" s="124" t="str">
        <f t="shared" ca="1" si="13"/>
        <v>LINK</v>
      </c>
      <c r="AV20" t="s">
        <v>693</v>
      </c>
      <c r="AW20" s="125" t="s">
        <v>664</v>
      </c>
      <c r="AX20" t="str">
        <f t="shared" si="14"/>
        <v>25</v>
      </c>
      <c r="AY20" t="str">
        <f t="shared" si="15"/>
        <v>07</v>
      </c>
      <c r="AZ20" s="98" t="str">
        <f t="shared" si="16"/>
        <v>06</v>
      </c>
      <c r="BA20" t="str">
        <f t="shared" si="17"/>
        <v>4</v>
      </c>
      <c r="BB20" t="str">
        <f>CONCATENATE(AW20,"-",AX20,AY20,AZ20,"D")</f>
        <v>https://www.coreplan.io/app/ddh1-drilling/speewah-mining-speewah-fluorite-project-strike/plods/6174-250706D</v>
      </c>
      <c r="BC20" t="str">
        <f t="shared" si="18"/>
        <v>2025-07</v>
      </c>
    </row>
    <row r="21" spans="1:55">
      <c r="A21" s="510" t="str">
        <f>VLOOKUP(E21,'Tenement Lookup'!A:BH,60,FALSE)</f>
        <v>M 80/268</v>
      </c>
      <c r="B21" t="str">
        <f>VLOOKUP(E21,Purpose!$A$2:$B$334,2,FALSE)</f>
        <v>Infill</v>
      </c>
      <c r="C21" s="59" t="s">
        <v>14</v>
      </c>
      <c r="D21" s="265">
        <v>45845</v>
      </c>
      <c r="E21" s="28" t="s">
        <v>694</v>
      </c>
      <c r="I21" s="266" t="s">
        <v>687</v>
      </c>
      <c r="J21" s="266">
        <v>3</v>
      </c>
      <c r="K21" s="294">
        <f t="shared" si="19"/>
        <v>390</v>
      </c>
      <c r="L21" s="187">
        <v>50</v>
      </c>
      <c r="M21" s="267">
        <v>50</v>
      </c>
      <c r="N21" s="4">
        <v>50</v>
      </c>
      <c r="O21" s="267">
        <v>40</v>
      </c>
      <c r="R21" s="318">
        <f t="shared" si="21"/>
        <v>190</v>
      </c>
      <c r="S21" s="273">
        <f t="shared" si="12"/>
        <v>8950</v>
      </c>
      <c r="T21" s="269">
        <v>6</v>
      </c>
      <c r="U21" s="295">
        <f t="shared" si="22"/>
        <v>8950</v>
      </c>
      <c r="V21" s="270">
        <v>5</v>
      </c>
      <c r="W21" s="270">
        <v>5</v>
      </c>
      <c r="X21" s="4">
        <v>1</v>
      </c>
      <c r="Y21" s="4">
        <v>1</v>
      </c>
      <c r="Z21" s="292">
        <f t="shared" si="11"/>
        <v>6</v>
      </c>
      <c r="AA21" s="271">
        <v>1.75</v>
      </c>
      <c r="AB21" s="271">
        <v>1.75</v>
      </c>
      <c r="AD21" s="271">
        <v>2.5</v>
      </c>
      <c r="AF21" s="416">
        <f t="shared" si="1"/>
        <v>12</v>
      </c>
      <c r="AH21" s="314">
        <f t="shared" si="2"/>
        <v>595</v>
      </c>
      <c r="AI21" s="312">
        <f t="shared" si="3"/>
        <v>1100</v>
      </c>
      <c r="AJ21" s="313">
        <f t="shared" si="4"/>
        <v>1636.25</v>
      </c>
      <c r="AK21" s="310"/>
      <c r="AL21" s="309">
        <v>613.67999999999995</v>
      </c>
      <c r="AM21" s="309">
        <f t="shared" ca="1" si="5"/>
        <v>13284.93</v>
      </c>
      <c r="AN21" s="381">
        <v>13284.93</v>
      </c>
      <c r="AO21" s="11">
        <f t="shared" si="6"/>
        <v>10548.68</v>
      </c>
      <c r="AP21" s="361">
        <f t="shared" ca="1" si="7"/>
        <v>0.20596645974047284</v>
      </c>
      <c r="AQ21" s="11">
        <f ca="1">IF(D21&gt;TODAY()-1,"",SUM($AM$6:AM21))</f>
        <v>238296.37999999998</v>
      </c>
      <c r="AR21" s="11">
        <f ca="1">IF(AM21&lt;&gt;"", SUMIFS($AM$8:AM21, $BC$8:BC21, BC21), "")</f>
        <v>83982.31</v>
      </c>
      <c r="AS21" s="11">
        <f t="shared" ca="1" si="23"/>
        <v>69.920684210526318</v>
      </c>
      <c r="AT21" s="11"/>
      <c r="AU21" s="124" t="str">
        <f t="shared" ca="1" si="13"/>
        <v>LINK</v>
      </c>
      <c r="AW21" s="125" t="s">
        <v>664</v>
      </c>
      <c r="AX21" t="str">
        <f t="shared" si="14"/>
        <v>25</v>
      </c>
      <c r="AY21" t="str">
        <f t="shared" si="15"/>
        <v>07</v>
      </c>
      <c r="AZ21" s="98" t="str">
        <f t="shared" si="16"/>
        <v>07</v>
      </c>
      <c r="BA21" t="str">
        <f t="shared" si="17"/>
        <v>4</v>
      </c>
      <c r="BB21" t="str">
        <f t="shared" si="20"/>
        <v>https://www.coreplan.io/app/ddh1-drilling/speewah-mining-speewah-fluorite-project-strike/plods/6174-250707D</v>
      </c>
      <c r="BC21" t="str">
        <f t="shared" si="18"/>
        <v>2025-07</v>
      </c>
    </row>
    <row r="22" spans="1:55">
      <c r="A22" s="510" t="str">
        <f>VLOOKUP(E22,'Tenement Lookup'!A:BH,60,FALSE)</f>
        <v>M 80/268</v>
      </c>
      <c r="B22" t="str">
        <f>VLOOKUP(E22,Purpose!$A$2:$B$334,2,FALSE)</f>
        <v>Infill</v>
      </c>
      <c r="C22" s="59" t="s">
        <v>14</v>
      </c>
      <c r="D22" s="265">
        <v>45846</v>
      </c>
      <c r="E22" s="28" t="s">
        <v>694</v>
      </c>
      <c r="I22" s="266" t="s">
        <v>687</v>
      </c>
      <c r="J22" s="266">
        <v>3</v>
      </c>
      <c r="K22" s="294">
        <f t="shared" si="19"/>
        <v>390</v>
      </c>
      <c r="L22" s="187">
        <v>0</v>
      </c>
      <c r="M22" s="267">
        <v>0</v>
      </c>
      <c r="N22" s="4">
        <v>0</v>
      </c>
      <c r="O22" s="267">
        <v>0</v>
      </c>
      <c r="R22" s="318">
        <f t="shared" si="21"/>
        <v>0</v>
      </c>
      <c r="S22" s="273">
        <f t="shared" si="12"/>
        <v>0</v>
      </c>
      <c r="T22" s="269"/>
      <c r="U22" s="295">
        <f t="shared" si="22"/>
        <v>0</v>
      </c>
      <c r="V22" s="270">
        <v>0</v>
      </c>
      <c r="W22" s="270">
        <v>0</v>
      </c>
      <c r="X22" s="4">
        <v>1</v>
      </c>
      <c r="Y22" s="4">
        <v>1</v>
      </c>
      <c r="Z22" s="292">
        <f t="shared" si="11"/>
        <v>0</v>
      </c>
      <c r="AA22" s="271">
        <v>2.5</v>
      </c>
      <c r="AB22" s="271">
        <v>0</v>
      </c>
      <c r="AD22" s="271">
        <v>9.5</v>
      </c>
      <c r="AF22" s="416">
        <f t="shared" si="1"/>
        <v>12</v>
      </c>
      <c r="AH22" s="314">
        <f t="shared" si="2"/>
        <v>595</v>
      </c>
      <c r="AI22" s="312">
        <f t="shared" si="3"/>
        <v>0</v>
      </c>
      <c r="AJ22" s="313">
        <f t="shared" si="4"/>
        <v>1437.5</v>
      </c>
      <c r="AK22" s="310"/>
      <c r="AL22" s="309">
        <v>0</v>
      </c>
      <c r="AM22" s="309">
        <f t="shared" ca="1" si="5"/>
        <v>2422.5</v>
      </c>
      <c r="AN22" s="381">
        <v>2422.5</v>
      </c>
      <c r="AO22" s="11">
        <f t="shared" si="6"/>
        <v>985</v>
      </c>
      <c r="AP22" s="361">
        <f t="shared" ca="1" si="7"/>
        <v>0.59339525283797734</v>
      </c>
      <c r="AQ22" s="11">
        <f ca="1">IF(D22&gt;TODAY()-1,"",SUM($AM$6:AM22))</f>
        <v>240718.87999999998</v>
      </c>
      <c r="AR22" s="11">
        <f ca="1">IF(AM22&lt;&gt;"", SUMIFS($AM$8:AM22, $BC$8:BC22, BC22), "")</f>
        <v>86404.81</v>
      </c>
      <c r="AS22" s="11" t="str">
        <f t="shared" si="23"/>
        <v>No drilling completed today, if maintenance provide context -&gt;</v>
      </c>
      <c r="AT22" s="11" t="s">
        <v>695</v>
      </c>
      <c r="AU22" s="124" t="str">
        <f t="shared" ca="1" si="13"/>
        <v>LINK</v>
      </c>
      <c r="AV22" s="10" t="s">
        <v>696</v>
      </c>
      <c r="AW22" s="125" t="s">
        <v>664</v>
      </c>
      <c r="AX22" t="str">
        <f t="shared" si="14"/>
        <v>25</v>
      </c>
      <c r="AY22" t="str">
        <f t="shared" si="15"/>
        <v>07</v>
      </c>
      <c r="AZ22" s="98" t="str">
        <f t="shared" si="16"/>
        <v>08</v>
      </c>
      <c r="BA22" t="str">
        <f t="shared" si="17"/>
        <v>4</v>
      </c>
      <c r="BB22" t="str">
        <f t="shared" si="20"/>
        <v>https://www.coreplan.io/app/ddh1-drilling/speewah-mining-speewah-fluorite-project-strike/plods/6174-250708D</v>
      </c>
      <c r="BC22" t="str">
        <f t="shared" si="18"/>
        <v>2025-07</v>
      </c>
    </row>
    <row r="23" spans="1:55">
      <c r="A23" s="510" t="str">
        <f>VLOOKUP(E23,'Tenement Lookup'!A:BH,60,FALSE)</f>
        <v>M 80/268</v>
      </c>
      <c r="B23" t="str">
        <f>VLOOKUP(E23,Purpose!$A$2:$B$334,2,FALSE)</f>
        <v>Infill</v>
      </c>
      <c r="C23" s="59" t="s">
        <v>14</v>
      </c>
      <c r="D23" s="265">
        <v>45847</v>
      </c>
      <c r="E23" s="28" t="s">
        <v>694</v>
      </c>
      <c r="I23" s="266" t="s">
        <v>687</v>
      </c>
      <c r="J23" s="266">
        <v>3</v>
      </c>
      <c r="K23" s="294">
        <f t="shared" si="19"/>
        <v>390</v>
      </c>
      <c r="L23" s="187">
        <v>0</v>
      </c>
      <c r="M23" s="267">
        <v>0</v>
      </c>
      <c r="N23" s="4">
        <v>0</v>
      </c>
      <c r="O23" s="267">
        <v>0</v>
      </c>
      <c r="R23" s="318">
        <f t="shared" si="21"/>
        <v>0</v>
      </c>
      <c r="S23" s="273">
        <f t="shared" si="12"/>
        <v>0</v>
      </c>
      <c r="T23" s="269"/>
      <c r="U23" s="295">
        <f t="shared" si="22"/>
        <v>0</v>
      </c>
      <c r="V23" s="270">
        <v>0</v>
      </c>
      <c r="W23" s="270">
        <v>0</v>
      </c>
      <c r="X23" s="4">
        <v>1</v>
      </c>
      <c r="Y23" s="4">
        <v>1</v>
      </c>
      <c r="Z23" s="292">
        <f t="shared" si="11"/>
        <v>0</v>
      </c>
      <c r="AA23" s="271">
        <v>0.5</v>
      </c>
      <c r="AB23" s="271">
        <v>0.5</v>
      </c>
      <c r="AD23" s="271">
        <v>11</v>
      </c>
      <c r="AF23" s="416">
        <f t="shared" si="1"/>
        <v>12</v>
      </c>
      <c r="AH23" s="314">
        <f t="shared" si="2"/>
        <v>595</v>
      </c>
      <c r="AI23" s="312">
        <f t="shared" si="3"/>
        <v>0</v>
      </c>
      <c r="AJ23" s="313">
        <f t="shared" si="4"/>
        <v>467.5</v>
      </c>
      <c r="AK23" s="310"/>
      <c r="AL23" s="309">
        <v>0</v>
      </c>
      <c r="AM23" s="309">
        <f t="shared" ca="1" si="5"/>
        <v>1452.5</v>
      </c>
      <c r="AN23" s="381">
        <v>1452.5</v>
      </c>
      <c r="AO23" s="11">
        <f t="shared" si="6"/>
        <v>985</v>
      </c>
      <c r="AP23" s="361">
        <f t="shared" ca="1" si="7"/>
        <v>0.32185886402753872</v>
      </c>
      <c r="AQ23" s="11">
        <f ca="1">IF(D23&gt;TODAY()-1,"",SUM($AM$6:AM23))</f>
        <v>242171.37999999998</v>
      </c>
      <c r="AR23" s="11">
        <f ca="1">IF(AM23&lt;&gt;"", SUMIFS($AM$8:AM23, $BC$8:BC23, BC23), "")</f>
        <v>87857.31</v>
      </c>
      <c r="AS23" s="11" t="str">
        <f t="shared" si="23"/>
        <v>No drilling completed today, if maintenance provide context -&gt;</v>
      </c>
      <c r="AT23" s="11"/>
      <c r="AU23" s="124" t="str">
        <f t="shared" ca="1" si="13"/>
        <v>LINK</v>
      </c>
      <c r="AW23" s="125" t="s">
        <v>664</v>
      </c>
      <c r="AX23" t="str">
        <f t="shared" si="14"/>
        <v>25</v>
      </c>
      <c r="AY23" t="str">
        <f t="shared" si="15"/>
        <v>07</v>
      </c>
      <c r="AZ23" s="98" t="str">
        <f t="shared" si="16"/>
        <v>09</v>
      </c>
      <c r="BA23" t="str">
        <f t="shared" si="17"/>
        <v>4</v>
      </c>
      <c r="BB23" t="str">
        <f t="shared" si="20"/>
        <v>https://www.coreplan.io/app/ddh1-drilling/speewah-mining-speewah-fluorite-project-strike/plods/6174-250709D</v>
      </c>
      <c r="BC23" t="str">
        <f t="shared" si="18"/>
        <v>2025-07</v>
      </c>
    </row>
    <row r="24" spans="1:55">
      <c r="A24" s="510" t="str">
        <f>VLOOKUP(E24,'Tenement Lookup'!A:BH,60,FALSE)</f>
        <v>M 80/268</v>
      </c>
      <c r="B24" t="str">
        <f>VLOOKUP(E24,Purpose!$A$2:$B$334,2,FALSE)</f>
        <v>A Vein RC</v>
      </c>
      <c r="C24" s="59" t="s">
        <v>14</v>
      </c>
      <c r="D24" s="265">
        <v>45848</v>
      </c>
      <c r="E24" s="28" t="s">
        <v>697</v>
      </c>
      <c r="I24" s="266" t="s">
        <v>687</v>
      </c>
      <c r="J24" s="266">
        <v>3</v>
      </c>
      <c r="K24" s="294">
        <f t="shared" si="19"/>
        <v>390</v>
      </c>
      <c r="L24" s="187">
        <v>0</v>
      </c>
      <c r="M24" s="267">
        <v>0</v>
      </c>
      <c r="N24" s="4">
        <v>0</v>
      </c>
      <c r="O24" s="267">
        <v>0</v>
      </c>
      <c r="R24" s="318">
        <f t="shared" si="21"/>
        <v>0</v>
      </c>
      <c r="S24" s="273">
        <f t="shared" si="12"/>
        <v>0</v>
      </c>
      <c r="T24" s="269"/>
      <c r="U24" s="295">
        <f t="shared" si="22"/>
        <v>0</v>
      </c>
      <c r="V24" s="270">
        <v>0</v>
      </c>
      <c r="W24" s="270">
        <v>0</v>
      </c>
      <c r="X24" s="4">
        <v>1</v>
      </c>
      <c r="Y24" s="4">
        <v>1</v>
      </c>
      <c r="Z24" s="292">
        <f t="shared" si="11"/>
        <v>0</v>
      </c>
      <c r="AA24" s="271">
        <v>0.5</v>
      </c>
      <c r="AB24" s="271">
        <v>0</v>
      </c>
      <c r="AD24" s="271">
        <v>11.5</v>
      </c>
      <c r="AF24" s="416">
        <f t="shared" si="1"/>
        <v>12</v>
      </c>
      <c r="AH24" s="314">
        <f t="shared" si="2"/>
        <v>595</v>
      </c>
      <c r="AI24" s="312">
        <f t="shared" si="3"/>
        <v>0</v>
      </c>
      <c r="AJ24" s="313">
        <f t="shared" si="4"/>
        <v>287.5</v>
      </c>
      <c r="AK24" s="310"/>
      <c r="AM24" s="309">
        <f t="shared" ca="1" si="5"/>
        <v>1272.5</v>
      </c>
      <c r="AN24" s="381">
        <v>1272.5</v>
      </c>
      <c r="AO24" s="11">
        <f t="shared" si="6"/>
        <v>985</v>
      </c>
      <c r="AP24" s="361">
        <f t="shared" ca="1" si="7"/>
        <v>0.22593320235756384</v>
      </c>
      <c r="AQ24" s="11">
        <f ca="1">IF(D24&gt;TODAY()-1,"",SUM($AM$6:AM24))</f>
        <v>243443.87999999998</v>
      </c>
      <c r="AR24" s="11">
        <f ca="1">IF(AM24&lt;&gt;"", SUMIFS($AM$8:AM24, $BC$8:BC24, BC24), "")</f>
        <v>89129.81</v>
      </c>
      <c r="AS24" s="11" t="str">
        <f t="shared" si="23"/>
        <v>No drilling completed today, if maintenance provide context -&gt;</v>
      </c>
      <c r="AT24" s="11"/>
      <c r="AU24" s="124" t="str">
        <f t="shared" ca="1" si="13"/>
        <v>LINK</v>
      </c>
      <c r="AW24" s="125" t="s">
        <v>664</v>
      </c>
      <c r="AX24" t="str">
        <f t="shared" si="14"/>
        <v>25</v>
      </c>
      <c r="AY24" t="str">
        <f t="shared" si="15"/>
        <v>07</v>
      </c>
      <c r="AZ24" s="98">
        <f t="shared" si="16"/>
        <v>10</v>
      </c>
      <c r="BA24" t="str">
        <f t="shared" si="17"/>
        <v>4</v>
      </c>
      <c r="BB24" t="str">
        <f t="shared" si="20"/>
        <v>https://www.coreplan.io/app/ddh1-drilling/speewah-mining-speewah-fluorite-project-strike/plods/6174-250710D</v>
      </c>
      <c r="BC24" t="str">
        <f t="shared" si="18"/>
        <v>2025-07</v>
      </c>
    </row>
    <row r="25" spans="1:55">
      <c r="A25" s="510" t="str">
        <f>VLOOKUP(E25,'Tenement Lookup'!A:BH,60,FALSE)</f>
        <v>M 80/268</v>
      </c>
      <c r="B25" t="str">
        <f>VLOOKUP(E25,Purpose!$A$2:$B$334,2,FALSE)</f>
        <v>A Vein RC</v>
      </c>
      <c r="C25" s="59" t="s">
        <v>14</v>
      </c>
      <c r="D25" s="265">
        <v>45849</v>
      </c>
      <c r="E25" s="28" t="s">
        <v>697</v>
      </c>
      <c r="F25" s="28" t="s">
        <v>698</v>
      </c>
      <c r="I25" s="266" t="s">
        <v>687</v>
      </c>
      <c r="J25" s="266">
        <v>3</v>
      </c>
      <c r="K25" s="294">
        <f t="shared" si="19"/>
        <v>390</v>
      </c>
      <c r="L25" s="187">
        <v>96</v>
      </c>
      <c r="M25" s="267">
        <v>50</v>
      </c>
      <c r="N25" s="4">
        <v>6</v>
      </c>
      <c r="O25" s="267">
        <v>0</v>
      </c>
      <c r="R25" s="318">
        <f>L25+M25+N25+O25+P25+Q25</f>
        <v>152</v>
      </c>
      <c r="S25" s="273">
        <f t="shared" si="12"/>
        <v>6390</v>
      </c>
      <c r="T25" s="269">
        <v>6.5</v>
      </c>
      <c r="U25" s="295">
        <f t="shared" si="22"/>
        <v>6390</v>
      </c>
      <c r="V25" s="270">
        <v>7</v>
      </c>
      <c r="W25" s="270">
        <v>7</v>
      </c>
      <c r="X25" s="4">
        <v>1</v>
      </c>
      <c r="Y25" s="4">
        <v>1</v>
      </c>
      <c r="Z25" s="292">
        <f t="shared" si="11"/>
        <v>6.5</v>
      </c>
      <c r="AA25" s="271">
        <v>3.25</v>
      </c>
      <c r="AB25" s="271">
        <v>0.5</v>
      </c>
      <c r="AD25" s="271">
        <v>1.75</v>
      </c>
      <c r="AF25" s="416">
        <f t="shared" si="1"/>
        <v>12</v>
      </c>
      <c r="AH25" s="314">
        <f t="shared" si="2"/>
        <v>595</v>
      </c>
      <c r="AI25" s="312">
        <f t="shared" si="3"/>
        <v>1540</v>
      </c>
      <c r="AJ25" s="313">
        <f t="shared" si="4"/>
        <v>2048.75</v>
      </c>
      <c r="AK25" s="310"/>
      <c r="AL25" s="309">
        <v>798.37</v>
      </c>
      <c r="AM25" s="309">
        <f t="shared" ca="1" si="5"/>
        <v>11762.12</v>
      </c>
      <c r="AN25" s="381">
        <v>11762.12</v>
      </c>
      <c r="AO25" s="11">
        <f t="shared" si="6"/>
        <v>8173.37</v>
      </c>
      <c r="AP25" s="361">
        <f t="shared" ca="1" si="7"/>
        <v>0.30511081335677587</v>
      </c>
      <c r="AQ25" s="11">
        <f ca="1">IF(D25&gt;TODAY()-1,"",SUM($AM$6:AM25))</f>
        <v>255205.99999999997</v>
      </c>
      <c r="AR25" s="11">
        <f ca="1">IF(AM25&lt;&gt;"", SUMIFS($AM$8:AM25, $BC$8:BC25, BC25), "")</f>
        <v>100891.93</v>
      </c>
      <c r="AS25" s="11">
        <f t="shared" ca="1" si="23"/>
        <v>77.382368421052632</v>
      </c>
      <c r="AT25" s="11"/>
      <c r="AU25" s="124" t="str">
        <f t="shared" ca="1" si="13"/>
        <v>LINK</v>
      </c>
      <c r="AW25" s="125" t="s">
        <v>664</v>
      </c>
      <c r="AX25" t="str">
        <f t="shared" si="14"/>
        <v>25</v>
      </c>
      <c r="AY25" t="str">
        <f t="shared" si="15"/>
        <v>07</v>
      </c>
      <c r="AZ25" s="98">
        <f t="shared" si="16"/>
        <v>11</v>
      </c>
      <c r="BA25" t="str">
        <f t="shared" si="17"/>
        <v>4</v>
      </c>
      <c r="BB25" t="str">
        <f t="shared" si="20"/>
        <v>https://www.coreplan.io/app/ddh1-drilling/speewah-mining-speewah-fluorite-project-strike/plods/6174-250711D</v>
      </c>
      <c r="BC25" t="str">
        <f t="shared" si="18"/>
        <v>2025-07</v>
      </c>
    </row>
    <row r="26" spans="1:55">
      <c r="A26" s="510" t="str">
        <f>VLOOKUP(E26,'Tenement Lookup'!A:BH,60,FALSE)</f>
        <v>M 80/268</v>
      </c>
      <c r="B26" t="str">
        <f>VLOOKUP(E26,Purpose!$A$2:$B$334,2,FALSE)</f>
        <v>A Vein RC</v>
      </c>
      <c r="C26" s="59" t="s">
        <v>14</v>
      </c>
      <c r="D26" s="265">
        <v>45850</v>
      </c>
      <c r="E26" s="28" t="s">
        <v>698</v>
      </c>
      <c r="F26" s="28" t="s">
        <v>699</v>
      </c>
      <c r="G26" s="28" t="s">
        <v>700</v>
      </c>
      <c r="I26" s="266" t="s">
        <v>687</v>
      </c>
      <c r="J26" s="266">
        <v>3</v>
      </c>
      <c r="K26" s="294">
        <f t="shared" ref="K26:K40" si="24">J26*$K$3</f>
        <v>390</v>
      </c>
      <c r="L26" s="187">
        <v>90</v>
      </c>
      <c r="M26" s="267">
        <v>20</v>
      </c>
      <c r="N26" s="4">
        <v>36</v>
      </c>
      <c r="R26" s="318">
        <f>L26+M26+N26+O26+P26+Q26</f>
        <v>146</v>
      </c>
      <c r="S26" s="273">
        <f t="shared" si="12"/>
        <v>6300</v>
      </c>
      <c r="T26" s="269">
        <v>5.5</v>
      </c>
      <c r="U26" s="295">
        <f t="shared" ref="U26:U40" si="25">IF(S26&lt;(T26*$T$3),(T26*$T$3),S26)</f>
        <v>6300</v>
      </c>
      <c r="V26" s="270">
        <v>6</v>
      </c>
      <c r="W26" s="270">
        <v>6</v>
      </c>
      <c r="X26" s="4">
        <v>1</v>
      </c>
      <c r="Y26" s="4">
        <v>1</v>
      </c>
      <c r="Z26" s="292">
        <f t="shared" si="11"/>
        <v>5.5</v>
      </c>
      <c r="AA26" s="271">
        <v>4.25</v>
      </c>
      <c r="AB26" s="271">
        <v>1.5</v>
      </c>
      <c r="AD26" s="271">
        <v>0.75</v>
      </c>
      <c r="AF26" s="416">
        <f t="shared" si="1"/>
        <v>12</v>
      </c>
      <c r="AH26" s="314">
        <f t="shared" si="2"/>
        <v>595</v>
      </c>
      <c r="AI26" s="312">
        <f t="shared" si="3"/>
        <v>1320</v>
      </c>
      <c r="AJ26" s="313">
        <f t="shared" si="4"/>
        <v>2983.75</v>
      </c>
      <c r="AK26" s="310"/>
      <c r="AL26" s="309">
        <v>798.36999999999989</v>
      </c>
      <c r="AM26" s="309">
        <f t="shared" ca="1" si="5"/>
        <v>12387.119999999999</v>
      </c>
      <c r="AN26" s="381">
        <v>12387.12</v>
      </c>
      <c r="AO26" s="11">
        <f t="shared" si="6"/>
        <v>8083.37</v>
      </c>
      <c r="AP26" s="361">
        <f t="shared" ca="1" si="7"/>
        <v>0.34743749959635489</v>
      </c>
      <c r="AQ26" s="11">
        <f ca="1">IF(D26&gt;TODAY()-1,"",SUM($AM$6:AM26))</f>
        <v>267593.12</v>
      </c>
      <c r="AR26" s="11">
        <f ca="1">IF(AM26&lt;&gt;"", SUMIFS($AM$8:AM26, $BC$8:BC26, BC26), "")</f>
        <v>113279.04999999999</v>
      </c>
      <c r="AS26" s="11">
        <f t="shared" ca="1" si="23"/>
        <v>84.843287671232872</v>
      </c>
      <c r="AT26" s="11"/>
      <c r="AU26" s="124" t="str">
        <f t="shared" ca="1" si="13"/>
        <v>LINK</v>
      </c>
      <c r="AW26" s="125" t="s">
        <v>664</v>
      </c>
      <c r="AX26" t="str">
        <f t="shared" si="14"/>
        <v>25</v>
      </c>
      <c r="AY26" t="str">
        <f t="shared" si="15"/>
        <v>07</v>
      </c>
      <c r="AZ26" s="98">
        <f t="shared" si="16"/>
        <v>12</v>
      </c>
      <c r="BA26" t="str">
        <f t="shared" si="17"/>
        <v>4</v>
      </c>
      <c r="BB26" t="str">
        <f t="shared" si="20"/>
        <v>https://www.coreplan.io/app/ddh1-drilling/speewah-mining-speewah-fluorite-project-strike/plods/6174-250712D</v>
      </c>
      <c r="BC26" t="str">
        <f t="shared" si="18"/>
        <v>2025-07</v>
      </c>
    </row>
    <row r="27" spans="1:55">
      <c r="A27" s="510" t="str">
        <f>VLOOKUP(E27,'Tenement Lookup'!A:BH,60,FALSE)</f>
        <v>M 80/268</v>
      </c>
      <c r="B27" t="str">
        <f>VLOOKUP(E27,Purpose!$A$2:$B$334,2,FALSE)</f>
        <v>A Vein RC</v>
      </c>
      <c r="C27" s="59" t="s">
        <v>14</v>
      </c>
      <c r="D27" s="265">
        <v>45851</v>
      </c>
      <c r="E27" s="28" t="s">
        <v>700</v>
      </c>
      <c r="F27" s="28" t="s">
        <v>701</v>
      </c>
      <c r="I27" s="266" t="s">
        <v>687</v>
      </c>
      <c r="J27" s="266">
        <v>3</v>
      </c>
      <c r="K27" s="294">
        <f t="shared" si="24"/>
        <v>390</v>
      </c>
      <c r="L27" s="187">
        <v>50</v>
      </c>
      <c r="M27" s="267">
        <v>74</v>
      </c>
      <c r="N27" s="4">
        <v>30</v>
      </c>
      <c r="R27" s="318">
        <f>L27+M27+N27+O27+P27+Q27</f>
        <v>154</v>
      </c>
      <c r="S27" s="273">
        <f t="shared" si="12"/>
        <v>6830</v>
      </c>
      <c r="T27" s="269">
        <v>6</v>
      </c>
      <c r="U27" s="295">
        <f t="shared" si="25"/>
        <v>6830</v>
      </c>
      <c r="V27" s="270">
        <v>8</v>
      </c>
      <c r="W27" s="270">
        <v>8</v>
      </c>
      <c r="X27" s="4">
        <v>1</v>
      </c>
      <c r="Y27" s="4">
        <v>1</v>
      </c>
      <c r="Z27" s="292">
        <f t="shared" si="11"/>
        <v>6</v>
      </c>
      <c r="AA27" s="271">
        <v>3.5</v>
      </c>
      <c r="AB27" s="271">
        <v>1.75</v>
      </c>
      <c r="AD27" s="271">
        <v>0.75</v>
      </c>
      <c r="AF27" s="416">
        <f t="shared" si="1"/>
        <v>12</v>
      </c>
      <c r="AH27" s="314">
        <f t="shared" si="2"/>
        <v>595</v>
      </c>
      <c r="AI27" s="312">
        <f t="shared" si="3"/>
        <v>1760</v>
      </c>
      <c r="AJ27" s="313">
        <f t="shared" si="4"/>
        <v>2642.5</v>
      </c>
      <c r="AK27" s="310"/>
      <c r="AL27" s="309">
        <v>471.16999999999996</v>
      </c>
      <c r="AM27" s="309">
        <f t="shared" ca="1" si="5"/>
        <v>12688.67</v>
      </c>
      <c r="AN27" s="381">
        <v>12688.67</v>
      </c>
      <c r="AO27" s="11">
        <f t="shared" si="6"/>
        <v>8286.17</v>
      </c>
      <c r="AP27" s="361">
        <f t="shared" ca="1" si="7"/>
        <v>0.34696307808462196</v>
      </c>
      <c r="AQ27" s="11">
        <f ca="1">IF(D27&gt;TODAY()-1,"",SUM($AM$6:AM27))</f>
        <v>280281.78999999998</v>
      </c>
      <c r="AR27" s="11">
        <f ca="1">IF(AM27&lt;&gt;"", SUMIFS($AM$8:AM27, $BC$8:BC27, BC27), "")</f>
        <v>125967.71999999999</v>
      </c>
      <c r="AS27" s="11">
        <f t="shared" ca="1" si="23"/>
        <v>82.393961038961038</v>
      </c>
      <c r="AT27" s="11"/>
      <c r="AU27" s="124" t="str">
        <f t="shared" ca="1" si="13"/>
        <v>LINK</v>
      </c>
      <c r="AW27" s="125" t="s">
        <v>664</v>
      </c>
      <c r="AX27" t="str">
        <f t="shared" si="14"/>
        <v>25</v>
      </c>
      <c r="AY27" t="str">
        <f t="shared" si="15"/>
        <v>07</v>
      </c>
      <c r="AZ27" s="98">
        <f t="shared" si="16"/>
        <v>13</v>
      </c>
      <c r="BA27" t="str">
        <f t="shared" si="17"/>
        <v>4</v>
      </c>
      <c r="BB27" t="str">
        <f t="shared" si="20"/>
        <v>https://www.coreplan.io/app/ddh1-drilling/speewah-mining-speewah-fluorite-project-strike/plods/6174-250713D</v>
      </c>
      <c r="BC27" t="str">
        <f t="shared" si="18"/>
        <v>2025-07</v>
      </c>
    </row>
    <row r="28" spans="1:55">
      <c r="A28" s="510" t="str">
        <f>VLOOKUP(E28,'Tenement Lookup'!A:BH,60,FALSE)</f>
        <v>M 80/268</v>
      </c>
      <c r="B28" t="str">
        <f>VLOOKUP(E28,Purpose!$A$2:$B$334,2,FALSE)</f>
        <v>A Vein RC</v>
      </c>
      <c r="C28" s="59" t="s">
        <v>14</v>
      </c>
      <c r="D28" s="265">
        <v>45852</v>
      </c>
      <c r="E28" s="28" t="s">
        <v>702</v>
      </c>
      <c r="F28" s="28" t="s">
        <v>703</v>
      </c>
      <c r="I28" s="266" t="s">
        <v>687</v>
      </c>
      <c r="J28" s="266">
        <v>3</v>
      </c>
      <c r="K28" s="294">
        <f t="shared" si="24"/>
        <v>390</v>
      </c>
      <c r="L28" s="187">
        <v>96</v>
      </c>
      <c r="M28" s="267">
        <v>44</v>
      </c>
      <c r="N28" s="4"/>
      <c r="R28" s="318">
        <f>L28+M28+N28+O28+P28+Q28</f>
        <v>140</v>
      </c>
      <c r="S28" s="273">
        <f t="shared" si="12"/>
        <v>5820</v>
      </c>
      <c r="T28" s="269">
        <v>3.75</v>
      </c>
      <c r="U28" s="295">
        <f t="shared" si="25"/>
        <v>5820</v>
      </c>
      <c r="V28" s="270">
        <v>6</v>
      </c>
      <c r="W28" s="270">
        <v>6</v>
      </c>
      <c r="X28" s="4">
        <v>1</v>
      </c>
      <c r="Y28" s="4">
        <v>1</v>
      </c>
      <c r="Z28" s="292">
        <f t="shared" si="11"/>
        <v>3.75</v>
      </c>
      <c r="AA28" s="271">
        <v>4.5</v>
      </c>
      <c r="AB28" s="271">
        <v>0.75</v>
      </c>
      <c r="AD28" s="271">
        <v>3</v>
      </c>
      <c r="AF28" s="416">
        <f t="shared" si="1"/>
        <v>12</v>
      </c>
      <c r="AH28" s="314">
        <f t="shared" si="2"/>
        <v>595</v>
      </c>
      <c r="AI28" s="312">
        <f t="shared" si="3"/>
        <v>1320</v>
      </c>
      <c r="AJ28" s="313">
        <f t="shared" si="4"/>
        <v>2857.5</v>
      </c>
      <c r="AK28" s="310"/>
      <c r="AL28" s="309">
        <v>798.37</v>
      </c>
      <c r="AM28" s="309">
        <f t="shared" ca="1" si="5"/>
        <v>11780.87</v>
      </c>
      <c r="AN28" s="381">
        <v>11780.87</v>
      </c>
      <c r="AO28" s="11">
        <f t="shared" si="6"/>
        <v>7603.37</v>
      </c>
      <c r="AP28" s="361">
        <f t="shared" ca="1" si="7"/>
        <v>0.35460029692204403</v>
      </c>
      <c r="AQ28" s="11">
        <f ca="1">IF(D28&gt;TODAY()-1,"",SUM($AM$6:AM28))</f>
        <v>292062.65999999997</v>
      </c>
      <c r="AR28" s="11">
        <f ca="1">IF(AM28&lt;&gt;"", SUMIFS($AM$8:AM28, $BC$8:BC28, BC28), "")</f>
        <v>137748.59</v>
      </c>
      <c r="AS28" s="11">
        <f ca="1">IF(R28=0,"No drilling completed today, if maintenance provide context -&gt;",AM28/R28)</f>
        <v>84.149071428571432</v>
      </c>
      <c r="AT28" s="11"/>
      <c r="AU28" s="124" t="str">
        <f t="shared" ca="1" si="13"/>
        <v>LINK</v>
      </c>
      <c r="AV28" s="10" t="s">
        <v>704</v>
      </c>
      <c r="AW28" s="125" t="s">
        <v>664</v>
      </c>
      <c r="AX28" t="str">
        <f t="shared" si="14"/>
        <v>25</v>
      </c>
      <c r="AY28" t="str">
        <f t="shared" si="15"/>
        <v>07</v>
      </c>
      <c r="AZ28" s="98">
        <f t="shared" si="16"/>
        <v>14</v>
      </c>
      <c r="BA28" t="str">
        <f t="shared" si="17"/>
        <v>4</v>
      </c>
      <c r="BB28" t="str">
        <f t="shared" si="20"/>
        <v>https://www.coreplan.io/app/ddh1-drilling/speewah-mining-speewah-fluorite-project-strike/plods/6174-250714D</v>
      </c>
      <c r="BC28" t="str">
        <f t="shared" si="18"/>
        <v>2025-07</v>
      </c>
    </row>
    <row r="29" spans="1:55">
      <c r="A29" s="510" t="str">
        <f>VLOOKUP(E29,'Tenement Lookup'!A:BH,60,FALSE)</f>
        <v>M 80/268</v>
      </c>
      <c r="B29" t="str">
        <f>VLOOKUP(E29,Purpose!$A$2:$B$334,2,FALSE)</f>
        <v>A Vein RC</v>
      </c>
      <c r="C29" s="59" t="s">
        <v>14</v>
      </c>
      <c r="D29" s="265">
        <v>45853</v>
      </c>
      <c r="E29" s="28" t="s">
        <v>705</v>
      </c>
      <c r="I29" s="266" t="s">
        <v>687</v>
      </c>
      <c r="J29" s="266">
        <v>4</v>
      </c>
      <c r="K29" s="294">
        <f t="shared" si="24"/>
        <v>520</v>
      </c>
      <c r="L29" s="187">
        <v>50</v>
      </c>
      <c r="M29" s="267">
        <v>50</v>
      </c>
      <c r="N29" s="4">
        <v>24</v>
      </c>
      <c r="R29" s="318">
        <f>L29+M29+N29+O29+P29+Q29</f>
        <v>124</v>
      </c>
      <c r="S29" s="273">
        <f t="shared" si="12"/>
        <v>5450</v>
      </c>
      <c r="T29" s="269">
        <v>4.5</v>
      </c>
      <c r="U29" s="295">
        <f t="shared" si="25"/>
        <v>5450</v>
      </c>
      <c r="V29" s="270">
        <v>6</v>
      </c>
      <c r="W29" s="270">
        <v>6</v>
      </c>
      <c r="X29" s="4">
        <v>1</v>
      </c>
      <c r="Y29" s="4">
        <v>1</v>
      </c>
      <c r="Z29" s="292">
        <f t="shared" si="11"/>
        <v>4.5</v>
      </c>
      <c r="AA29" s="271">
        <v>3</v>
      </c>
      <c r="AB29" s="271">
        <v>1</v>
      </c>
      <c r="AD29" s="271">
        <v>3.5</v>
      </c>
      <c r="AF29" s="416">
        <f t="shared" si="1"/>
        <v>12</v>
      </c>
      <c r="AH29" s="314">
        <f t="shared" si="2"/>
        <v>595</v>
      </c>
      <c r="AI29" s="312">
        <f t="shared" si="3"/>
        <v>1320</v>
      </c>
      <c r="AJ29" s="313">
        <f t="shared" si="4"/>
        <v>2085</v>
      </c>
      <c r="AK29" s="310"/>
      <c r="AL29" s="309">
        <v>6069.4</v>
      </c>
      <c r="AM29" s="309">
        <f t="shared" ca="1" si="5"/>
        <v>16039.4</v>
      </c>
      <c r="AN29" s="381">
        <v>16039.4</v>
      </c>
      <c r="AO29" s="11">
        <f t="shared" si="6"/>
        <v>12634.4</v>
      </c>
      <c r="AP29" s="361">
        <f t="shared" ca="1" si="7"/>
        <v>0.21228973652381011</v>
      </c>
      <c r="AQ29" s="11">
        <f ca="1">IF(D29&gt;TODAY()-1,"",SUM($AM$6:AM29))</f>
        <v>308102.06</v>
      </c>
      <c r="AR29" s="11">
        <f ca="1">IF(AM29&lt;&gt;"", SUMIFS($AM$8:AM29, $BC$8:BC29, BC29), "")</f>
        <v>153787.99</v>
      </c>
      <c r="AS29" s="11">
        <f t="shared" ca="1" si="23"/>
        <v>129.35</v>
      </c>
      <c r="AT29" s="11"/>
      <c r="AU29" s="124" t="str">
        <f t="shared" ca="1" si="13"/>
        <v>LINK</v>
      </c>
      <c r="AV29" s="10" t="s">
        <v>706</v>
      </c>
      <c r="AW29" s="125" t="s">
        <v>664</v>
      </c>
      <c r="AX29" t="str">
        <f t="shared" si="14"/>
        <v>25</v>
      </c>
      <c r="AY29" t="str">
        <f t="shared" si="15"/>
        <v>07</v>
      </c>
      <c r="AZ29" s="98">
        <f t="shared" si="16"/>
        <v>15</v>
      </c>
      <c r="BA29" t="str">
        <f t="shared" si="17"/>
        <v>4</v>
      </c>
      <c r="BB29" t="str">
        <f t="shared" si="20"/>
        <v>https://www.coreplan.io/app/ddh1-drilling/speewah-mining-speewah-fluorite-project-strike/plods/6174-250715D</v>
      </c>
      <c r="BC29" t="str">
        <f t="shared" si="18"/>
        <v>2025-07</v>
      </c>
    </row>
    <row r="30" spans="1:55">
      <c r="A30" s="510" t="str">
        <f>VLOOKUP(E30,'Tenement Lookup'!A:BH,60,FALSE)</f>
        <v>M 80/268</v>
      </c>
      <c r="B30" t="str">
        <f>VLOOKUP(E30,Purpose!$A$2:$B$334,2,FALSE)</f>
        <v>A Vein RC</v>
      </c>
      <c r="C30" s="59" t="s">
        <v>14</v>
      </c>
      <c r="D30" s="265">
        <v>45854</v>
      </c>
      <c r="E30" s="28" t="s">
        <v>707</v>
      </c>
      <c r="I30" s="266" t="s">
        <v>687</v>
      </c>
      <c r="J30" s="266">
        <v>3</v>
      </c>
      <c r="K30" s="294">
        <f t="shared" si="24"/>
        <v>390</v>
      </c>
      <c r="L30" s="187">
        <v>46</v>
      </c>
      <c r="N30" s="4"/>
      <c r="R30" s="318">
        <f t="shared" ref="R30:R33" si="26">L30+M30+N30+O30+P30+Q30</f>
        <v>46</v>
      </c>
      <c r="S30" s="273">
        <f t="shared" si="12"/>
        <v>1840</v>
      </c>
      <c r="T30" s="269">
        <v>1.25</v>
      </c>
      <c r="U30" s="295">
        <f t="shared" si="25"/>
        <v>1840</v>
      </c>
      <c r="V30" s="270">
        <v>0</v>
      </c>
      <c r="W30" s="270">
        <v>0</v>
      </c>
      <c r="X30" s="4">
        <v>1</v>
      </c>
      <c r="Y30" s="4">
        <v>1</v>
      </c>
      <c r="Z30" s="292">
        <f t="shared" si="11"/>
        <v>1.25</v>
      </c>
      <c r="AA30" s="271">
        <v>4.25</v>
      </c>
      <c r="AB30" s="271">
        <v>0.25</v>
      </c>
      <c r="AD30" s="271">
        <v>6.25</v>
      </c>
      <c r="AF30" s="416">
        <f t="shared" si="1"/>
        <v>12</v>
      </c>
      <c r="AH30" s="314">
        <f t="shared" si="2"/>
        <v>595</v>
      </c>
      <c r="AI30" s="312">
        <f t="shared" si="3"/>
        <v>0</v>
      </c>
      <c r="AJ30" s="313">
        <f t="shared" si="4"/>
        <v>2533.75</v>
      </c>
      <c r="AK30" s="310">
        <v>1017.37</v>
      </c>
      <c r="AL30" s="309">
        <f>AK30-K30</f>
        <v>627.37</v>
      </c>
      <c r="AM30" s="309">
        <f t="shared" ca="1" si="5"/>
        <v>5986.12</v>
      </c>
      <c r="AN30" s="381">
        <v>5986.12</v>
      </c>
      <c r="AO30" s="11">
        <f t="shared" si="6"/>
        <v>3452.37</v>
      </c>
      <c r="AP30" s="361">
        <f t="shared" ca="1" si="7"/>
        <v>0.4232708331941224</v>
      </c>
      <c r="AQ30" s="11">
        <f ca="1">IF(D30&gt;TODAY()-1,"",SUM($AM$6:AM30))</f>
        <v>314088.18</v>
      </c>
      <c r="AR30" s="11">
        <f ca="1">IF(AM30&lt;&gt;"", SUMIFS($AM$8:AM30, $BC$8:BC30, BC30), "")</f>
        <v>159774.10999999999</v>
      </c>
      <c r="AS30" s="11">
        <f t="shared" ca="1" si="23"/>
        <v>130.13304347826087</v>
      </c>
      <c r="AT30" s="11"/>
      <c r="AU30" s="124" t="str">
        <f t="shared" ca="1" si="13"/>
        <v>LINK</v>
      </c>
      <c r="AV30" t="s">
        <v>708</v>
      </c>
      <c r="AW30" s="125" t="s">
        <v>664</v>
      </c>
      <c r="AX30" t="str">
        <f t="shared" si="14"/>
        <v>25</v>
      </c>
      <c r="AY30" t="str">
        <f t="shared" si="15"/>
        <v>07</v>
      </c>
      <c r="AZ30" s="98">
        <f t="shared" si="16"/>
        <v>16</v>
      </c>
      <c r="BA30" t="str">
        <f t="shared" si="17"/>
        <v>4</v>
      </c>
      <c r="BB30" t="str">
        <f t="shared" si="20"/>
        <v>https://www.coreplan.io/app/ddh1-drilling/speewah-mining-speewah-fluorite-project-strike/plods/6174-250716D</v>
      </c>
      <c r="BC30" t="str">
        <f t="shared" si="18"/>
        <v>2025-07</v>
      </c>
    </row>
    <row r="31" spans="1:55">
      <c r="A31" s="510" t="str">
        <f>VLOOKUP(E31,'Tenement Lookup'!A:BH,60,FALSE)</f>
        <v>M 80/268</v>
      </c>
      <c r="B31" t="str">
        <f>VLOOKUP(E31,Purpose!$A$2:$B$334,2,FALSE)</f>
        <v>A Vein RC</v>
      </c>
      <c r="C31" s="59" t="s">
        <v>14</v>
      </c>
      <c r="D31" s="265">
        <v>45855</v>
      </c>
      <c r="E31" s="28" t="s">
        <v>709</v>
      </c>
      <c r="F31" s="28" t="s">
        <v>710</v>
      </c>
      <c r="I31" s="266" t="s">
        <v>711</v>
      </c>
      <c r="J31" s="266">
        <v>3</v>
      </c>
      <c r="K31" s="294">
        <f t="shared" si="24"/>
        <v>390</v>
      </c>
      <c r="L31" s="187">
        <v>60</v>
      </c>
      <c r="M31" s="267">
        <v>50</v>
      </c>
      <c r="N31" s="4">
        <v>40</v>
      </c>
      <c r="R31" s="318">
        <f t="shared" si="26"/>
        <v>150</v>
      </c>
      <c r="S31" s="273">
        <f t="shared" si="12"/>
        <v>6650</v>
      </c>
      <c r="T31" s="269">
        <v>3.5</v>
      </c>
      <c r="U31" s="295">
        <f t="shared" si="25"/>
        <v>6650</v>
      </c>
      <c r="V31" s="270">
        <v>4</v>
      </c>
      <c r="W31" s="270">
        <v>4</v>
      </c>
      <c r="X31" s="4">
        <v>1</v>
      </c>
      <c r="Y31" s="4">
        <v>1</v>
      </c>
      <c r="Z31" s="292">
        <f t="shared" si="11"/>
        <v>3.5</v>
      </c>
      <c r="AA31" s="271">
        <v>5.25</v>
      </c>
      <c r="AB31" s="271">
        <v>0.75</v>
      </c>
      <c r="AD31" s="271">
        <v>0.75</v>
      </c>
      <c r="AE31" s="293">
        <v>1.75</v>
      </c>
      <c r="AF31" s="416">
        <f t="shared" si="1"/>
        <v>12</v>
      </c>
      <c r="AG31" t="s">
        <v>712</v>
      </c>
      <c r="AH31" s="314">
        <f t="shared" si="2"/>
        <v>595</v>
      </c>
      <c r="AI31" s="312">
        <f t="shared" si="3"/>
        <v>880</v>
      </c>
      <c r="AJ31" s="313">
        <f t="shared" si="4"/>
        <v>3288.75</v>
      </c>
      <c r="AK31" s="310"/>
      <c r="AL31" s="309">
        <v>548.30999999999995</v>
      </c>
      <c r="AM31" s="309">
        <f t="shared" ca="1" si="5"/>
        <v>12352.06</v>
      </c>
      <c r="AN31" s="381">
        <v>12352.06</v>
      </c>
      <c r="AO31" s="11">
        <f t="shared" si="6"/>
        <v>8183.3099999999995</v>
      </c>
      <c r="AP31" s="361">
        <f t="shared" ca="1" si="7"/>
        <v>0.33749431268954327</v>
      </c>
      <c r="AQ31" s="11">
        <f ca="1">IF(D31&gt;TODAY()-1,"",SUM($AM$6:AM31))</f>
        <v>326440.24</v>
      </c>
      <c r="AR31" s="11">
        <f ca="1">IF(AM31&lt;&gt;"", SUMIFS($AM$8:AM31, $BC$8:BC31, BC31), "")</f>
        <v>172126.16999999998</v>
      </c>
      <c r="AS31" s="11">
        <f t="shared" ca="1" si="23"/>
        <v>82.347066666666663</v>
      </c>
      <c r="AT31" s="11"/>
      <c r="AU31" s="124" t="str">
        <f t="shared" ca="1" si="13"/>
        <v>LINK</v>
      </c>
      <c r="AV31" t="s">
        <v>713</v>
      </c>
      <c r="AW31" s="125" t="s">
        <v>664</v>
      </c>
      <c r="AX31" t="str">
        <f t="shared" si="14"/>
        <v>25</v>
      </c>
      <c r="AY31" t="str">
        <f t="shared" si="15"/>
        <v>07</v>
      </c>
      <c r="AZ31" s="98">
        <f t="shared" si="16"/>
        <v>17</v>
      </c>
      <c r="BA31" t="str">
        <f t="shared" si="17"/>
        <v>4</v>
      </c>
      <c r="BB31" t="str">
        <f t="shared" si="20"/>
        <v>https://www.coreplan.io/app/ddh1-drilling/speewah-mining-speewah-fluorite-project-strike/plods/6174-250717D</v>
      </c>
      <c r="BC31" t="str">
        <f t="shared" si="18"/>
        <v>2025-07</v>
      </c>
    </row>
    <row r="32" spans="1:55">
      <c r="A32" s="510" t="str">
        <f>VLOOKUP(E32,'Tenement Lookup'!A:BH,60,FALSE)</f>
        <v>M 80/268</v>
      </c>
      <c r="B32" t="str">
        <f>VLOOKUP(E32,Purpose!$A$2:$B$334,2,FALSE)</f>
        <v>A Vein RC</v>
      </c>
      <c r="C32" s="59" t="s">
        <v>14</v>
      </c>
      <c r="D32" s="265">
        <v>45856</v>
      </c>
      <c r="E32" s="28" t="s">
        <v>710</v>
      </c>
      <c r="F32" s="28" t="s">
        <v>714</v>
      </c>
      <c r="G32" s="28" t="s">
        <v>715</v>
      </c>
      <c r="I32" s="266" t="s">
        <v>711</v>
      </c>
      <c r="J32" s="266">
        <v>3</v>
      </c>
      <c r="K32" s="294">
        <f t="shared" si="24"/>
        <v>390</v>
      </c>
      <c r="L32" s="187">
        <f>36+50+50</f>
        <v>136</v>
      </c>
      <c r="M32" s="267">
        <f>44+20</f>
        <v>64</v>
      </c>
      <c r="N32" s="4"/>
      <c r="R32" s="318">
        <f t="shared" si="26"/>
        <v>200</v>
      </c>
      <c r="S32" s="273">
        <f t="shared" si="12"/>
        <v>8320</v>
      </c>
      <c r="T32" s="269">
        <v>5</v>
      </c>
      <c r="U32" s="295">
        <f t="shared" si="25"/>
        <v>8320</v>
      </c>
      <c r="V32" s="270">
        <v>5</v>
      </c>
      <c r="W32" s="270">
        <v>5</v>
      </c>
      <c r="X32" s="4">
        <v>1</v>
      </c>
      <c r="Y32" s="4">
        <v>1</v>
      </c>
      <c r="Z32" s="292">
        <f t="shared" si="11"/>
        <v>5</v>
      </c>
      <c r="AA32" s="271">
        <v>3.25</v>
      </c>
      <c r="AB32" s="271">
        <v>0.75</v>
      </c>
      <c r="AD32" s="271">
        <v>3</v>
      </c>
      <c r="AF32" s="416">
        <f t="shared" si="1"/>
        <v>12</v>
      </c>
      <c r="AH32" s="314">
        <f t="shared" si="2"/>
        <v>595</v>
      </c>
      <c r="AI32" s="312">
        <f t="shared" si="3"/>
        <v>1100</v>
      </c>
      <c r="AJ32" s="313">
        <f t="shared" si="4"/>
        <v>2138.75</v>
      </c>
      <c r="AK32" s="373">
        <v>1685.3</v>
      </c>
      <c r="AL32" s="309">
        <f>AK32-K32</f>
        <v>1295.3</v>
      </c>
      <c r="AM32" s="309">
        <f t="shared" ca="1" si="5"/>
        <v>13839.05</v>
      </c>
      <c r="AN32" s="381">
        <v>13839.05</v>
      </c>
      <c r="AO32" s="11">
        <f t="shared" si="6"/>
        <v>10600.3</v>
      </c>
      <c r="AP32" s="361">
        <f t="shared" ca="1" si="7"/>
        <v>0.23402979250743369</v>
      </c>
      <c r="AQ32" s="11">
        <f ca="1">IF(D32&gt;TODAY()-1,"",SUM($AM$6:AM32))</f>
        <v>340279.29</v>
      </c>
      <c r="AR32" s="11">
        <f ca="1">IF(AM32&lt;&gt;"", SUMIFS($AM$8:AM32, $BC$8:BC32, BC32), "")</f>
        <v>185965.21999999997</v>
      </c>
      <c r="AS32" s="11">
        <f t="shared" ca="1" si="23"/>
        <v>69.195250000000001</v>
      </c>
      <c r="AT32" s="11"/>
      <c r="AU32" s="124" t="str">
        <f t="shared" ca="1" si="13"/>
        <v>LINK</v>
      </c>
      <c r="AV32" t="s">
        <v>716</v>
      </c>
      <c r="AW32" s="125" t="s">
        <v>664</v>
      </c>
      <c r="AX32" t="str">
        <f t="shared" si="14"/>
        <v>25</v>
      </c>
      <c r="AY32" t="str">
        <f t="shared" si="15"/>
        <v>07</v>
      </c>
      <c r="AZ32" s="98">
        <f t="shared" si="16"/>
        <v>18</v>
      </c>
      <c r="BA32" t="str">
        <f t="shared" si="17"/>
        <v>4</v>
      </c>
      <c r="BB32" t="str">
        <f t="shared" si="20"/>
        <v>https://www.coreplan.io/app/ddh1-drilling/speewah-mining-speewah-fluorite-project-strike/plods/6174-250718D</v>
      </c>
      <c r="BC32" t="str">
        <f t="shared" si="18"/>
        <v>2025-07</v>
      </c>
    </row>
    <row r="33" spans="1:58">
      <c r="A33" s="510" t="str">
        <f>VLOOKUP(E33,'Tenement Lookup'!A:BH,60,FALSE)</f>
        <v>M 80/268</v>
      </c>
      <c r="B33" t="str">
        <f>VLOOKUP(E33,Purpose!$A$2:$B$334,2,FALSE)</f>
        <v>A Vein RC</v>
      </c>
      <c r="C33" s="59" t="s">
        <v>14</v>
      </c>
      <c r="D33" s="265">
        <v>45857</v>
      </c>
      <c r="E33" s="28" t="s">
        <v>715</v>
      </c>
      <c r="F33" s="28" t="s">
        <v>717</v>
      </c>
      <c r="G33" s="28" t="s">
        <v>718</v>
      </c>
      <c r="H33" s="28" t="s">
        <v>719</v>
      </c>
      <c r="I33" s="266" t="s">
        <v>711</v>
      </c>
      <c r="J33" s="266">
        <v>3</v>
      </c>
      <c r="K33" s="294">
        <f t="shared" si="24"/>
        <v>390</v>
      </c>
      <c r="L33" s="187">
        <v>106</v>
      </c>
      <c r="M33" s="267">
        <v>74</v>
      </c>
      <c r="N33" s="4">
        <v>36</v>
      </c>
      <c r="R33" s="318">
        <f t="shared" si="26"/>
        <v>216</v>
      </c>
      <c r="S33" s="273">
        <f t="shared" si="12"/>
        <v>9370</v>
      </c>
      <c r="T33" s="269">
        <v>4</v>
      </c>
      <c r="U33" s="295">
        <f t="shared" si="25"/>
        <v>9370</v>
      </c>
      <c r="V33" s="270">
        <v>5</v>
      </c>
      <c r="W33" s="270">
        <v>5</v>
      </c>
      <c r="X33" s="4">
        <v>1</v>
      </c>
      <c r="Y33" s="4">
        <v>1</v>
      </c>
      <c r="Z33" s="292">
        <f t="shared" si="11"/>
        <v>4</v>
      </c>
      <c r="AA33" s="271">
        <v>5.5</v>
      </c>
      <c r="AB33" s="271">
        <v>2</v>
      </c>
      <c r="AD33" s="271">
        <v>0.5</v>
      </c>
      <c r="AF33" s="416">
        <f t="shared" si="1"/>
        <v>12</v>
      </c>
      <c r="AH33" s="314">
        <f t="shared" si="2"/>
        <v>595</v>
      </c>
      <c r="AI33" s="312">
        <f t="shared" si="3"/>
        <v>1100</v>
      </c>
      <c r="AJ33" s="313">
        <f t="shared" si="4"/>
        <v>3882.5</v>
      </c>
      <c r="AK33" s="310"/>
      <c r="AL33" s="309">
        <v>759.2</v>
      </c>
      <c r="AM33" s="309">
        <f t="shared" ca="1" si="5"/>
        <v>16096.7</v>
      </c>
      <c r="AN33" s="381">
        <v>16096.7</v>
      </c>
      <c r="AO33" s="11">
        <f t="shared" si="6"/>
        <v>11114.2</v>
      </c>
      <c r="AP33" s="361">
        <f t="shared" ca="1" si="7"/>
        <v>0.30953549485298226</v>
      </c>
      <c r="AQ33" s="11">
        <f ca="1">IF(D33&gt;TODAY()-1,"",SUM($AM$6:AM33))</f>
        <v>356375.99</v>
      </c>
      <c r="AR33" s="11">
        <f ca="1">IF(AM33&lt;&gt;"", SUMIFS($AM$8:AM33, $BC$8:BC33, BC33), "")</f>
        <v>202061.91999999998</v>
      </c>
      <c r="AS33" s="11">
        <f t="shared" ca="1" si="23"/>
        <v>74.521759259259269</v>
      </c>
      <c r="AT33" s="11"/>
      <c r="AU33" s="124" t="str">
        <f t="shared" ca="1" si="13"/>
        <v>LINK</v>
      </c>
      <c r="AV33" t="s">
        <v>720</v>
      </c>
      <c r="AW33" s="125" t="s">
        <v>664</v>
      </c>
      <c r="AX33" t="str">
        <f t="shared" si="14"/>
        <v>25</v>
      </c>
      <c r="AY33" t="str">
        <f t="shared" si="15"/>
        <v>07</v>
      </c>
      <c r="AZ33" s="98">
        <f t="shared" si="16"/>
        <v>19</v>
      </c>
      <c r="BA33" t="str">
        <f t="shared" si="17"/>
        <v>4</v>
      </c>
      <c r="BB33" t="str">
        <f t="shared" si="20"/>
        <v>https://www.coreplan.io/app/ddh1-drilling/speewah-mining-speewah-fluorite-project-strike/plods/6174-250719D</v>
      </c>
      <c r="BC33" t="str">
        <f t="shared" si="18"/>
        <v>2025-07</v>
      </c>
    </row>
    <row r="34" spans="1:58">
      <c r="A34" s="510" t="str">
        <f>VLOOKUP(E34,'Tenement Lookup'!A:BH,60,FALSE)</f>
        <v>M 80/268</v>
      </c>
      <c r="B34" t="str">
        <f>VLOOKUP(E34,Purpose!$A$2:$B$334,2,FALSE)</f>
        <v>A Vein RC</v>
      </c>
      <c r="C34" s="59" t="s">
        <v>14</v>
      </c>
      <c r="D34" s="265">
        <v>45858</v>
      </c>
      <c r="E34" s="28" t="s">
        <v>719</v>
      </c>
      <c r="F34" s="28" t="s">
        <v>721</v>
      </c>
      <c r="G34" s="28" t="s">
        <v>722</v>
      </c>
      <c r="I34" s="266" t="s">
        <v>711</v>
      </c>
      <c r="J34" s="266">
        <v>3</v>
      </c>
      <c r="K34" s="294">
        <f t="shared" si="24"/>
        <v>390</v>
      </c>
      <c r="L34" s="187">
        <v>136</v>
      </c>
      <c r="M34" s="267">
        <v>100</v>
      </c>
      <c r="N34" s="4">
        <v>48</v>
      </c>
      <c r="R34" s="318">
        <f t="shared" ref="R34:R40" si="27">L34+M34+N34+O34+P34+Q34</f>
        <v>284</v>
      </c>
      <c r="S34" s="273">
        <f t="shared" si="12"/>
        <v>12340</v>
      </c>
      <c r="T34" s="269">
        <v>7.25</v>
      </c>
      <c r="U34" s="295">
        <f t="shared" si="25"/>
        <v>12340</v>
      </c>
      <c r="V34" s="270">
        <v>8</v>
      </c>
      <c r="W34" s="270">
        <v>8</v>
      </c>
      <c r="X34" s="4">
        <v>1</v>
      </c>
      <c r="Y34" s="4">
        <v>1</v>
      </c>
      <c r="Z34" s="292">
        <f t="shared" si="11"/>
        <v>7.25</v>
      </c>
      <c r="AA34" s="271">
        <v>3.25</v>
      </c>
      <c r="AB34" s="271">
        <v>0.75</v>
      </c>
      <c r="AD34" s="271">
        <v>0.75</v>
      </c>
      <c r="AF34" s="416">
        <f t="shared" si="1"/>
        <v>12</v>
      </c>
      <c r="AH34" s="314">
        <f t="shared" si="2"/>
        <v>595</v>
      </c>
      <c r="AI34" s="312">
        <f t="shared" si="3"/>
        <v>1760</v>
      </c>
      <c r="AJ34" s="313">
        <f t="shared" si="4"/>
        <v>2138.75</v>
      </c>
      <c r="AK34" s="373">
        <v>1082.28</v>
      </c>
      <c r="AL34" s="309">
        <f>AK34-K34</f>
        <v>692.28</v>
      </c>
      <c r="AM34" s="309">
        <f t="shared" ca="1" si="5"/>
        <v>17916.03</v>
      </c>
      <c r="AN34" s="381">
        <v>17916.03</v>
      </c>
      <c r="AO34" s="11">
        <f t="shared" si="6"/>
        <v>14017.28</v>
      </c>
      <c r="AP34" s="361">
        <f t="shared" ca="1" si="7"/>
        <v>0.21761238399355207</v>
      </c>
      <c r="AQ34" s="11">
        <f ca="1">IF(D34&gt;TODAY()-1,"",SUM($AM$6:AM34))</f>
        <v>374292.02</v>
      </c>
      <c r="AR34" s="11">
        <f ca="1">IF(AM34&lt;&gt;"", SUMIFS($AM$8:AM34, $BC$8:BC34, BC34), "")</f>
        <v>219977.94999999998</v>
      </c>
      <c r="AS34" s="11">
        <f t="shared" ca="1" si="23"/>
        <v>63.084612676056331</v>
      </c>
      <c r="AT34" s="11"/>
      <c r="AU34" s="124" t="str">
        <f t="shared" ca="1" si="13"/>
        <v>LINK</v>
      </c>
      <c r="AV34" t="s">
        <v>723</v>
      </c>
      <c r="AW34" s="125" t="s">
        <v>664</v>
      </c>
      <c r="AX34" t="str">
        <f t="shared" si="14"/>
        <v>25</v>
      </c>
      <c r="AY34" t="str">
        <f t="shared" si="15"/>
        <v>07</v>
      </c>
      <c r="AZ34" s="98">
        <f t="shared" si="16"/>
        <v>20</v>
      </c>
      <c r="BA34" t="str">
        <f t="shared" si="17"/>
        <v>4</v>
      </c>
      <c r="BB34" t="str">
        <f t="shared" si="20"/>
        <v>https://www.coreplan.io/app/ddh1-drilling/speewah-mining-speewah-fluorite-project-strike/plods/6174-250720D</v>
      </c>
      <c r="BC34" t="str">
        <f t="shared" si="18"/>
        <v>2025-07</v>
      </c>
    </row>
    <row r="35" spans="1:58">
      <c r="A35" s="510" t="str">
        <f>VLOOKUP(E35,'Tenement Lookup'!A:BH,60,FALSE)</f>
        <v>M 80/268</v>
      </c>
      <c r="B35" t="str">
        <f>VLOOKUP(E35,Purpose!$A$2:$B$334,2,FALSE)</f>
        <v>A Vein RC</v>
      </c>
      <c r="C35" s="59" t="s">
        <v>14</v>
      </c>
      <c r="D35" s="265">
        <v>45859</v>
      </c>
      <c r="E35" s="28" t="s">
        <v>722</v>
      </c>
      <c r="F35" s="28" t="s">
        <v>724</v>
      </c>
      <c r="G35" s="28" t="s">
        <v>725</v>
      </c>
      <c r="H35" s="28" t="s">
        <v>726</v>
      </c>
      <c r="I35" s="266" t="s">
        <v>711</v>
      </c>
      <c r="J35" s="266">
        <v>3</v>
      </c>
      <c r="K35" s="294">
        <f t="shared" si="24"/>
        <v>390</v>
      </c>
      <c r="L35" s="187">
        <v>146</v>
      </c>
      <c r="M35" s="267">
        <v>42</v>
      </c>
      <c r="N35" s="4">
        <v>24</v>
      </c>
      <c r="R35" s="318">
        <f t="shared" si="27"/>
        <v>212</v>
      </c>
      <c r="S35" s="273">
        <f t="shared" si="12"/>
        <v>8930</v>
      </c>
      <c r="T35" s="269">
        <v>5.25</v>
      </c>
      <c r="U35" s="295">
        <f>IF(S35&lt;(T35*$T$3),(T35*$T$3),S35)</f>
        <v>8930</v>
      </c>
      <c r="V35" s="270">
        <v>6</v>
      </c>
      <c r="W35" s="270">
        <v>6</v>
      </c>
      <c r="X35" s="4">
        <v>1</v>
      </c>
      <c r="Y35" s="4">
        <v>1</v>
      </c>
      <c r="Z35" s="292">
        <f t="shared" si="11"/>
        <v>5.25</v>
      </c>
      <c r="AA35" s="271">
        <v>4</v>
      </c>
      <c r="AB35" s="271">
        <v>1.25</v>
      </c>
      <c r="AD35" s="271">
        <v>1.5</v>
      </c>
      <c r="AF35" s="416">
        <f t="shared" si="1"/>
        <v>12</v>
      </c>
      <c r="AH35" s="314">
        <f t="shared" si="2"/>
        <v>595</v>
      </c>
      <c r="AI35" s="312">
        <f t="shared" si="3"/>
        <v>1320</v>
      </c>
      <c r="AJ35" s="313">
        <f t="shared" si="4"/>
        <v>2750</v>
      </c>
      <c r="AK35" s="373">
        <v>1293.17</v>
      </c>
      <c r="AL35" s="309">
        <f>AK35-K35</f>
        <v>903.17000000000007</v>
      </c>
      <c r="AM35" s="309">
        <f t="shared" ca="1" si="5"/>
        <v>14888.17</v>
      </c>
      <c r="AN35" s="381">
        <v>14888.17</v>
      </c>
      <c r="AO35" s="11">
        <f t="shared" si="6"/>
        <v>10818.17</v>
      </c>
      <c r="AP35" s="361">
        <f t="shared" ca="1" si="7"/>
        <v>0.27337140830605777</v>
      </c>
      <c r="AQ35" s="11">
        <f ca="1">IF(D35&gt;TODAY()-1,"",SUM($AM$6:AM35))</f>
        <v>389180.19</v>
      </c>
      <c r="AR35" s="11">
        <f ca="1">IF(AM35&lt;&gt;"", SUMIFS($AM$8:AM35, $BC$8:BC35, BC35), "")</f>
        <v>234866.12</v>
      </c>
      <c r="AS35" s="11">
        <f t="shared" ca="1" si="23"/>
        <v>70.227216981132074</v>
      </c>
      <c r="AT35" s="11"/>
      <c r="AU35" s="124" t="str">
        <f t="shared" ca="1" si="13"/>
        <v>LINK</v>
      </c>
      <c r="AV35" t="s">
        <v>727</v>
      </c>
      <c r="AW35" s="125" t="s">
        <v>664</v>
      </c>
      <c r="AX35" t="str">
        <f t="shared" si="14"/>
        <v>25</v>
      </c>
      <c r="AY35" t="str">
        <f t="shared" si="15"/>
        <v>07</v>
      </c>
      <c r="AZ35" s="98">
        <f t="shared" si="16"/>
        <v>21</v>
      </c>
      <c r="BA35" t="str">
        <f t="shared" si="17"/>
        <v>4</v>
      </c>
      <c r="BB35" t="str">
        <f t="shared" si="20"/>
        <v>https://www.coreplan.io/app/ddh1-drilling/speewah-mining-speewah-fluorite-project-strike/plods/6174-250721D</v>
      </c>
      <c r="BC35" t="str">
        <f t="shared" si="18"/>
        <v>2025-07</v>
      </c>
      <c r="BF35" s="17"/>
    </row>
    <row r="36" spans="1:58">
      <c r="A36" s="510" t="str">
        <f>VLOOKUP(E36,'Tenement Lookup'!A:BH,60,FALSE)</f>
        <v>M 80/268</v>
      </c>
      <c r="B36" t="str">
        <f>VLOOKUP(E36,Purpose!$A$2:$B$334,2,FALSE)</f>
        <v>A Vein RC</v>
      </c>
      <c r="C36" s="59" t="s">
        <v>14</v>
      </c>
      <c r="D36" s="265">
        <v>45860</v>
      </c>
      <c r="E36" s="28" t="s">
        <v>726</v>
      </c>
      <c r="F36" s="28" t="s">
        <v>728</v>
      </c>
      <c r="G36" s="28" t="s">
        <v>729</v>
      </c>
      <c r="I36" s="266" t="s">
        <v>711</v>
      </c>
      <c r="J36" s="266">
        <v>4</v>
      </c>
      <c r="K36" s="294">
        <f t="shared" si="24"/>
        <v>520</v>
      </c>
      <c r="L36" s="187">
        <v>96</v>
      </c>
      <c r="M36" s="267">
        <v>70</v>
      </c>
      <c r="N36" s="4">
        <v>36</v>
      </c>
      <c r="R36" s="318">
        <f t="shared" si="27"/>
        <v>202</v>
      </c>
      <c r="S36" s="273">
        <f t="shared" si="12"/>
        <v>8790</v>
      </c>
      <c r="T36" s="269">
        <v>5.5</v>
      </c>
      <c r="U36" s="295">
        <f t="shared" si="25"/>
        <v>8790</v>
      </c>
      <c r="V36" s="270">
        <v>5</v>
      </c>
      <c r="W36" s="270">
        <v>5</v>
      </c>
      <c r="X36" s="4">
        <v>1</v>
      </c>
      <c r="Y36" s="4">
        <v>1</v>
      </c>
      <c r="Z36" s="292">
        <f t="shared" si="11"/>
        <v>5.5</v>
      </c>
      <c r="AA36" s="271">
        <v>5</v>
      </c>
      <c r="AB36" s="271">
        <v>1</v>
      </c>
      <c r="AD36" s="271">
        <v>0.5</v>
      </c>
      <c r="AF36" s="416">
        <f t="shared" si="1"/>
        <v>12</v>
      </c>
      <c r="AH36" s="314">
        <f t="shared" si="2"/>
        <v>595</v>
      </c>
      <c r="AI36" s="312">
        <f t="shared" si="3"/>
        <v>1100</v>
      </c>
      <c r="AJ36" s="313">
        <f t="shared" si="4"/>
        <v>3235</v>
      </c>
      <c r="AK36" s="310"/>
      <c r="AL36" s="309">
        <v>903.17</v>
      </c>
      <c r="AM36" s="309">
        <f t="shared" ca="1" si="5"/>
        <v>15143.17</v>
      </c>
      <c r="AN36" s="381">
        <v>15143.17</v>
      </c>
      <c r="AO36" s="11">
        <f t="shared" si="6"/>
        <v>10808.17</v>
      </c>
      <c r="AP36" s="361">
        <f t="shared" ca="1" si="7"/>
        <v>0.28626767050756213</v>
      </c>
      <c r="AQ36" s="11">
        <f ca="1">IF(D36&gt;TODAY()-1,"",SUM($AM$6:AM36))</f>
        <v>404323.36</v>
      </c>
      <c r="AR36" s="11">
        <f ca="1">IF(AM36&lt;&gt;"", SUMIFS($AM$8:AM36, $BC$8:BC36, BC36), "")</f>
        <v>250009.29</v>
      </c>
      <c r="AS36" s="11">
        <f t="shared" ca="1" si="23"/>
        <v>74.966188118811885</v>
      </c>
      <c r="AT36" s="11"/>
      <c r="AU36" s="124" t="str">
        <f t="shared" ca="1" si="13"/>
        <v>LINK</v>
      </c>
      <c r="AV36" t="s">
        <v>730</v>
      </c>
      <c r="AW36" s="125" t="s">
        <v>664</v>
      </c>
      <c r="AX36" t="str">
        <f t="shared" si="14"/>
        <v>25</v>
      </c>
      <c r="AY36" t="str">
        <f t="shared" si="15"/>
        <v>07</v>
      </c>
      <c r="AZ36" s="98">
        <f t="shared" si="16"/>
        <v>22</v>
      </c>
      <c r="BA36" t="str">
        <f t="shared" si="17"/>
        <v>4</v>
      </c>
      <c r="BB36" t="str">
        <f t="shared" si="20"/>
        <v>https://www.coreplan.io/app/ddh1-drilling/speewah-mining-speewah-fluorite-project-strike/plods/6174-250722D</v>
      </c>
      <c r="BC36" t="str">
        <f t="shared" si="18"/>
        <v>2025-07</v>
      </c>
      <c r="BF36" s="296"/>
    </row>
    <row r="37" spans="1:58">
      <c r="A37" s="510" t="str">
        <f>VLOOKUP(E37,'Tenement Lookup'!A:BH,60,FALSE)</f>
        <v>M 80/268</v>
      </c>
      <c r="B37" t="str">
        <f>VLOOKUP(E37,Purpose!$A$2:$B$334,2,FALSE)</f>
        <v>A Vein RC</v>
      </c>
      <c r="C37" s="59" t="s">
        <v>14</v>
      </c>
      <c r="D37" s="265">
        <v>45861</v>
      </c>
      <c r="E37" s="28" t="s">
        <v>729</v>
      </c>
      <c r="F37" s="28" t="s">
        <v>731</v>
      </c>
      <c r="G37" s="28" t="s">
        <v>732</v>
      </c>
      <c r="I37" s="266" t="s">
        <v>711</v>
      </c>
      <c r="J37" s="266">
        <v>4</v>
      </c>
      <c r="K37" s="294">
        <f t="shared" si="24"/>
        <v>520</v>
      </c>
      <c r="L37" s="187">
        <v>72</v>
      </c>
      <c r="M37" s="267">
        <v>68</v>
      </c>
      <c r="N37" s="4">
        <v>36</v>
      </c>
      <c r="R37" s="318">
        <f t="shared" si="27"/>
        <v>176</v>
      </c>
      <c r="S37" s="273">
        <f t="shared" si="12"/>
        <v>7740</v>
      </c>
      <c r="T37" s="269">
        <v>4.5</v>
      </c>
      <c r="U37" s="295">
        <f t="shared" si="25"/>
        <v>7740</v>
      </c>
      <c r="V37" s="270">
        <v>5</v>
      </c>
      <c r="W37" s="270">
        <v>5</v>
      </c>
      <c r="X37" s="4">
        <v>1</v>
      </c>
      <c r="Y37" s="4">
        <v>1</v>
      </c>
      <c r="Z37" s="292">
        <f t="shared" si="11"/>
        <v>4.5</v>
      </c>
      <c r="AA37" s="271">
        <v>3.5</v>
      </c>
      <c r="AB37" s="271">
        <v>1.25</v>
      </c>
      <c r="AD37" s="271">
        <v>2.75</v>
      </c>
      <c r="AF37" s="416">
        <f t="shared" si="1"/>
        <v>12</v>
      </c>
      <c r="AH37" s="314">
        <f t="shared" si="2"/>
        <v>595</v>
      </c>
      <c r="AI37" s="312">
        <f t="shared" si="3"/>
        <v>1100</v>
      </c>
      <c r="AJ37" s="313">
        <f t="shared" si="4"/>
        <v>2462.5</v>
      </c>
      <c r="AK37" s="310"/>
      <c r="AL37" s="309">
        <v>850.77</v>
      </c>
      <c r="AM37" s="309">
        <f t="shared" ca="1" si="5"/>
        <v>13268.27</v>
      </c>
      <c r="AN37" s="381">
        <v>13268.27</v>
      </c>
      <c r="AO37" s="11">
        <f t="shared" si="6"/>
        <v>9705.77</v>
      </c>
      <c r="AP37" s="361">
        <f t="shared" ca="1" si="7"/>
        <v>0.26849770165967379</v>
      </c>
      <c r="AQ37" s="11">
        <f ca="1">IF(D37&gt;TODAY()-1,"",SUM($AM$6:AM37))</f>
        <v>417591.63</v>
      </c>
      <c r="AR37" s="11">
        <f ca="1">IF(AM37&lt;&gt;"", SUMIFS($AM$8:AM37, $BC$8:BC37, BC37), "")</f>
        <v>263277.56</v>
      </c>
      <c r="AS37" s="11">
        <f t="shared" ca="1" si="23"/>
        <v>75.38789772727273</v>
      </c>
      <c r="AT37" s="11"/>
      <c r="AU37" s="124" t="str">
        <f t="shared" ca="1" si="13"/>
        <v>LINK</v>
      </c>
      <c r="AV37" t="s">
        <v>733</v>
      </c>
      <c r="AW37" s="125" t="s">
        <v>664</v>
      </c>
      <c r="AX37" t="str">
        <f t="shared" si="14"/>
        <v>25</v>
      </c>
      <c r="AY37" t="str">
        <f t="shared" si="15"/>
        <v>07</v>
      </c>
      <c r="AZ37" s="98">
        <f t="shared" si="16"/>
        <v>23</v>
      </c>
      <c r="BA37" t="str">
        <f t="shared" si="17"/>
        <v>4</v>
      </c>
      <c r="BB37" t="str">
        <f t="shared" si="20"/>
        <v>https://www.coreplan.io/app/ddh1-drilling/speewah-mining-speewah-fluorite-project-strike/plods/6174-250723D</v>
      </c>
      <c r="BC37" t="str">
        <f t="shared" si="18"/>
        <v>2025-07</v>
      </c>
      <c r="BF37" s="17"/>
    </row>
    <row r="38" spans="1:58">
      <c r="A38" s="510" t="str">
        <f>VLOOKUP(E38,'Tenement Lookup'!A:BH,60,FALSE)</f>
        <v>M 80/268</v>
      </c>
      <c r="B38" t="str">
        <f>VLOOKUP(E38,Purpose!$A$2:$B$334,2,FALSE)</f>
        <v>A Vein RC</v>
      </c>
      <c r="C38" s="59" t="s">
        <v>14</v>
      </c>
      <c r="D38" s="265">
        <v>45862</v>
      </c>
      <c r="E38" s="28" t="s">
        <v>732</v>
      </c>
      <c r="I38" s="266" t="s">
        <v>711</v>
      </c>
      <c r="J38" s="266">
        <v>4</v>
      </c>
      <c r="K38" s="294">
        <f t="shared" si="24"/>
        <v>520</v>
      </c>
      <c r="L38" s="187"/>
      <c r="N38" s="4"/>
      <c r="R38" s="318">
        <f t="shared" si="27"/>
        <v>0</v>
      </c>
      <c r="S38" s="273">
        <f t="shared" si="12"/>
        <v>0</v>
      </c>
      <c r="T38" s="269">
        <v>0</v>
      </c>
      <c r="U38" s="295">
        <f t="shared" si="25"/>
        <v>0</v>
      </c>
      <c r="V38" s="270">
        <v>0</v>
      </c>
      <c r="W38" s="270">
        <v>0</v>
      </c>
      <c r="X38" s="4">
        <v>0</v>
      </c>
      <c r="Y38" s="4">
        <v>0</v>
      </c>
      <c r="Z38" s="292">
        <f t="shared" si="11"/>
        <v>0</v>
      </c>
      <c r="AA38" s="271">
        <v>0</v>
      </c>
      <c r="AB38" s="271">
        <v>0</v>
      </c>
      <c r="AD38" s="271">
        <v>12</v>
      </c>
      <c r="AF38" s="416">
        <f t="shared" si="1"/>
        <v>12</v>
      </c>
      <c r="AH38" s="314">
        <f t="shared" si="2"/>
        <v>0</v>
      </c>
      <c r="AI38" s="312">
        <f t="shared" si="3"/>
        <v>0</v>
      </c>
      <c r="AJ38" s="313">
        <f t="shared" ref="AJ38:AJ69" si="28">SUMPRODUCT(AA38:AE38,$AA$3:$AE$3)</f>
        <v>0</v>
      </c>
      <c r="AK38" s="310"/>
      <c r="AL38" s="309">
        <v>182.12</v>
      </c>
      <c r="AM38" s="309">
        <f t="shared" ca="1" si="5"/>
        <v>702.12</v>
      </c>
      <c r="AN38" s="381">
        <v>702.12</v>
      </c>
      <c r="AO38" s="11">
        <f t="shared" ref="AO38:AO69" si="29">SUM(AL38,AH38,U38,K38)</f>
        <v>702.12</v>
      </c>
      <c r="AP38" s="361">
        <f t="shared" ca="1" si="7"/>
        <v>0</v>
      </c>
      <c r="AQ38" s="11">
        <f ca="1">IF(D38&gt;TODAY()-1,"",SUM($AM$6:AM38))</f>
        <v>418293.75</v>
      </c>
      <c r="AR38" s="11">
        <f ca="1">IF(AM38&lt;&gt;"", SUMIFS($AM$8:AM38, $BC$8:BC38, BC38), "")</f>
        <v>263979.68</v>
      </c>
      <c r="AS38" s="11" t="str">
        <f t="shared" si="23"/>
        <v>No drilling completed today, if maintenance provide context -&gt;</v>
      </c>
      <c r="AT38" s="11" t="s">
        <v>734</v>
      </c>
      <c r="AU38" s="124" t="str">
        <f t="shared" ca="1" si="13"/>
        <v>LINK</v>
      </c>
      <c r="AV38" t="s">
        <v>735</v>
      </c>
      <c r="AW38" s="125" t="s">
        <v>664</v>
      </c>
      <c r="AX38" t="str">
        <f t="shared" si="14"/>
        <v>25</v>
      </c>
      <c r="AY38" t="str">
        <f t="shared" si="15"/>
        <v>07</v>
      </c>
      <c r="AZ38" s="98">
        <f t="shared" si="16"/>
        <v>24</v>
      </c>
      <c r="BA38" t="str">
        <f t="shared" si="17"/>
        <v>4</v>
      </c>
      <c r="BB38" t="str">
        <f t="shared" si="20"/>
        <v>https://www.coreplan.io/app/ddh1-drilling/speewah-mining-speewah-fluorite-project-strike/plods/6174-250724D</v>
      </c>
      <c r="BC38" t="str">
        <f t="shared" si="18"/>
        <v>2025-07</v>
      </c>
      <c r="BF38" s="296"/>
    </row>
    <row r="39" spans="1:58">
      <c r="A39" s="510" t="str">
        <f>VLOOKUP(E39,'Tenement Lookup'!A:BH,60,FALSE)</f>
        <v>M 80/268</v>
      </c>
      <c r="B39" t="str">
        <f>VLOOKUP(E39,Purpose!$A$2:$B$334,2,FALSE)</f>
        <v>A Vein RC</v>
      </c>
      <c r="C39" s="59" t="s">
        <v>14</v>
      </c>
      <c r="D39" s="265">
        <v>45863</v>
      </c>
      <c r="E39" s="28" t="s">
        <v>732</v>
      </c>
      <c r="I39" s="266" t="s">
        <v>711</v>
      </c>
      <c r="J39" s="266">
        <v>4</v>
      </c>
      <c r="K39" s="294">
        <f t="shared" si="24"/>
        <v>520</v>
      </c>
      <c r="L39" s="187"/>
      <c r="N39" s="4"/>
      <c r="R39" s="318">
        <f t="shared" si="27"/>
        <v>0</v>
      </c>
      <c r="S39" s="273">
        <f t="shared" si="12"/>
        <v>0</v>
      </c>
      <c r="T39" s="269">
        <v>0</v>
      </c>
      <c r="U39" s="59">
        <f t="shared" si="25"/>
        <v>0</v>
      </c>
      <c r="V39" s="270">
        <v>0</v>
      </c>
      <c r="W39" s="270">
        <v>0</v>
      </c>
      <c r="X39" s="4">
        <v>0</v>
      </c>
      <c r="Y39" s="4">
        <v>0</v>
      </c>
      <c r="Z39" s="292">
        <f t="shared" si="11"/>
        <v>0</v>
      </c>
      <c r="AA39" s="271">
        <v>0</v>
      </c>
      <c r="AB39" s="271">
        <v>0</v>
      </c>
      <c r="AD39" s="271">
        <v>12</v>
      </c>
      <c r="AF39" s="416">
        <f t="shared" si="1"/>
        <v>12</v>
      </c>
      <c r="AH39" s="314">
        <f t="shared" si="2"/>
        <v>0</v>
      </c>
      <c r="AI39" s="312">
        <f t="shared" si="3"/>
        <v>0</v>
      </c>
      <c r="AJ39" s="313">
        <f t="shared" si="28"/>
        <v>0</v>
      </c>
      <c r="AK39" s="310"/>
      <c r="AL39" s="309">
        <v>0</v>
      </c>
      <c r="AM39" s="309">
        <f t="shared" ca="1" si="5"/>
        <v>520</v>
      </c>
      <c r="AN39" s="381">
        <v>520</v>
      </c>
      <c r="AO39" s="11">
        <f t="shared" si="29"/>
        <v>520</v>
      </c>
      <c r="AP39" s="361">
        <f t="shared" ca="1" si="7"/>
        <v>0</v>
      </c>
      <c r="AQ39" s="11">
        <f ca="1">IF(D39&gt;TODAY()-1,"",SUM($AM$6:AM39))</f>
        <v>418813.75</v>
      </c>
      <c r="AR39" s="11">
        <f ca="1">IF(AM39&lt;&gt;"", SUMIFS($AM$8:AM39, $BC$8:BC39, BC39), "")</f>
        <v>264499.68</v>
      </c>
      <c r="AS39" s="11" t="str">
        <f t="shared" si="23"/>
        <v>No drilling completed today, if maintenance provide context -&gt;</v>
      </c>
      <c r="AT39" s="11" t="s">
        <v>736</v>
      </c>
      <c r="AU39" s="124" t="str">
        <f t="shared" ca="1" si="13"/>
        <v>LINK</v>
      </c>
      <c r="AV39" t="s">
        <v>737</v>
      </c>
      <c r="AW39" s="125" t="s">
        <v>664</v>
      </c>
      <c r="AX39" t="str">
        <f t="shared" si="14"/>
        <v>25</v>
      </c>
      <c r="AY39" t="str">
        <f t="shared" si="15"/>
        <v>07</v>
      </c>
      <c r="AZ39" s="98">
        <f t="shared" si="16"/>
        <v>25</v>
      </c>
      <c r="BA39" t="str">
        <f t="shared" si="17"/>
        <v>4</v>
      </c>
      <c r="BB39" t="str">
        <f t="shared" si="20"/>
        <v>https://www.coreplan.io/app/ddh1-drilling/speewah-mining-speewah-fluorite-project-strike/plods/6174-250725D</v>
      </c>
      <c r="BC39" t="str">
        <f t="shared" si="18"/>
        <v>2025-07</v>
      </c>
      <c r="BF39" s="17"/>
    </row>
    <row r="40" spans="1:58">
      <c r="A40" s="510" t="str">
        <f>VLOOKUP(E40,'Tenement Lookup'!A:BH,60,FALSE)</f>
        <v>M 80/268</v>
      </c>
      <c r="B40" t="str">
        <f>VLOOKUP(E40,Purpose!$A$2:$B$334,2,FALSE)</f>
        <v>A Vein RC</v>
      </c>
      <c r="C40" s="59" t="s">
        <v>14</v>
      </c>
      <c r="D40" s="265">
        <v>45864</v>
      </c>
      <c r="E40" s="28" t="s">
        <v>732</v>
      </c>
      <c r="F40" s="28" t="s">
        <v>738</v>
      </c>
      <c r="G40" s="28" t="s">
        <v>739</v>
      </c>
      <c r="I40" s="266" t="s">
        <v>711</v>
      </c>
      <c r="J40" s="266">
        <v>4</v>
      </c>
      <c r="K40" s="294">
        <f t="shared" si="24"/>
        <v>520</v>
      </c>
      <c r="L40" s="187">
        <v>108</v>
      </c>
      <c r="M40" s="267">
        <v>50</v>
      </c>
      <c r="N40" s="4">
        <v>36</v>
      </c>
      <c r="R40" s="318">
        <f t="shared" si="27"/>
        <v>194</v>
      </c>
      <c r="S40" s="273">
        <f t="shared" si="12"/>
        <v>8370</v>
      </c>
      <c r="T40" s="269">
        <v>4.75</v>
      </c>
      <c r="U40" s="295">
        <f t="shared" si="25"/>
        <v>8370</v>
      </c>
      <c r="V40" s="270">
        <v>4.25</v>
      </c>
      <c r="W40" s="270">
        <v>4.25</v>
      </c>
      <c r="X40" s="4">
        <v>1</v>
      </c>
      <c r="Y40" s="4">
        <v>1</v>
      </c>
      <c r="Z40" s="292">
        <f t="shared" si="11"/>
        <v>4.75</v>
      </c>
      <c r="AA40" s="271">
        <v>6</v>
      </c>
      <c r="AB40" s="271">
        <v>0.75</v>
      </c>
      <c r="AD40" s="271">
        <v>0.5</v>
      </c>
      <c r="AF40" s="416">
        <f t="shared" si="1"/>
        <v>12</v>
      </c>
      <c r="AH40" s="314">
        <f t="shared" si="2"/>
        <v>595</v>
      </c>
      <c r="AI40" s="312">
        <f t="shared" si="3"/>
        <v>935</v>
      </c>
      <c r="AJ40" s="313">
        <f t="shared" si="28"/>
        <v>3720</v>
      </c>
      <c r="AK40" s="310"/>
      <c r="AL40" s="309">
        <v>1045.68</v>
      </c>
      <c r="AM40" s="309">
        <f t="shared" ca="1" si="5"/>
        <v>15185.68</v>
      </c>
      <c r="AN40" s="381">
        <v>15185.68</v>
      </c>
      <c r="AO40" s="11">
        <f t="shared" si="29"/>
        <v>10530.68</v>
      </c>
      <c r="AP40" s="361">
        <f t="shared" ca="1" si="7"/>
        <v>0.30653879180912541</v>
      </c>
      <c r="AQ40" s="11">
        <f ca="1">IF(D40&gt;TODAY()-1,"",SUM($AM$6:AM40))</f>
        <v>433999.43</v>
      </c>
      <c r="AR40" s="11">
        <f ca="1">IF(AM40&lt;&gt;"", SUMIFS($AM$8:AM40, $BC$8:BC40, BC40), "")</f>
        <v>279685.36</v>
      </c>
      <c r="AS40" s="11">
        <f t="shared" ca="1" si="23"/>
        <v>78.276701030927839</v>
      </c>
      <c r="AT40" s="11"/>
      <c r="AU40" s="124" t="str">
        <f t="shared" ca="1" si="13"/>
        <v>LINK</v>
      </c>
      <c r="AV40" t="s">
        <v>740</v>
      </c>
      <c r="AW40" s="125" t="s">
        <v>664</v>
      </c>
      <c r="AX40" t="str">
        <f t="shared" ref="AX40:AX71" si="30">RIGHT(YEAR(D40),2)</f>
        <v>25</v>
      </c>
      <c r="AY40" t="str">
        <f t="shared" ref="AY40:AY71" si="31">_xlfn.TEXTJOIN(,TRUE,"0",MONTH(D40))</f>
        <v>07</v>
      </c>
      <c r="AZ40" s="98">
        <f t="shared" ref="AZ40:AZ71" si="32">IF(LEN(DAY(D40))=1,_xlfn.TEXTJOIN(,,"0",DAY(D40)),DAY(D40))</f>
        <v>26</v>
      </c>
      <c r="BA40" t="str">
        <f t="shared" ref="BA40:BA71" si="33">LEFT(D40,1)</f>
        <v>4</v>
      </c>
      <c r="BB40" t="str">
        <f t="shared" si="20"/>
        <v>https://www.coreplan.io/app/ddh1-drilling/speewah-mining-speewah-fluorite-project-strike/plods/6174-250726D</v>
      </c>
      <c r="BC40" t="str">
        <f t="shared" ref="BC40:BC71" si="34">TEXT(D40, "yyyy-mm")</f>
        <v>2025-07</v>
      </c>
    </row>
    <row r="41" spans="1:58">
      <c r="A41" s="510" t="str">
        <f>VLOOKUP(E41,'Tenement Lookup'!A:BH,60,FALSE)</f>
        <v>M 80/268</v>
      </c>
      <c r="B41" t="str">
        <f>VLOOKUP(E41,Purpose!$A$2:$B$334,2,FALSE)</f>
        <v>Infill</v>
      </c>
      <c r="C41" s="59" t="s">
        <v>12</v>
      </c>
      <c r="D41" s="265">
        <v>45865</v>
      </c>
      <c r="E41" s="28" t="s">
        <v>739</v>
      </c>
      <c r="F41" s="28" t="s">
        <v>741</v>
      </c>
      <c r="I41" s="266" t="s">
        <v>711</v>
      </c>
      <c r="J41" s="266">
        <v>4</v>
      </c>
      <c r="K41" s="294">
        <f t="shared" ref="K41:K46" si="35">J41*$K$3</f>
        <v>520</v>
      </c>
      <c r="L41" s="187">
        <v>82</v>
      </c>
      <c r="M41" s="267">
        <v>100</v>
      </c>
      <c r="N41" s="4">
        <v>50</v>
      </c>
      <c r="O41" s="267">
        <v>10</v>
      </c>
      <c r="R41" s="318">
        <f t="shared" ref="R41:R86" si="36">L41+M41+N41+O41+P41+Q41</f>
        <v>242</v>
      </c>
      <c r="S41" s="273">
        <f t="shared" si="12"/>
        <v>10830</v>
      </c>
      <c r="T41" s="269">
        <v>7.25</v>
      </c>
      <c r="U41" s="295">
        <f t="shared" ref="U41:U86" si="37">IF(S41&lt;(T41*$T$3),(T41*$T$3),S41)</f>
        <v>10830</v>
      </c>
      <c r="V41" s="270">
        <v>7</v>
      </c>
      <c r="W41" s="270">
        <v>7</v>
      </c>
      <c r="X41" s="4">
        <v>1</v>
      </c>
      <c r="Y41" s="4">
        <v>1</v>
      </c>
      <c r="Z41" s="292">
        <f t="shared" si="11"/>
        <v>7.25</v>
      </c>
      <c r="AA41" s="271">
        <v>2.5</v>
      </c>
      <c r="AB41" s="271">
        <v>0.75</v>
      </c>
      <c r="AD41" s="271">
        <v>1.5</v>
      </c>
      <c r="AF41" s="416">
        <f t="shared" si="1"/>
        <v>12</v>
      </c>
      <c r="AH41" s="314">
        <f t="shared" si="2"/>
        <v>595</v>
      </c>
      <c r="AI41" s="312">
        <f t="shared" si="3"/>
        <v>1540</v>
      </c>
      <c r="AJ41" s="313">
        <f t="shared" si="28"/>
        <v>1707.5</v>
      </c>
      <c r="AK41" s="310"/>
      <c r="AL41" s="309">
        <v>549.77</v>
      </c>
      <c r="AM41" s="309">
        <f t="shared" ca="1" si="5"/>
        <v>15742.27</v>
      </c>
      <c r="AN41" s="381">
        <v>15742.27</v>
      </c>
      <c r="AO41" s="11">
        <f t="shared" si="29"/>
        <v>12494.77</v>
      </c>
      <c r="AP41" s="361">
        <f t="shared" ca="1" si="7"/>
        <v>0.2062917228582663</v>
      </c>
      <c r="AQ41" s="11">
        <f ca="1">IF(D41&gt;TODAY()-1,"",SUM($AM$6:AM41))</f>
        <v>449741.7</v>
      </c>
      <c r="AR41" s="11">
        <f ca="1">IF(AM41&lt;&gt;"", SUMIFS($AM$8:AM41, $BC$8:BC41, BC41), "")</f>
        <v>295427.63</v>
      </c>
      <c r="AS41" s="11">
        <f t="shared" ca="1" si="23"/>
        <v>65.050702479338838</v>
      </c>
      <c r="AT41" s="11"/>
      <c r="AU41" s="124" t="str">
        <f t="shared" ca="1" si="13"/>
        <v>LINK</v>
      </c>
      <c r="AV41" t="s">
        <v>742</v>
      </c>
      <c r="AW41" s="125" t="s">
        <v>664</v>
      </c>
      <c r="AX41" t="str">
        <f t="shared" si="30"/>
        <v>25</v>
      </c>
      <c r="AY41" t="str">
        <f t="shared" si="31"/>
        <v>07</v>
      </c>
      <c r="AZ41" s="98">
        <f t="shared" si="32"/>
        <v>27</v>
      </c>
      <c r="BA41" t="str">
        <f t="shared" si="33"/>
        <v>4</v>
      </c>
      <c r="BB41" t="str">
        <f t="shared" si="20"/>
        <v>https://www.coreplan.io/app/ddh1-drilling/speewah-mining-speewah-fluorite-project-strike/plods/6174-250727D</v>
      </c>
      <c r="BC41" t="str">
        <f t="shared" si="34"/>
        <v>2025-07</v>
      </c>
    </row>
    <row r="42" spans="1:58">
      <c r="A42" s="510" t="str">
        <f>VLOOKUP(E42,'Tenement Lookup'!A:BH,60,FALSE)</f>
        <v>M 80/269</v>
      </c>
      <c r="B42" t="str">
        <f>VLOOKUP(E42,Purpose!$A$2:$B$334,2,FALSE)</f>
        <v>Infill</v>
      </c>
      <c r="C42" s="59" t="s">
        <v>12</v>
      </c>
      <c r="D42" s="265">
        <v>45866</v>
      </c>
      <c r="E42" s="28" t="s">
        <v>741</v>
      </c>
      <c r="F42" s="28" t="s">
        <v>743</v>
      </c>
      <c r="I42" s="266" t="s">
        <v>711</v>
      </c>
      <c r="J42" s="266">
        <v>4</v>
      </c>
      <c r="K42" s="294">
        <f t="shared" si="35"/>
        <v>520</v>
      </c>
      <c r="L42" s="187">
        <v>50</v>
      </c>
      <c r="M42" s="267">
        <v>50</v>
      </c>
      <c r="N42" s="4">
        <v>98</v>
      </c>
      <c r="O42" s="267">
        <v>22</v>
      </c>
      <c r="R42" s="318">
        <f t="shared" si="36"/>
        <v>220</v>
      </c>
      <c r="S42" s="273">
        <f t="shared" ref="S42:S86" si="38">(L42*$L$3)+(M42*$M$3)+(N42*$N$3)+(O42*$O$3)+(P42*$P$3)+(Q42*$Q$3)</f>
        <v>10360</v>
      </c>
      <c r="T42" s="269">
        <v>6.25</v>
      </c>
      <c r="U42" s="295">
        <f t="shared" si="37"/>
        <v>10360</v>
      </c>
      <c r="V42" s="270">
        <v>7</v>
      </c>
      <c r="W42" s="270">
        <v>7</v>
      </c>
      <c r="X42" s="4">
        <v>1</v>
      </c>
      <c r="Y42" s="4">
        <v>1</v>
      </c>
      <c r="Z42" s="292">
        <f t="shared" si="11"/>
        <v>6.25</v>
      </c>
      <c r="AA42" s="271">
        <v>4</v>
      </c>
      <c r="AB42" s="271">
        <v>1.25</v>
      </c>
      <c r="AD42" s="271">
        <v>0.5</v>
      </c>
      <c r="AF42" s="416">
        <f t="shared" si="1"/>
        <v>12</v>
      </c>
      <c r="AH42" s="314">
        <f t="shared" si="2"/>
        <v>595</v>
      </c>
      <c r="AI42" s="312">
        <f t="shared" si="3"/>
        <v>1540</v>
      </c>
      <c r="AJ42" s="313">
        <f t="shared" si="28"/>
        <v>2750</v>
      </c>
      <c r="AK42" s="373">
        <v>1643.28</v>
      </c>
      <c r="AL42" s="309">
        <f>AK42-K42</f>
        <v>1123.28</v>
      </c>
      <c r="AM42" s="309">
        <f t="shared" ca="1" si="5"/>
        <v>16888.28</v>
      </c>
      <c r="AN42" s="381">
        <v>16888.28</v>
      </c>
      <c r="AO42" s="11">
        <f t="shared" si="29"/>
        <v>12598.28</v>
      </c>
      <c r="AP42" s="361">
        <f t="shared" ca="1" si="7"/>
        <v>0.25402231606771075</v>
      </c>
      <c r="AQ42" s="11">
        <f ca="1">IF(D42&gt;TODAY()-1,"",SUM($AM$6:AM42))</f>
        <v>466629.98</v>
      </c>
      <c r="AR42" s="11">
        <f ca="1">IF(AM42&lt;&gt;"", SUMIFS($AM$8:AM42, $BC$8:BC42, BC42), "")</f>
        <v>312315.91000000003</v>
      </c>
      <c r="AS42" s="11">
        <f t="shared" ca="1" si="23"/>
        <v>76.764909090909086</v>
      </c>
      <c r="AU42" s="124" t="str">
        <f t="shared" ca="1" si="13"/>
        <v>LINK</v>
      </c>
      <c r="AV42" s="141" t="s">
        <v>744</v>
      </c>
      <c r="AW42" s="125" t="s">
        <v>664</v>
      </c>
      <c r="AX42" t="str">
        <f t="shared" si="30"/>
        <v>25</v>
      </c>
      <c r="AY42" t="str">
        <f t="shared" si="31"/>
        <v>07</v>
      </c>
      <c r="AZ42" s="98">
        <f t="shared" si="32"/>
        <v>28</v>
      </c>
      <c r="BA42" t="str">
        <f t="shared" si="33"/>
        <v>4</v>
      </c>
      <c r="BB42" t="str">
        <f t="shared" si="20"/>
        <v>https://www.coreplan.io/app/ddh1-drilling/speewah-mining-speewah-fluorite-project-strike/plods/6174-250728D</v>
      </c>
      <c r="BC42" t="str">
        <f t="shared" si="34"/>
        <v>2025-07</v>
      </c>
    </row>
    <row r="43" spans="1:58">
      <c r="A43" s="510" t="str">
        <f>VLOOKUP(E43,'Tenement Lookup'!A:BH,60,FALSE)</f>
        <v>M 80/269</v>
      </c>
      <c r="B43" t="str">
        <f>VLOOKUP(E43,Purpose!$A$2:$B$334,2,FALSE)</f>
        <v>Infill</v>
      </c>
      <c r="C43" s="59" t="s">
        <v>12</v>
      </c>
      <c r="D43" s="265">
        <v>45867</v>
      </c>
      <c r="E43" s="28" t="s">
        <v>743</v>
      </c>
      <c r="F43" s="28" t="s">
        <v>745</v>
      </c>
      <c r="I43" s="266" t="s">
        <v>711</v>
      </c>
      <c r="J43" s="266">
        <v>4</v>
      </c>
      <c r="K43" s="294">
        <f t="shared" si="35"/>
        <v>520</v>
      </c>
      <c r="L43" s="187">
        <v>50</v>
      </c>
      <c r="M43" s="267">
        <v>50</v>
      </c>
      <c r="N43" s="4">
        <v>26</v>
      </c>
      <c r="O43" s="267">
        <v>10</v>
      </c>
      <c r="R43" s="318">
        <f t="shared" si="36"/>
        <v>136</v>
      </c>
      <c r="S43" s="273">
        <f t="shared" si="38"/>
        <v>6100</v>
      </c>
      <c r="T43" s="269">
        <v>4</v>
      </c>
      <c r="U43" s="295">
        <f t="shared" si="37"/>
        <v>6100</v>
      </c>
      <c r="V43" s="270">
        <v>4</v>
      </c>
      <c r="W43" s="270">
        <v>4</v>
      </c>
      <c r="X43" s="4">
        <v>1</v>
      </c>
      <c r="Y43" s="4">
        <v>1</v>
      </c>
      <c r="Z43" s="292">
        <f t="shared" si="11"/>
        <v>4</v>
      </c>
      <c r="AA43" s="271">
        <v>6.75</v>
      </c>
      <c r="AB43" s="271">
        <v>0.75</v>
      </c>
      <c r="AD43" s="271">
        <v>0.5</v>
      </c>
      <c r="AF43" s="416">
        <f t="shared" si="1"/>
        <v>12</v>
      </c>
      <c r="AH43" s="314">
        <f t="shared" si="2"/>
        <v>595</v>
      </c>
      <c r="AI43" s="312">
        <f t="shared" si="3"/>
        <v>880</v>
      </c>
      <c r="AJ43" s="313">
        <f t="shared" si="28"/>
        <v>4151.25</v>
      </c>
      <c r="AK43" s="373">
        <v>1643.28</v>
      </c>
      <c r="AL43" s="309">
        <f>AK43-K43</f>
        <v>1123.28</v>
      </c>
      <c r="AM43" s="309">
        <f t="shared" ca="1" si="5"/>
        <v>13369.53</v>
      </c>
      <c r="AN43" s="381">
        <v>13369.53</v>
      </c>
      <c r="AO43" s="11">
        <f t="shared" si="29"/>
        <v>8338.2799999999988</v>
      </c>
      <c r="AP43" s="361">
        <f t="shared" ca="1" si="7"/>
        <v>0.37632212949894284</v>
      </c>
      <c r="AQ43" s="11">
        <f ca="1">IF(D43&gt;TODAY()-1,"",SUM($AM$6:AM43))</f>
        <v>479999.51</v>
      </c>
      <c r="AR43" s="11">
        <f ca="1">IF(AM43&lt;&gt;"", SUMIFS($AM$8:AM43, $BC$8:BC43, BC43), "")</f>
        <v>325685.44000000006</v>
      </c>
      <c r="AS43" s="11">
        <f t="shared" ca="1" si="23"/>
        <v>98.30536764705883</v>
      </c>
      <c r="AU43" s="124" t="str">
        <f t="shared" ca="1" si="13"/>
        <v>LINK</v>
      </c>
      <c r="AV43" s="141"/>
      <c r="AW43" s="125" t="s">
        <v>664</v>
      </c>
      <c r="AX43" t="str">
        <f t="shared" si="30"/>
        <v>25</v>
      </c>
      <c r="AY43" t="str">
        <f t="shared" si="31"/>
        <v>07</v>
      </c>
      <c r="AZ43" s="98">
        <f t="shared" si="32"/>
        <v>29</v>
      </c>
      <c r="BA43" t="str">
        <f t="shared" si="33"/>
        <v>4</v>
      </c>
      <c r="BB43" t="str">
        <f t="shared" si="20"/>
        <v>https://www.coreplan.io/app/ddh1-drilling/speewah-mining-speewah-fluorite-project-strike/plods/6174-250729D</v>
      </c>
      <c r="BC43" t="str">
        <f t="shared" si="34"/>
        <v>2025-07</v>
      </c>
    </row>
    <row r="44" spans="1:58">
      <c r="A44" s="510" t="str">
        <f>VLOOKUP(E44,'Tenement Lookup'!A:BH,60,FALSE)</f>
        <v>M 80/269</v>
      </c>
      <c r="B44" t="str">
        <f>VLOOKUP(E44,Purpose!$A$2:$B$334,2,FALSE)</f>
        <v>Infill</v>
      </c>
      <c r="C44" s="59" t="s">
        <v>12</v>
      </c>
      <c r="D44" s="265">
        <v>45868</v>
      </c>
      <c r="E44" s="28" t="s">
        <v>745</v>
      </c>
      <c r="F44" s="28" t="s">
        <v>746</v>
      </c>
      <c r="I44" s="266" t="s">
        <v>711</v>
      </c>
      <c r="J44" s="266">
        <v>4</v>
      </c>
      <c r="K44" s="294">
        <f t="shared" si="35"/>
        <v>520</v>
      </c>
      <c r="L44" s="187">
        <v>34</v>
      </c>
      <c r="N44" s="4">
        <v>12</v>
      </c>
      <c r="R44" s="318">
        <f t="shared" si="36"/>
        <v>46</v>
      </c>
      <c r="S44" s="273">
        <f t="shared" si="38"/>
        <v>1960</v>
      </c>
      <c r="T44" s="269">
        <v>1.75</v>
      </c>
      <c r="U44" s="295">
        <f t="shared" si="37"/>
        <v>1960</v>
      </c>
      <c r="V44" s="270">
        <v>2</v>
      </c>
      <c r="W44" s="270">
        <v>2</v>
      </c>
      <c r="X44" s="4">
        <v>1</v>
      </c>
      <c r="Y44" s="4">
        <v>1</v>
      </c>
      <c r="Z44" s="292">
        <f t="shared" si="11"/>
        <v>1.75</v>
      </c>
      <c r="AA44" s="271">
        <v>9</v>
      </c>
      <c r="AB44" s="271">
        <v>0.75</v>
      </c>
      <c r="AD44" s="271">
        <v>0.5</v>
      </c>
      <c r="AF44" s="416">
        <f t="shared" si="1"/>
        <v>12</v>
      </c>
      <c r="AH44" s="314">
        <f t="shared" si="2"/>
        <v>595</v>
      </c>
      <c r="AI44" s="312">
        <f t="shared" si="3"/>
        <v>440</v>
      </c>
      <c r="AJ44" s="313">
        <f t="shared" si="28"/>
        <v>5445</v>
      </c>
      <c r="AK44" s="373">
        <v>1029.8800000000001</v>
      </c>
      <c r="AL44" s="309">
        <f>AK44-K44</f>
        <v>509.88000000000011</v>
      </c>
      <c r="AM44" s="309">
        <f t="shared" ca="1" si="5"/>
        <v>9469.880000000001</v>
      </c>
      <c r="AN44" s="381">
        <v>9469.8799999999992</v>
      </c>
      <c r="AO44" s="11">
        <f t="shared" si="29"/>
        <v>3584.88</v>
      </c>
      <c r="AP44" s="361">
        <f t="shared" ca="1" si="7"/>
        <v>0.62144398873058582</v>
      </c>
      <c r="AQ44" s="11">
        <f ca="1">IF(D44&gt;TODAY()-1,"",SUM($AM$6:AM44))</f>
        <v>489469.39</v>
      </c>
      <c r="AR44" s="11">
        <f ca="1">IF(AM44&lt;&gt;"", SUMIFS($AM$8:AM44, $BC$8:BC44, BC44), "")</f>
        <v>335155.32000000007</v>
      </c>
      <c r="AS44" s="11">
        <f t="shared" ca="1" si="23"/>
        <v>205.86695652173916</v>
      </c>
      <c r="AU44" s="124" t="str">
        <f t="shared" ca="1" si="13"/>
        <v>LINK</v>
      </c>
      <c r="AW44" s="125" t="s">
        <v>664</v>
      </c>
      <c r="AX44" t="str">
        <f t="shared" si="30"/>
        <v>25</v>
      </c>
      <c r="AY44" t="str">
        <f t="shared" si="31"/>
        <v>07</v>
      </c>
      <c r="AZ44" s="98">
        <f t="shared" si="32"/>
        <v>30</v>
      </c>
      <c r="BA44" t="str">
        <f t="shared" si="33"/>
        <v>4</v>
      </c>
      <c r="BB44" t="str">
        <f t="shared" si="20"/>
        <v>https://www.coreplan.io/app/ddh1-drilling/speewah-mining-speewah-fluorite-project-strike/plods/6174-250730D</v>
      </c>
      <c r="BC44" t="str">
        <f t="shared" si="34"/>
        <v>2025-07</v>
      </c>
    </row>
    <row r="45" spans="1:58">
      <c r="A45" s="510" t="str">
        <f>VLOOKUP(E45,'Tenement Lookup'!A:BH,60,FALSE)</f>
        <v>M 80/268</v>
      </c>
      <c r="B45" t="str">
        <f>VLOOKUP(E45,Purpose!$A$2:$B$334,2,FALSE)</f>
        <v>Infill</v>
      </c>
      <c r="C45" s="59" t="s">
        <v>12</v>
      </c>
      <c r="D45" s="265">
        <v>45869</v>
      </c>
      <c r="E45" s="28" t="s">
        <v>746</v>
      </c>
      <c r="F45" s="28" t="s">
        <v>747</v>
      </c>
      <c r="I45" s="266" t="s">
        <v>687</v>
      </c>
      <c r="J45" s="266">
        <v>3</v>
      </c>
      <c r="K45" s="294">
        <f t="shared" si="35"/>
        <v>390</v>
      </c>
      <c r="L45" s="187">
        <f>16+50</f>
        <v>66</v>
      </c>
      <c r="M45" s="267">
        <f>2+50</f>
        <v>52</v>
      </c>
      <c r="N45" s="4">
        <v>50</v>
      </c>
      <c r="O45" s="267">
        <v>22</v>
      </c>
      <c r="R45" s="318">
        <f t="shared" si="36"/>
        <v>190</v>
      </c>
      <c r="S45" s="273">
        <f t="shared" si="38"/>
        <v>8690</v>
      </c>
      <c r="T45" s="269">
        <v>6.75</v>
      </c>
      <c r="U45" s="295">
        <f t="shared" si="37"/>
        <v>8690</v>
      </c>
      <c r="V45" s="270">
        <v>6</v>
      </c>
      <c r="W45" s="270">
        <v>6</v>
      </c>
      <c r="X45" s="4">
        <v>1</v>
      </c>
      <c r="Y45" s="4">
        <v>1</v>
      </c>
      <c r="Z45" s="292">
        <f t="shared" si="11"/>
        <v>6.75</v>
      </c>
      <c r="AA45" s="271">
        <v>4.25</v>
      </c>
      <c r="AB45" s="271">
        <v>0.5</v>
      </c>
      <c r="AD45" s="271">
        <v>0.5</v>
      </c>
      <c r="AF45" s="416">
        <f t="shared" si="1"/>
        <v>12</v>
      </c>
      <c r="AH45" s="314">
        <f t="shared" si="2"/>
        <v>595</v>
      </c>
      <c r="AI45" s="312">
        <f t="shared" si="3"/>
        <v>1320</v>
      </c>
      <c r="AJ45" s="313">
        <f t="shared" si="28"/>
        <v>2623.75</v>
      </c>
      <c r="AK45" s="374">
        <v>24048.14</v>
      </c>
      <c r="AL45" s="309">
        <f>AK45-K45</f>
        <v>23658.14</v>
      </c>
      <c r="AM45" s="309">
        <f t="shared" ca="1" si="5"/>
        <v>37276.89</v>
      </c>
      <c r="AN45" s="381">
        <v>37276.89</v>
      </c>
      <c r="AO45" s="11">
        <f t="shared" si="29"/>
        <v>33333.14</v>
      </c>
      <c r="AP45" s="361">
        <f t="shared" ca="1" si="7"/>
        <v>0.10579611120992122</v>
      </c>
      <c r="AQ45" s="11">
        <f ca="1">IF(D45&gt;TODAY()-1,"",SUM($AM$6:AM45))</f>
        <v>526746.28</v>
      </c>
      <c r="AR45" s="11">
        <f ca="1">IF(AM45&lt;&gt;"", SUMIFS($AM$8:AM45, $BC$8:BC45, BC45), "")</f>
        <v>372432.21000000008</v>
      </c>
      <c r="AS45" s="11">
        <f t="shared" ca="1" si="23"/>
        <v>196.19415789473683</v>
      </c>
      <c r="AU45" s="124" t="str">
        <f t="shared" ca="1" si="13"/>
        <v>LINK</v>
      </c>
      <c r="AV45" s="141" t="s">
        <v>748</v>
      </c>
      <c r="AW45" s="125" t="s">
        <v>664</v>
      </c>
      <c r="AX45" t="str">
        <f t="shared" si="30"/>
        <v>25</v>
      </c>
      <c r="AY45" t="str">
        <f t="shared" si="31"/>
        <v>07</v>
      </c>
      <c r="AZ45" s="98">
        <f t="shared" si="32"/>
        <v>31</v>
      </c>
      <c r="BA45" t="str">
        <f t="shared" si="33"/>
        <v>4</v>
      </c>
      <c r="BB45" t="str">
        <f t="shared" si="20"/>
        <v>https://www.coreplan.io/app/ddh1-drilling/speewah-mining-speewah-fluorite-project-strike/plods/6174-250731D</v>
      </c>
      <c r="BC45" t="str">
        <f t="shared" si="34"/>
        <v>2025-07</v>
      </c>
    </row>
    <row r="46" spans="1:58">
      <c r="A46" s="510" t="str">
        <f>VLOOKUP(E46,'Tenement Lookup'!A:BH,60,FALSE)</f>
        <v>M 80/268</v>
      </c>
      <c r="B46" t="str">
        <f>VLOOKUP(E46,Purpose!$A$2:$B$334,2,FALSE)</f>
        <v>Infill</v>
      </c>
      <c r="C46" s="59" t="s">
        <v>12</v>
      </c>
      <c r="D46" s="265">
        <v>45870</v>
      </c>
      <c r="E46" s="28" t="s">
        <v>747</v>
      </c>
      <c r="F46" s="28" t="s">
        <v>749</v>
      </c>
      <c r="I46" s="266" t="s">
        <v>687</v>
      </c>
      <c r="J46" s="266">
        <v>3</v>
      </c>
      <c r="K46" s="294">
        <f t="shared" si="35"/>
        <v>390</v>
      </c>
      <c r="L46" s="187">
        <v>50</v>
      </c>
      <c r="M46" s="267">
        <v>98</v>
      </c>
      <c r="N46" s="4">
        <v>56</v>
      </c>
      <c r="O46" s="267">
        <v>10</v>
      </c>
      <c r="R46" s="318">
        <f t="shared" si="36"/>
        <v>214</v>
      </c>
      <c r="S46" s="273">
        <f t="shared" si="38"/>
        <v>9760</v>
      </c>
      <c r="T46" s="269">
        <v>7.5</v>
      </c>
      <c r="U46" s="295">
        <f t="shared" si="37"/>
        <v>9760</v>
      </c>
      <c r="V46" s="270">
        <v>7</v>
      </c>
      <c r="W46" s="270">
        <v>7</v>
      </c>
      <c r="X46" s="4">
        <v>1</v>
      </c>
      <c r="Y46" s="4">
        <v>1</v>
      </c>
      <c r="Z46" s="292">
        <f t="shared" si="11"/>
        <v>7.5</v>
      </c>
      <c r="AA46" s="271">
        <v>3.25</v>
      </c>
      <c r="AB46" s="271">
        <v>0.75</v>
      </c>
      <c r="AD46" s="271">
        <v>0.5</v>
      </c>
      <c r="AF46" s="416">
        <f t="shared" si="1"/>
        <v>12</v>
      </c>
      <c r="AH46" s="314">
        <f t="shared" si="2"/>
        <v>595</v>
      </c>
      <c r="AI46" s="312">
        <f t="shared" si="3"/>
        <v>1540</v>
      </c>
      <c r="AJ46" s="313">
        <f t="shared" si="28"/>
        <v>2138.75</v>
      </c>
      <c r="AK46" s="310">
        <v>887.37</v>
      </c>
      <c r="AL46" s="309">
        <f>887.37-390</f>
        <v>497.37</v>
      </c>
      <c r="AM46" s="309">
        <f t="shared" ca="1" si="5"/>
        <v>14921.12</v>
      </c>
      <c r="AN46" s="294">
        <v>14921.12</v>
      </c>
      <c r="AO46" s="11">
        <f t="shared" si="29"/>
        <v>11242.369999999999</v>
      </c>
      <c r="AP46" s="361">
        <f t="shared" ca="1" si="7"/>
        <v>0.24654650589231919</v>
      </c>
      <c r="AQ46" s="11">
        <f ca="1">IF(D46&gt;TODAY()-1,"",SUM($AM$6:AM46))</f>
        <v>541667.4</v>
      </c>
      <c r="AR46" s="11">
        <f ca="1">IF(AM46&lt;&gt;"", SUMIFS($AM$8:AM46, $BC$8:BC46, BC46), "")</f>
        <v>14921.12</v>
      </c>
      <c r="AS46" s="11">
        <f t="shared" ref="AS46:AS83" ca="1" si="39">IF(R46=0,"No drilling completed today, if maintenance provide context -&gt;",AM46/R46)</f>
        <v>69.724859813084109</v>
      </c>
      <c r="AU46" s="124" t="str">
        <f t="shared" ca="1" si="13"/>
        <v>LINK</v>
      </c>
      <c r="AW46" s="125" t="s">
        <v>664</v>
      </c>
      <c r="AX46" t="str">
        <f t="shared" si="30"/>
        <v>25</v>
      </c>
      <c r="AY46" t="str">
        <f t="shared" si="31"/>
        <v>08</v>
      </c>
      <c r="AZ46" s="98" t="str">
        <f t="shared" si="32"/>
        <v>01</v>
      </c>
      <c r="BA46" t="str">
        <f t="shared" si="33"/>
        <v>4</v>
      </c>
      <c r="BB46" t="str">
        <f t="shared" si="20"/>
        <v>https://www.coreplan.io/app/ddh1-drilling/speewah-mining-speewah-fluorite-project-strike/plods/6174-250801D</v>
      </c>
      <c r="BC46" t="str">
        <f t="shared" si="34"/>
        <v>2025-08</v>
      </c>
    </row>
    <row r="47" spans="1:58">
      <c r="A47" s="510" t="str">
        <f>VLOOKUP(E47,'Tenement Lookup'!A:BH,60,FALSE)</f>
        <v>M 80/268</v>
      </c>
      <c r="B47" t="str">
        <f>VLOOKUP(E47,Purpose!$A$2:$B$334,2,FALSE)</f>
        <v>Infill</v>
      </c>
      <c r="C47" s="59" t="s">
        <v>12</v>
      </c>
      <c r="D47" s="265">
        <v>45871</v>
      </c>
      <c r="E47" s="28" t="s">
        <v>749</v>
      </c>
      <c r="F47" s="28" t="s">
        <v>750</v>
      </c>
      <c r="I47" s="266" t="s">
        <v>687</v>
      </c>
      <c r="J47" s="266">
        <v>3</v>
      </c>
      <c r="K47" s="297">
        <f t="shared" ref="K47:K72" si="40">J47*$K$3</f>
        <v>390</v>
      </c>
      <c r="L47" s="187">
        <v>50</v>
      </c>
      <c r="M47" s="267">
        <v>50</v>
      </c>
      <c r="N47" s="4">
        <v>44</v>
      </c>
      <c r="O47" s="267">
        <v>40</v>
      </c>
      <c r="R47" s="318">
        <f t="shared" si="36"/>
        <v>184</v>
      </c>
      <c r="S47" s="273">
        <f t="shared" si="38"/>
        <v>8650</v>
      </c>
      <c r="T47" s="269">
        <v>6</v>
      </c>
      <c r="U47" s="295">
        <f t="shared" si="37"/>
        <v>8650</v>
      </c>
      <c r="V47" s="270">
        <v>6</v>
      </c>
      <c r="W47" s="270">
        <v>6</v>
      </c>
      <c r="X47" s="4">
        <v>1</v>
      </c>
      <c r="Y47" s="4">
        <v>1</v>
      </c>
      <c r="Z47" s="292">
        <f t="shared" si="11"/>
        <v>6</v>
      </c>
      <c r="AA47" s="271">
        <v>3.5</v>
      </c>
      <c r="AB47" s="271">
        <v>1</v>
      </c>
      <c r="AD47" s="271">
        <v>0.5</v>
      </c>
      <c r="AE47" s="293">
        <v>1</v>
      </c>
      <c r="AF47" s="416">
        <f t="shared" si="1"/>
        <v>12</v>
      </c>
      <c r="AH47" s="314">
        <f t="shared" si="2"/>
        <v>595</v>
      </c>
      <c r="AI47" s="312">
        <f t="shared" si="3"/>
        <v>1320</v>
      </c>
      <c r="AJ47" s="313">
        <f t="shared" si="28"/>
        <v>2372.5</v>
      </c>
      <c r="AK47" s="374">
        <v>1029.8800000000001</v>
      </c>
      <c r="AL47" s="309">
        <f t="shared" ref="AL47:AL66" si="41">AK47-K47</f>
        <v>639.88000000000011</v>
      </c>
      <c r="AM47" s="309">
        <f t="shared" ca="1" si="5"/>
        <v>13967.380000000001</v>
      </c>
      <c r="AN47" s="294">
        <v>13967.38</v>
      </c>
      <c r="AO47" s="11">
        <f t="shared" si="29"/>
        <v>10274.880000000001</v>
      </c>
      <c r="AP47" s="361">
        <f t="shared" ca="1" si="7"/>
        <v>0.26436597271642925</v>
      </c>
      <c r="AQ47" s="11">
        <f ca="1">IF(D47&gt;TODAY()-1,"",SUM($AM$6:AM47))</f>
        <v>555634.78</v>
      </c>
      <c r="AR47" s="11">
        <f ca="1">IF(AM47&lt;&gt;"", SUMIFS($AM$8:AM47, $BC$8:BC47, BC47), "")</f>
        <v>28888.5</v>
      </c>
      <c r="AS47" s="11">
        <f t="shared" ca="1" si="39"/>
        <v>75.909673913043477</v>
      </c>
      <c r="AU47" s="124" t="str">
        <f t="shared" ca="1" si="13"/>
        <v>LINK</v>
      </c>
      <c r="AW47" s="125" t="s">
        <v>664</v>
      </c>
      <c r="AX47" t="str">
        <f t="shared" si="30"/>
        <v>25</v>
      </c>
      <c r="AY47" t="str">
        <f t="shared" si="31"/>
        <v>08</v>
      </c>
      <c r="AZ47" s="98" t="str">
        <f t="shared" si="32"/>
        <v>02</v>
      </c>
      <c r="BA47" t="str">
        <f t="shared" si="33"/>
        <v>4</v>
      </c>
      <c r="BB47" t="str">
        <f t="shared" si="20"/>
        <v>https://www.coreplan.io/app/ddh1-drilling/speewah-mining-speewah-fluorite-project-strike/plods/6174-250802D</v>
      </c>
      <c r="BC47" t="str">
        <f t="shared" si="34"/>
        <v>2025-08</v>
      </c>
    </row>
    <row r="48" spans="1:58">
      <c r="A48" s="510" t="str">
        <f>VLOOKUP(E48,'Tenement Lookup'!A:BH,60,FALSE)</f>
        <v>M 80/268</v>
      </c>
      <c r="B48" t="str">
        <f>VLOOKUP(E48,Purpose!$A$2:$B$334,2,FALSE)</f>
        <v>Infill</v>
      </c>
      <c r="C48" s="59" t="s">
        <v>12</v>
      </c>
      <c r="D48" s="265">
        <v>45872</v>
      </c>
      <c r="E48" s="28" t="s">
        <v>750</v>
      </c>
      <c r="I48" s="266" t="s">
        <v>687</v>
      </c>
      <c r="J48" s="266">
        <v>3</v>
      </c>
      <c r="K48" s="297">
        <f t="shared" si="40"/>
        <v>390</v>
      </c>
      <c r="L48" s="187">
        <v>0</v>
      </c>
      <c r="M48" s="267">
        <v>0</v>
      </c>
      <c r="N48" s="4">
        <v>50</v>
      </c>
      <c r="O48" s="267">
        <v>46</v>
      </c>
      <c r="R48" s="318">
        <f t="shared" si="36"/>
        <v>96</v>
      </c>
      <c r="S48" s="273">
        <f t="shared" si="38"/>
        <v>5030</v>
      </c>
      <c r="T48" s="269">
        <v>6.25</v>
      </c>
      <c r="U48" s="295">
        <f t="shared" si="37"/>
        <v>5030</v>
      </c>
      <c r="V48" s="270">
        <v>7</v>
      </c>
      <c r="W48" s="270">
        <v>7</v>
      </c>
      <c r="X48" s="4">
        <v>1</v>
      </c>
      <c r="Y48" s="4">
        <v>1</v>
      </c>
      <c r="Z48" s="292">
        <f t="shared" si="11"/>
        <v>6.25</v>
      </c>
      <c r="AA48" s="271">
        <v>4.5</v>
      </c>
      <c r="AB48" s="271">
        <v>0.25</v>
      </c>
      <c r="AD48" s="271">
        <v>0.5</v>
      </c>
      <c r="AE48" s="293">
        <v>0.5</v>
      </c>
      <c r="AF48" s="416">
        <f t="shared" si="1"/>
        <v>12</v>
      </c>
      <c r="AG48" t="s">
        <v>751</v>
      </c>
      <c r="AH48" s="314">
        <f t="shared" si="2"/>
        <v>595</v>
      </c>
      <c r="AI48" s="312">
        <f t="shared" si="3"/>
        <v>1540</v>
      </c>
      <c r="AJ48" s="313">
        <f t="shared" si="28"/>
        <v>2677.5</v>
      </c>
      <c r="AK48" s="43">
        <v>728.88</v>
      </c>
      <c r="AL48" s="309">
        <f t="shared" si="41"/>
        <v>338.88</v>
      </c>
      <c r="AM48" s="309">
        <f t="shared" ca="1" si="5"/>
        <v>10571.38</v>
      </c>
      <c r="AN48" s="294">
        <v>10571.38</v>
      </c>
      <c r="AO48" s="11">
        <f t="shared" si="29"/>
        <v>6353.88</v>
      </c>
      <c r="AP48" s="361">
        <f t="shared" ca="1" si="7"/>
        <v>0.39895453573705603</v>
      </c>
      <c r="AQ48" s="11">
        <f ca="1">IF(D48&gt;TODAY()-1,"",SUM($AM$6:AM48))</f>
        <v>566206.16</v>
      </c>
      <c r="AR48" s="11">
        <f ca="1">IF(AM48&lt;&gt;"", SUMIFS($AM$8:AM48, $BC$8:BC48, BC48), "")</f>
        <v>39459.879999999997</v>
      </c>
      <c r="AS48" s="11">
        <f t="shared" ca="1" si="39"/>
        <v>110.11854166666666</v>
      </c>
      <c r="AU48" s="124" t="str">
        <f t="shared" ca="1" si="13"/>
        <v>LINK</v>
      </c>
      <c r="AW48" s="125" t="s">
        <v>664</v>
      </c>
      <c r="AX48" t="str">
        <f t="shared" si="30"/>
        <v>25</v>
      </c>
      <c r="AY48" t="str">
        <f t="shared" si="31"/>
        <v>08</v>
      </c>
      <c r="AZ48" s="98" t="str">
        <f t="shared" si="32"/>
        <v>03</v>
      </c>
      <c r="BA48" t="str">
        <f t="shared" si="33"/>
        <v>4</v>
      </c>
      <c r="BB48" t="str">
        <f t="shared" si="20"/>
        <v>https://www.coreplan.io/app/ddh1-drilling/speewah-mining-speewah-fluorite-project-strike/plods/6174-250803D</v>
      </c>
      <c r="BC48" t="str">
        <f t="shared" si="34"/>
        <v>2025-08</v>
      </c>
    </row>
    <row r="49" spans="1:55">
      <c r="A49" s="510" t="str">
        <f>VLOOKUP(E49,'Tenement Lookup'!A:BH,60,FALSE)</f>
        <v>M 80/268</v>
      </c>
      <c r="B49" t="str">
        <f>VLOOKUP(E49,Purpose!$A$2:$B$334,2,FALSE)</f>
        <v>Infill</v>
      </c>
      <c r="C49" s="59" t="s">
        <v>12</v>
      </c>
      <c r="D49" s="265">
        <v>45873</v>
      </c>
      <c r="E49" s="28" t="s">
        <v>750</v>
      </c>
      <c r="F49" s="28" t="s">
        <v>752</v>
      </c>
      <c r="I49" s="266" t="s">
        <v>687</v>
      </c>
      <c r="J49" s="266">
        <v>3</v>
      </c>
      <c r="K49" s="297">
        <f t="shared" si="40"/>
        <v>390</v>
      </c>
      <c r="L49" s="187">
        <v>50</v>
      </c>
      <c r="M49" s="267">
        <v>50</v>
      </c>
      <c r="N49" s="4">
        <v>50</v>
      </c>
      <c r="O49" s="267">
        <v>44</v>
      </c>
      <c r="R49" s="318">
        <f t="shared" si="36"/>
        <v>194</v>
      </c>
      <c r="S49" s="273">
        <f t="shared" si="38"/>
        <v>9170</v>
      </c>
      <c r="T49" s="269">
        <v>6</v>
      </c>
      <c r="U49" s="295">
        <f t="shared" si="37"/>
        <v>9170</v>
      </c>
      <c r="V49" s="270">
        <v>7</v>
      </c>
      <c r="W49" s="270">
        <v>7</v>
      </c>
      <c r="X49" s="4">
        <v>1</v>
      </c>
      <c r="Y49" s="4">
        <v>1</v>
      </c>
      <c r="Z49" s="292">
        <f t="shared" si="11"/>
        <v>6</v>
      </c>
      <c r="AA49" s="271">
        <v>3.75</v>
      </c>
      <c r="AB49" s="271">
        <v>1</v>
      </c>
      <c r="AD49" s="271">
        <v>1.25</v>
      </c>
      <c r="AF49" s="416">
        <f t="shared" si="1"/>
        <v>12</v>
      </c>
      <c r="AH49" s="314">
        <f t="shared" si="2"/>
        <v>595</v>
      </c>
      <c r="AI49" s="312">
        <f t="shared" si="3"/>
        <v>1540</v>
      </c>
      <c r="AJ49" s="313">
        <f t="shared" si="28"/>
        <v>2516.25</v>
      </c>
      <c r="AK49" s="43">
        <v>1029.8800000000001</v>
      </c>
      <c r="AL49" s="309">
        <f t="shared" si="41"/>
        <v>639.88000000000011</v>
      </c>
      <c r="AM49" s="309">
        <f t="shared" ca="1" si="5"/>
        <v>14851.130000000001</v>
      </c>
      <c r="AN49" s="294">
        <v>14851.13</v>
      </c>
      <c r="AO49" s="11">
        <f t="shared" si="29"/>
        <v>10794.880000000001</v>
      </c>
      <c r="AP49" s="361">
        <f t="shared" ca="1" si="7"/>
        <v>0.2731273647190483</v>
      </c>
      <c r="AQ49" s="11">
        <f ca="1">IF(D49&gt;TODAY()-1,"",SUM($AM$6:AM49))</f>
        <v>581057.29</v>
      </c>
      <c r="AR49" s="11">
        <f ca="1">IF(AM49&lt;&gt;"", SUMIFS($AM$8:AM49, $BC$8:BC49, BC49), "")</f>
        <v>54311.009999999995</v>
      </c>
      <c r="AS49" s="11">
        <f t="shared" ca="1" si="39"/>
        <v>76.552216494845368</v>
      </c>
      <c r="AU49" s="124" t="str">
        <f t="shared" ca="1" si="13"/>
        <v>LINK</v>
      </c>
      <c r="AW49" s="125" t="s">
        <v>664</v>
      </c>
      <c r="AX49" t="str">
        <f t="shared" si="30"/>
        <v>25</v>
      </c>
      <c r="AY49" t="str">
        <f t="shared" si="31"/>
        <v>08</v>
      </c>
      <c r="AZ49" s="98" t="str">
        <f t="shared" si="32"/>
        <v>04</v>
      </c>
      <c r="BA49" t="str">
        <f t="shared" si="33"/>
        <v>4</v>
      </c>
      <c r="BB49" t="str">
        <f t="shared" si="20"/>
        <v>https://www.coreplan.io/app/ddh1-drilling/speewah-mining-speewah-fluorite-project-strike/plods/6174-250804D</v>
      </c>
      <c r="BC49" t="str">
        <f t="shared" si="34"/>
        <v>2025-08</v>
      </c>
    </row>
    <row r="50" spans="1:55">
      <c r="A50" s="510" t="str">
        <f>VLOOKUP(E50,'Tenement Lookup'!A:BH,60,FALSE)</f>
        <v>M 80/268</v>
      </c>
      <c r="B50" t="str">
        <f>VLOOKUP(E50,Purpose!$A$2:$B$334,2,FALSE)</f>
        <v>Infill</v>
      </c>
      <c r="C50" s="59" t="s">
        <v>12</v>
      </c>
      <c r="D50" s="265">
        <v>45874</v>
      </c>
      <c r="E50" s="28" t="s">
        <v>753</v>
      </c>
      <c r="I50" s="266" t="s">
        <v>687</v>
      </c>
      <c r="J50" s="266">
        <v>5</v>
      </c>
      <c r="K50" s="297">
        <f t="shared" si="40"/>
        <v>650</v>
      </c>
      <c r="L50" s="187">
        <v>50</v>
      </c>
      <c r="M50" s="267">
        <v>50</v>
      </c>
      <c r="N50" s="4">
        <v>50</v>
      </c>
      <c r="O50" s="267">
        <v>30</v>
      </c>
      <c r="R50" s="318">
        <f t="shared" si="36"/>
        <v>180</v>
      </c>
      <c r="S50" s="273">
        <f t="shared" si="38"/>
        <v>8400</v>
      </c>
      <c r="T50" s="269">
        <v>5</v>
      </c>
      <c r="U50" s="295">
        <f t="shared" si="37"/>
        <v>8400</v>
      </c>
      <c r="V50" s="270">
        <v>6</v>
      </c>
      <c r="W50" s="270">
        <v>6</v>
      </c>
      <c r="X50" s="4">
        <v>1</v>
      </c>
      <c r="Y50" s="4">
        <v>1</v>
      </c>
      <c r="Z50" s="292">
        <f t="shared" si="11"/>
        <v>5</v>
      </c>
      <c r="AA50" s="271">
        <v>3</v>
      </c>
      <c r="AB50" s="271">
        <v>2</v>
      </c>
      <c r="AD50" s="271">
        <v>2</v>
      </c>
      <c r="AF50" s="416">
        <f t="shared" si="1"/>
        <v>12</v>
      </c>
      <c r="AH50" s="314">
        <f t="shared" si="2"/>
        <v>595</v>
      </c>
      <c r="AI50" s="312">
        <f t="shared" si="3"/>
        <v>1320</v>
      </c>
      <c r="AJ50" s="313">
        <f t="shared" si="28"/>
        <v>2445</v>
      </c>
      <c r="AK50" s="43">
        <v>1289.8800000000001</v>
      </c>
      <c r="AL50" s="309">
        <f t="shared" si="41"/>
        <v>639.88000000000011</v>
      </c>
      <c r="AM50" s="309">
        <f t="shared" ca="1" si="5"/>
        <v>14049.880000000001</v>
      </c>
      <c r="AN50" s="294">
        <v>14049.88</v>
      </c>
      <c r="AO50" s="11">
        <f t="shared" si="29"/>
        <v>10284.880000000001</v>
      </c>
      <c r="AP50" s="361">
        <f t="shared" ca="1" si="7"/>
        <v>0.26797381899347184</v>
      </c>
      <c r="AQ50" s="11">
        <f ca="1">IF(D50&gt;TODAY()-1,"",SUM($AM$6:AM50))</f>
        <v>595107.17000000004</v>
      </c>
      <c r="AR50" s="11">
        <f ca="1">IF(AM50&lt;&gt;"", SUMIFS($AM$8:AM50, $BC$8:BC50, BC50), "")</f>
        <v>68360.89</v>
      </c>
      <c r="AS50" s="11">
        <f t="shared" ca="1" si="39"/>
        <v>78.054888888888897</v>
      </c>
      <c r="AU50" s="124" t="str">
        <f t="shared" ca="1" si="13"/>
        <v>LINK</v>
      </c>
      <c r="AW50" s="125" t="s">
        <v>664</v>
      </c>
      <c r="AX50" t="str">
        <f t="shared" si="30"/>
        <v>25</v>
      </c>
      <c r="AY50" t="str">
        <f t="shared" si="31"/>
        <v>08</v>
      </c>
      <c r="AZ50" s="98" t="str">
        <f t="shared" si="32"/>
        <v>05</v>
      </c>
      <c r="BA50" t="str">
        <f t="shared" si="33"/>
        <v>4</v>
      </c>
      <c r="BB50" t="str">
        <f t="shared" si="20"/>
        <v>https://www.coreplan.io/app/ddh1-drilling/speewah-mining-speewah-fluorite-project-strike/plods/6174-250805D</v>
      </c>
      <c r="BC50" t="str">
        <f t="shared" si="34"/>
        <v>2025-08</v>
      </c>
    </row>
    <row r="51" spans="1:55">
      <c r="A51" s="510" t="str">
        <f>VLOOKUP(E51,'Tenement Lookup'!A:BH,60,FALSE)</f>
        <v>M 80/268</v>
      </c>
      <c r="B51" t="str">
        <f>VLOOKUP(E51,Purpose!$A$2:$B$334,2,FALSE)</f>
        <v>Infill</v>
      </c>
      <c r="C51" s="59" t="s">
        <v>12</v>
      </c>
      <c r="D51" s="265">
        <v>45875</v>
      </c>
      <c r="E51" s="28" t="s">
        <v>754</v>
      </c>
      <c r="I51" s="266" t="s">
        <v>711</v>
      </c>
      <c r="J51" s="266">
        <v>3</v>
      </c>
      <c r="K51" s="297">
        <f t="shared" si="40"/>
        <v>390</v>
      </c>
      <c r="L51" s="187">
        <v>50</v>
      </c>
      <c r="M51" s="267">
        <v>50</v>
      </c>
      <c r="N51" s="4">
        <v>50</v>
      </c>
      <c r="O51" s="267">
        <v>50</v>
      </c>
      <c r="P51" s="4">
        <v>2</v>
      </c>
      <c r="R51" s="318">
        <f t="shared" si="36"/>
        <v>202</v>
      </c>
      <c r="S51" s="273">
        <f t="shared" si="38"/>
        <v>9620</v>
      </c>
      <c r="T51" s="269">
        <v>5.5</v>
      </c>
      <c r="U51" s="295">
        <f t="shared" si="37"/>
        <v>9620</v>
      </c>
      <c r="V51" s="270">
        <v>6</v>
      </c>
      <c r="W51" s="270">
        <v>6</v>
      </c>
      <c r="X51" s="4">
        <v>1</v>
      </c>
      <c r="Y51" s="4">
        <v>1</v>
      </c>
      <c r="Z51" s="292">
        <f t="shared" si="11"/>
        <v>5.5</v>
      </c>
      <c r="AA51" s="271">
        <v>4.25</v>
      </c>
      <c r="AB51" s="271">
        <v>0.75</v>
      </c>
      <c r="AD51" s="271">
        <v>0.5</v>
      </c>
      <c r="AE51" s="293">
        <v>1</v>
      </c>
      <c r="AF51" s="416">
        <f t="shared" si="1"/>
        <v>12</v>
      </c>
      <c r="AG51" t="s">
        <v>755</v>
      </c>
      <c r="AH51" s="314">
        <f t="shared" si="2"/>
        <v>595</v>
      </c>
      <c r="AI51" s="312">
        <f t="shared" si="3"/>
        <v>1320</v>
      </c>
      <c r="AJ51" s="313">
        <f t="shared" si="28"/>
        <v>2713.75</v>
      </c>
      <c r="AK51" s="43">
        <v>1029.8800000000001</v>
      </c>
      <c r="AL51" s="309">
        <f t="shared" si="41"/>
        <v>639.88000000000011</v>
      </c>
      <c r="AM51" s="309">
        <f t="shared" ca="1" si="5"/>
        <v>15278.630000000001</v>
      </c>
      <c r="AN51" s="294">
        <v>15278.63</v>
      </c>
      <c r="AO51" s="11">
        <f t="shared" si="29"/>
        <v>11244.880000000001</v>
      </c>
      <c r="AP51" s="361">
        <f t="shared" ca="1" si="7"/>
        <v>0.2640125456274548</v>
      </c>
      <c r="AQ51" s="11">
        <f ca="1">IF(D51&gt;TODAY()-1,"",SUM($AM$6:AM51))</f>
        <v>610385.80000000005</v>
      </c>
      <c r="AR51" s="11">
        <f ca="1">IF(AM51&lt;&gt;"", SUMIFS($AM$8:AM51, $BC$8:BC51, BC51), "")</f>
        <v>83639.520000000004</v>
      </c>
      <c r="AS51" s="11">
        <f t="shared" ca="1" si="39"/>
        <v>75.636782178217828</v>
      </c>
      <c r="AU51" s="124" t="str">
        <f t="shared" ca="1" si="13"/>
        <v>LINK</v>
      </c>
      <c r="AV51" t="s">
        <v>756</v>
      </c>
      <c r="AW51" s="125" t="s">
        <v>664</v>
      </c>
      <c r="AX51" t="str">
        <f t="shared" si="30"/>
        <v>25</v>
      </c>
      <c r="AY51" t="str">
        <f t="shared" si="31"/>
        <v>08</v>
      </c>
      <c r="AZ51" s="98" t="str">
        <f t="shared" si="32"/>
        <v>06</v>
      </c>
      <c r="BA51" t="str">
        <f t="shared" si="33"/>
        <v>4</v>
      </c>
      <c r="BB51" t="str">
        <f t="shared" si="20"/>
        <v>https://www.coreplan.io/app/ddh1-drilling/speewah-mining-speewah-fluorite-project-strike/plods/6174-250806D</v>
      </c>
      <c r="BC51" t="str">
        <f t="shared" si="34"/>
        <v>2025-08</v>
      </c>
    </row>
    <row r="52" spans="1:55">
      <c r="A52" s="510" t="str">
        <f>VLOOKUP(E52,'Tenement Lookup'!A:BH,60,FALSE)</f>
        <v>M 80/268</v>
      </c>
      <c r="B52" t="str">
        <f>VLOOKUP(E52,Purpose!$A$2:$B$334,2,FALSE)</f>
        <v>Infill</v>
      </c>
      <c r="C52" s="59" t="s">
        <v>12</v>
      </c>
      <c r="D52" s="265">
        <v>45876</v>
      </c>
      <c r="E52" s="28" t="s">
        <v>757</v>
      </c>
      <c r="I52" s="266" t="s">
        <v>711</v>
      </c>
      <c r="J52" s="266">
        <v>4</v>
      </c>
      <c r="K52" s="297">
        <f t="shared" si="40"/>
        <v>520</v>
      </c>
      <c r="L52" s="187">
        <v>50</v>
      </c>
      <c r="M52" s="267">
        <v>2</v>
      </c>
      <c r="N52" s="4"/>
      <c r="R52" s="318">
        <f t="shared" si="36"/>
        <v>52</v>
      </c>
      <c r="S52" s="273">
        <f t="shared" si="38"/>
        <v>2090</v>
      </c>
      <c r="T52" s="269">
        <v>1</v>
      </c>
      <c r="U52" s="295">
        <f t="shared" si="37"/>
        <v>2090</v>
      </c>
      <c r="V52" s="270">
        <v>1</v>
      </c>
      <c r="W52" s="270">
        <v>1</v>
      </c>
      <c r="X52" s="4">
        <v>1</v>
      </c>
      <c r="Y52" s="4">
        <v>1</v>
      </c>
      <c r="Z52" s="292">
        <f t="shared" si="11"/>
        <v>1</v>
      </c>
      <c r="AA52" s="271">
        <v>1.5</v>
      </c>
      <c r="AB52" s="271">
        <v>0</v>
      </c>
      <c r="AC52" s="271">
        <v>0</v>
      </c>
      <c r="AD52" s="271">
        <v>0.5</v>
      </c>
      <c r="AE52" s="293">
        <v>9</v>
      </c>
      <c r="AF52" s="416">
        <f t="shared" si="1"/>
        <v>12</v>
      </c>
      <c r="AG52" s="141" t="s">
        <v>758</v>
      </c>
      <c r="AH52" s="314">
        <f t="shared" si="2"/>
        <v>595</v>
      </c>
      <c r="AI52" s="312">
        <f t="shared" si="3"/>
        <v>220</v>
      </c>
      <c r="AJ52" s="313">
        <f t="shared" si="28"/>
        <v>862.5</v>
      </c>
      <c r="AK52" s="43">
        <v>1121.56</v>
      </c>
      <c r="AL52" s="309">
        <f t="shared" si="41"/>
        <v>601.55999999999995</v>
      </c>
      <c r="AM52" s="309">
        <f t="shared" ca="1" si="5"/>
        <v>4889.0599999999995</v>
      </c>
      <c r="AN52" s="294">
        <v>4889.0600000000004</v>
      </c>
      <c r="AO52" s="11">
        <f t="shared" si="29"/>
        <v>3806.56</v>
      </c>
      <c r="AP52" s="361">
        <f t="shared" ca="1" si="7"/>
        <v>0.22141270510077596</v>
      </c>
      <c r="AQ52" s="11">
        <f ca="1">IF(D52&gt;TODAY()-1,"",SUM($AM$6:AM52))</f>
        <v>615274.8600000001</v>
      </c>
      <c r="AR52" s="11">
        <f ca="1">IF(AM52&lt;&gt;"", SUMIFS($AM$8:AM52, $BC$8:BC52, BC52), "")</f>
        <v>88528.58</v>
      </c>
      <c r="AS52" s="11">
        <f t="shared" ca="1" si="39"/>
        <v>94.0203846153846</v>
      </c>
      <c r="AU52" s="124" t="str">
        <f t="shared" ca="1" si="13"/>
        <v>LINK</v>
      </c>
      <c r="AV52" s="141" t="s">
        <v>759</v>
      </c>
      <c r="AW52" s="125" t="s">
        <v>664</v>
      </c>
      <c r="AX52" t="str">
        <f t="shared" si="30"/>
        <v>25</v>
      </c>
      <c r="AY52" t="str">
        <f t="shared" si="31"/>
        <v>08</v>
      </c>
      <c r="AZ52" s="98" t="str">
        <f t="shared" si="32"/>
        <v>07</v>
      </c>
      <c r="BA52" t="str">
        <f t="shared" si="33"/>
        <v>4</v>
      </c>
      <c r="BB52" t="str">
        <f t="shared" si="20"/>
        <v>https://www.coreplan.io/app/ddh1-drilling/speewah-mining-speewah-fluorite-project-strike/plods/6174-250807D</v>
      </c>
      <c r="BC52" t="str">
        <f t="shared" si="34"/>
        <v>2025-08</v>
      </c>
    </row>
    <row r="53" spans="1:55" ht="15" customHeight="1">
      <c r="A53" s="510" t="str">
        <f>VLOOKUP(E53,'Tenement Lookup'!A:BH,60,FALSE)</f>
        <v>M 80/268</v>
      </c>
      <c r="B53" t="str">
        <f>VLOOKUP(E53,Purpose!$A$2:$B$334,2,FALSE)</f>
        <v>Infill</v>
      </c>
      <c r="C53" s="59" t="s">
        <v>12</v>
      </c>
      <c r="D53" s="265">
        <v>45877</v>
      </c>
      <c r="E53" s="28" t="s">
        <v>757</v>
      </c>
      <c r="F53" s="28" t="s">
        <v>760</v>
      </c>
      <c r="I53" s="266" t="s">
        <v>711</v>
      </c>
      <c r="J53" s="266">
        <v>4</v>
      </c>
      <c r="K53" s="297">
        <f t="shared" si="40"/>
        <v>520</v>
      </c>
      <c r="L53" s="187">
        <v>50</v>
      </c>
      <c r="M53" s="267">
        <v>98</v>
      </c>
      <c r="N53" s="4">
        <v>78</v>
      </c>
      <c r="R53" s="318">
        <f t="shared" si="36"/>
        <v>226</v>
      </c>
      <c r="S53" s="273">
        <f t="shared" si="38"/>
        <v>10310</v>
      </c>
      <c r="T53" s="269">
        <v>6.5</v>
      </c>
      <c r="U53" s="295">
        <f t="shared" si="37"/>
        <v>10310</v>
      </c>
      <c r="V53" s="270">
        <v>6</v>
      </c>
      <c r="W53" s="270">
        <v>6</v>
      </c>
      <c r="X53" s="4">
        <v>1</v>
      </c>
      <c r="Y53" s="4">
        <v>1</v>
      </c>
      <c r="Z53" s="292">
        <f t="shared" si="11"/>
        <v>6.5</v>
      </c>
      <c r="AA53" s="271">
        <v>4.25</v>
      </c>
      <c r="AB53" s="271">
        <v>0.75</v>
      </c>
      <c r="AC53" s="271">
        <v>0</v>
      </c>
      <c r="AD53" s="271">
        <v>0.5</v>
      </c>
      <c r="AF53" s="416">
        <f t="shared" si="1"/>
        <v>12</v>
      </c>
      <c r="AG53" s="385" t="s">
        <v>761</v>
      </c>
      <c r="AH53" s="314">
        <f t="shared" si="2"/>
        <v>595</v>
      </c>
      <c r="AI53" s="312">
        <f t="shared" si="3"/>
        <v>1320</v>
      </c>
      <c r="AJ53" s="313">
        <f t="shared" si="28"/>
        <v>2713.75</v>
      </c>
      <c r="AK53" s="43">
        <v>1121.56</v>
      </c>
      <c r="AL53" s="309">
        <f t="shared" si="41"/>
        <v>601.55999999999995</v>
      </c>
      <c r="AM53" s="309">
        <f t="shared" ca="1" si="5"/>
        <v>16060.31</v>
      </c>
      <c r="AN53" s="294">
        <v>16060.31</v>
      </c>
      <c r="AO53" s="11">
        <f t="shared" si="29"/>
        <v>12026.56</v>
      </c>
      <c r="AP53" s="361">
        <f t="shared" ca="1" si="7"/>
        <v>0.25116264879071448</v>
      </c>
      <c r="AQ53" s="11">
        <f ca="1">IF(D53&gt;TODAY()-1,"",SUM($AM$6:AM53))</f>
        <v>631335.17000000016</v>
      </c>
      <c r="AR53" s="11">
        <f ca="1">IF(AM53&lt;&gt;"", SUMIFS($AM$8:AM53, $BC$8:BC53, BC53), "")</f>
        <v>104588.89</v>
      </c>
      <c r="AS53" s="11">
        <f t="shared" ca="1" si="39"/>
        <v>71.063318584070799</v>
      </c>
      <c r="AU53" s="124" t="str">
        <f t="shared" ca="1" si="13"/>
        <v>LINK</v>
      </c>
      <c r="AV53" t="s">
        <v>762</v>
      </c>
      <c r="AW53" s="125" t="s">
        <v>664</v>
      </c>
      <c r="AX53" t="str">
        <f t="shared" si="30"/>
        <v>25</v>
      </c>
      <c r="AY53" t="str">
        <f t="shared" si="31"/>
        <v>08</v>
      </c>
      <c r="AZ53" s="98" t="str">
        <f t="shared" si="32"/>
        <v>08</v>
      </c>
      <c r="BA53" t="str">
        <f t="shared" si="33"/>
        <v>4</v>
      </c>
      <c r="BB53" t="str">
        <f t="shared" si="20"/>
        <v>https://www.coreplan.io/app/ddh1-drilling/speewah-mining-speewah-fluorite-project-strike/plods/6174-250808D</v>
      </c>
      <c r="BC53" t="str">
        <f t="shared" si="34"/>
        <v>2025-08</v>
      </c>
    </row>
    <row r="54" spans="1:55">
      <c r="A54" s="510" t="str">
        <f>VLOOKUP(E54,'Tenement Lookup'!A:BH,60,FALSE)</f>
        <v>M 80/268</v>
      </c>
      <c r="B54" t="str">
        <f>VLOOKUP(E54,Purpose!$A$2:$B$334,2,FALSE)</f>
        <v>Infill</v>
      </c>
      <c r="C54" s="59" t="s">
        <v>12</v>
      </c>
      <c r="D54" s="265">
        <v>45878</v>
      </c>
      <c r="E54" s="28" t="s">
        <v>760</v>
      </c>
      <c r="F54" s="28" t="s">
        <v>763</v>
      </c>
      <c r="G54" s="28" t="s">
        <v>764</v>
      </c>
      <c r="I54" s="266" t="s">
        <v>711</v>
      </c>
      <c r="J54" s="266">
        <v>4</v>
      </c>
      <c r="K54" s="297">
        <f t="shared" si="40"/>
        <v>520</v>
      </c>
      <c r="L54" s="187">
        <v>60</v>
      </c>
      <c r="M54" s="267">
        <v>50</v>
      </c>
      <c r="N54" s="4">
        <v>64</v>
      </c>
      <c r="O54" s="267">
        <v>68</v>
      </c>
      <c r="R54" s="318">
        <f t="shared" si="36"/>
        <v>242</v>
      </c>
      <c r="S54" s="273">
        <f t="shared" si="38"/>
        <v>11590</v>
      </c>
      <c r="T54" s="269">
        <v>5.75</v>
      </c>
      <c r="U54" s="295">
        <f t="shared" si="37"/>
        <v>11590</v>
      </c>
      <c r="V54" s="270">
        <v>5</v>
      </c>
      <c r="W54" s="270">
        <v>5</v>
      </c>
      <c r="X54" s="4">
        <v>1</v>
      </c>
      <c r="Y54" s="4">
        <v>1</v>
      </c>
      <c r="Z54" s="292">
        <f t="shared" si="11"/>
        <v>5.75</v>
      </c>
      <c r="AA54" s="271">
        <v>4.25</v>
      </c>
      <c r="AB54" s="271">
        <v>1.5</v>
      </c>
      <c r="AC54" s="271">
        <v>0</v>
      </c>
      <c r="AD54" s="271">
        <v>0.5</v>
      </c>
      <c r="AF54" s="416">
        <f t="shared" si="1"/>
        <v>12</v>
      </c>
      <c r="AH54" s="314">
        <f t="shared" si="2"/>
        <v>595</v>
      </c>
      <c r="AI54" s="312">
        <f t="shared" si="3"/>
        <v>1100</v>
      </c>
      <c r="AJ54" s="313">
        <f t="shared" si="28"/>
        <v>2983.75</v>
      </c>
      <c r="AK54" s="43">
        <v>1370.77</v>
      </c>
      <c r="AL54" s="309">
        <f t="shared" si="41"/>
        <v>850.77</v>
      </c>
      <c r="AM54" s="309">
        <f t="shared" ca="1" si="5"/>
        <v>17639.52</v>
      </c>
      <c r="AN54" s="294">
        <v>17639.52</v>
      </c>
      <c r="AO54" s="11">
        <f t="shared" si="29"/>
        <v>13555.77</v>
      </c>
      <c r="AP54" s="361">
        <f t="shared" ca="1" si="7"/>
        <v>0.23151140167079376</v>
      </c>
      <c r="AQ54" s="11">
        <f ca="1">IF(D54&gt;TODAY()-1,"",SUM($AM$6:AM54))</f>
        <v>648974.69000000018</v>
      </c>
      <c r="AR54" s="11">
        <f ca="1">IF(AM54&lt;&gt;"", SUMIFS($AM$8:AM54, $BC$8:BC54, BC54), "")</f>
        <v>122228.41</v>
      </c>
      <c r="AS54" s="11">
        <f t="shared" ca="1" si="39"/>
        <v>72.890578512396701</v>
      </c>
      <c r="AU54" s="124" t="str">
        <f t="shared" ca="1" si="13"/>
        <v>LINK</v>
      </c>
      <c r="AV54" t="s">
        <v>765</v>
      </c>
      <c r="AW54" s="125" t="s">
        <v>664</v>
      </c>
      <c r="AX54" t="str">
        <f t="shared" si="30"/>
        <v>25</v>
      </c>
      <c r="AY54" t="str">
        <f t="shared" si="31"/>
        <v>08</v>
      </c>
      <c r="AZ54" s="98" t="str">
        <f t="shared" si="32"/>
        <v>09</v>
      </c>
      <c r="BA54" t="str">
        <f t="shared" si="33"/>
        <v>4</v>
      </c>
      <c r="BB54" t="str">
        <f t="shared" si="20"/>
        <v>https://www.coreplan.io/app/ddh1-drilling/speewah-mining-speewah-fluorite-project-strike/plods/6174-250809D</v>
      </c>
      <c r="BC54" t="str">
        <f t="shared" si="34"/>
        <v>2025-08</v>
      </c>
    </row>
    <row r="55" spans="1:55">
      <c r="A55" s="510" t="str">
        <f>VLOOKUP(E55,'Tenement Lookup'!A:BH,60,FALSE)</f>
        <v>M 80/268</v>
      </c>
      <c r="B55" t="str">
        <f>VLOOKUP(E55,Purpose!$A$2:$B$334,2,FALSE)</f>
        <v>Infill</v>
      </c>
      <c r="C55" s="59" t="s">
        <v>12</v>
      </c>
      <c r="D55" s="265">
        <v>45879</v>
      </c>
      <c r="E55" s="28" t="s">
        <v>764</v>
      </c>
      <c r="F55" s="28" t="s">
        <v>766</v>
      </c>
      <c r="I55" s="266" t="s">
        <v>711</v>
      </c>
      <c r="J55" s="266">
        <v>4</v>
      </c>
      <c r="K55" s="297">
        <f t="shared" si="40"/>
        <v>520</v>
      </c>
      <c r="L55" s="187">
        <v>90</v>
      </c>
      <c r="M55" s="267">
        <v>100</v>
      </c>
      <c r="N55" s="4">
        <v>86</v>
      </c>
      <c r="O55" s="267">
        <v>22</v>
      </c>
      <c r="R55" s="318">
        <f t="shared" si="36"/>
        <v>298</v>
      </c>
      <c r="S55" s="273">
        <f t="shared" si="38"/>
        <v>13610</v>
      </c>
      <c r="T55" s="269">
        <v>7.25</v>
      </c>
      <c r="U55" s="295">
        <f t="shared" si="37"/>
        <v>13610</v>
      </c>
      <c r="V55" s="270">
        <v>7</v>
      </c>
      <c r="W55" s="270">
        <v>7</v>
      </c>
      <c r="X55" s="4">
        <v>1</v>
      </c>
      <c r="Y55" s="4">
        <v>1</v>
      </c>
      <c r="Z55" s="292">
        <f t="shared" si="11"/>
        <v>7.25</v>
      </c>
      <c r="AA55" s="271">
        <v>3.5</v>
      </c>
      <c r="AB55" s="271">
        <v>0.75</v>
      </c>
      <c r="AD55" s="271">
        <v>0.5</v>
      </c>
      <c r="AF55" s="416">
        <f t="shared" si="1"/>
        <v>12</v>
      </c>
      <c r="AH55" s="314">
        <f t="shared" si="2"/>
        <v>595</v>
      </c>
      <c r="AI55" s="312">
        <f t="shared" si="3"/>
        <v>1540</v>
      </c>
      <c r="AJ55" s="313">
        <f t="shared" si="28"/>
        <v>2282.5</v>
      </c>
      <c r="AK55" s="43">
        <v>1069.77</v>
      </c>
      <c r="AL55" s="309">
        <f t="shared" si="41"/>
        <v>549.77</v>
      </c>
      <c r="AM55" s="309">
        <f t="shared" ca="1" si="5"/>
        <v>19097.27</v>
      </c>
      <c r="AN55" s="294">
        <v>19207.27</v>
      </c>
      <c r="AO55" s="11">
        <f t="shared" si="29"/>
        <v>15274.77</v>
      </c>
      <c r="AP55" s="361">
        <f t="shared" ca="1" si="7"/>
        <v>0.20015949923732554</v>
      </c>
      <c r="AQ55" s="11">
        <f ca="1">IF(D55&gt;TODAY()-1,"",SUM($AM$6:AM55))</f>
        <v>668071.9600000002</v>
      </c>
      <c r="AR55" s="11">
        <f ca="1">IF(AM55&lt;&gt;"", SUMIFS($AM$8:AM55, $BC$8:BC55, BC55), "")</f>
        <v>141325.68</v>
      </c>
      <c r="AS55" s="11">
        <f t="shared" ca="1" si="39"/>
        <v>64.084798657718125</v>
      </c>
      <c r="AU55" s="124" t="str">
        <f t="shared" ca="1" si="13"/>
        <v>LINK</v>
      </c>
      <c r="AV55" t="s">
        <v>767</v>
      </c>
      <c r="AW55" s="125" t="s">
        <v>664</v>
      </c>
      <c r="AX55" t="str">
        <f t="shared" si="30"/>
        <v>25</v>
      </c>
      <c r="AY55" t="str">
        <f t="shared" si="31"/>
        <v>08</v>
      </c>
      <c r="AZ55" s="98">
        <f t="shared" si="32"/>
        <v>10</v>
      </c>
      <c r="BA55" t="str">
        <f t="shared" si="33"/>
        <v>4</v>
      </c>
      <c r="BB55" t="str">
        <f t="shared" si="20"/>
        <v>https://www.coreplan.io/app/ddh1-drilling/speewah-mining-speewah-fluorite-project-strike/plods/6174-250810D</v>
      </c>
      <c r="BC55" t="str">
        <f t="shared" si="34"/>
        <v>2025-08</v>
      </c>
    </row>
    <row r="56" spans="1:55" ht="16.5" customHeight="1">
      <c r="A56" s="510" t="str">
        <f>VLOOKUP(E56,'Tenement Lookup'!A:BH,60,FALSE)</f>
        <v>M 80/268</v>
      </c>
      <c r="B56" t="str">
        <f>VLOOKUP(E56,Purpose!$A$2:$B$334,2,FALSE)</f>
        <v>G Vein RC</v>
      </c>
      <c r="C56" s="59" t="s">
        <v>12</v>
      </c>
      <c r="D56" s="265">
        <v>45880</v>
      </c>
      <c r="E56" s="28" t="s">
        <v>766</v>
      </c>
      <c r="F56" s="28" t="s">
        <v>768</v>
      </c>
      <c r="G56" s="28" t="s">
        <v>769</v>
      </c>
      <c r="I56" s="266" t="s">
        <v>711</v>
      </c>
      <c r="J56" s="266">
        <v>3</v>
      </c>
      <c r="K56" s="297">
        <f t="shared" si="40"/>
        <v>390</v>
      </c>
      <c r="L56" s="187">
        <v>100</v>
      </c>
      <c r="M56" s="267">
        <v>52</v>
      </c>
      <c r="N56" s="4">
        <v>32</v>
      </c>
      <c r="O56" s="267">
        <v>40</v>
      </c>
      <c r="R56" s="318">
        <f t="shared" si="36"/>
        <v>224</v>
      </c>
      <c r="S56" s="273">
        <f t="shared" si="38"/>
        <v>10140</v>
      </c>
      <c r="T56" s="269">
        <v>4.25</v>
      </c>
      <c r="U56" s="295">
        <f t="shared" si="37"/>
        <v>10140</v>
      </c>
      <c r="V56" s="270">
        <v>4</v>
      </c>
      <c r="W56" s="270">
        <v>4</v>
      </c>
      <c r="X56" s="4">
        <v>1</v>
      </c>
      <c r="Y56" s="4">
        <v>1</v>
      </c>
      <c r="Z56" s="292">
        <f t="shared" si="11"/>
        <v>4.25</v>
      </c>
      <c r="AA56" s="271">
        <v>3.25</v>
      </c>
      <c r="AB56" s="271">
        <v>4</v>
      </c>
      <c r="AD56" s="271">
        <v>0.5</v>
      </c>
      <c r="AF56" s="416">
        <f t="shared" si="1"/>
        <v>12</v>
      </c>
      <c r="AG56" t="s">
        <v>770</v>
      </c>
      <c r="AH56" s="314">
        <f t="shared" si="2"/>
        <v>595</v>
      </c>
      <c r="AI56" s="312">
        <f t="shared" si="3"/>
        <v>880</v>
      </c>
      <c r="AJ56" s="313">
        <f t="shared" si="28"/>
        <v>3308.75</v>
      </c>
      <c r="AK56" s="43">
        <v>549.77</v>
      </c>
      <c r="AL56" s="309">
        <f t="shared" si="41"/>
        <v>159.76999999999998</v>
      </c>
      <c r="AM56" s="309">
        <f t="shared" ca="1" si="5"/>
        <v>15473.52</v>
      </c>
      <c r="AN56" s="294">
        <v>15473.52</v>
      </c>
      <c r="AO56" s="11">
        <f t="shared" si="29"/>
        <v>11284.77</v>
      </c>
      <c r="AP56" s="361">
        <f t="shared" ca="1" si="7"/>
        <v>0.27070440339366864</v>
      </c>
      <c r="AQ56" s="11">
        <f ca="1">IF(D56&gt;TODAY()-1,"",SUM($AM$6:AM56))</f>
        <v>683545.48000000021</v>
      </c>
      <c r="AR56" s="11">
        <f ca="1">IF(AM56&lt;&gt;"", SUMIFS($AM$8:AM56, $BC$8:BC56, BC56), "")</f>
        <v>156799.19999999998</v>
      </c>
      <c r="AS56" s="11">
        <f t="shared" ca="1" si="39"/>
        <v>69.078214285714282</v>
      </c>
      <c r="AU56" s="124" t="str">
        <f t="shared" ca="1" si="13"/>
        <v>LINK</v>
      </c>
      <c r="AV56" t="s">
        <v>771</v>
      </c>
      <c r="AW56" s="125" t="s">
        <v>664</v>
      </c>
      <c r="AX56" t="str">
        <f t="shared" si="30"/>
        <v>25</v>
      </c>
      <c r="AY56" t="str">
        <f t="shared" si="31"/>
        <v>08</v>
      </c>
      <c r="AZ56" s="98">
        <f t="shared" si="32"/>
        <v>11</v>
      </c>
      <c r="BA56" t="str">
        <f t="shared" si="33"/>
        <v>4</v>
      </c>
      <c r="BB56" t="str">
        <f t="shared" si="20"/>
        <v>https://www.coreplan.io/app/ddh1-drilling/speewah-mining-speewah-fluorite-project-strike/plods/6174-250811D</v>
      </c>
      <c r="BC56" t="str">
        <f t="shared" si="34"/>
        <v>2025-08</v>
      </c>
    </row>
    <row r="57" spans="1:55">
      <c r="A57" s="510" t="str">
        <f>VLOOKUP(E57,'Tenement Lookup'!A:BH,60,FALSE)</f>
        <v>M 80/268</v>
      </c>
      <c r="B57" t="str">
        <f>VLOOKUP(E57,Purpose!$A$2:$B$334,2,FALSE)</f>
        <v>G Vein RC</v>
      </c>
      <c r="C57" s="59" t="s">
        <v>12</v>
      </c>
      <c r="D57" s="265">
        <v>45881</v>
      </c>
      <c r="E57" s="28" t="s">
        <v>772</v>
      </c>
      <c r="F57" s="28" t="s">
        <v>773</v>
      </c>
      <c r="I57" s="266" t="s">
        <v>711</v>
      </c>
      <c r="J57" s="266">
        <v>3</v>
      </c>
      <c r="K57" s="297">
        <f t="shared" si="40"/>
        <v>390</v>
      </c>
      <c r="L57" s="187">
        <v>100</v>
      </c>
      <c r="M57" s="267">
        <v>94</v>
      </c>
      <c r="N57" s="4">
        <v>50</v>
      </c>
      <c r="O57" s="267">
        <v>50</v>
      </c>
      <c r="P57" s="4">
        <v>8</v>
      </c>
      <c r="R57" s="318">
        <f t="shared" si="36"/>
        <v>302</v>
      </c>
      <c r="S57" s="273">
        <f t="shared" si="38"/>
        <v>13960</v>
      </c>
      <c r="T57" s="269">
        <v>6</v>
      </c>
      <c r="U57" s="295">
        <f t="shared" si="37"/>
        <v>13960</v>
      </c>
      <c r="V57" s="270">
        <v>6</v>
      </c>
      <c r="W57" s="270">
        <v>6</v>
      </c>
      <c r="X57" s="4">
        <v>1</v>
      </c>
      <c r="Y57" s="4">
        <v>1</v>
      </c>
      <c r="Z57" s="292">
        <f t="shared" si="11"/>
        <v>6</v>
      </c>
      <c r="AA57" s="271">
        <v>3.75</v>
      </c>
      <c r="AB57" s="271">
        <v>1.75</v>
      </c>
      <c r="AD57" s="271">
        <v>0.5</v>
      </c>
      <c r="AF57" s="416">
        <f t="shared" si="1"/>
        <v>12</v>
      </c>
      <c r="AH57" s="314">
        <f t="shared" si="2"/>
        <v>595</v>
      </c>
      <c r="AI57" s="312">
        <f t="shared" si="3"/>
        <v>1320</v>
      </c>
      <c r="AJ57" s="313">
        <f t="shared" si="28"/>
        <v>2786.25</v>
      </c>
      <c r="AK57" s="43">
        <v>939.77</v>
      </c>
      <c r="AL57" s="309">
        <f t="shared" si="41"/>
        <v>549.77</v>
      </c>
      <c r="AM57" s="309">
        <f t="shared" ca="1" si="5"/>
        <v>19601.02</v>
      </c>
      <c r="AN57" s="294">
        <v>19601.02</v>
      </c>
      <c r="AO57" s="11">
        <f t="shared" si="29"/>
        <v>15494.77</v>
      </c>
      <c r="AP57" s="361">
        <f t="shared" ca="1" si="7"/>
        <v>0.20949164890398561</v>
      </c>
      <c r="AQ57" s="11">
        <f ca="1">IF(D57&gt;TODAY()-1,"",SUM($AM$6:AM57))</f>
        <v>703146.50000000023</v>
      </c>
      <c r="AR57" s="11">
        <f ca="1">IF(AM57&lt;&gt;"", SUMIFS($AM$8:AM57, $BC$8:BC57, BC57), "")</f>
        <v>176400.21999999997</v>
      </c>
      <c r="AS57" s="11">
        <f t="shared" ca="1" si="39"/>
        <v>64.904039735099346</v>
      </c>
      <c r="AU57" s="124" t="str">
        <f t="shared" ca="1" si="13"/>
        <v>LINK</v>
      </c>
      <c r="AV57" t="s">
        <v>774</v>
      </c>
      <c r="AW57" s="125" t="s">
        <v>664</v>
      </c>
      <c r="AX57" t="str">
        <f t="shared" si="30"/>
        <v>25</v>
      </c>
      <c r="AY57" t="str">
        <f t="shared" si="31"/>
        <v>08</v>
      </c>
      <c r="AZ57" s="98">
        <f t="shared" si="32"/>
        <v>12</v>
      </c>
      <c r="BA57" t="str">
        <f t="shared" si="33"/>
        <v>4</v>
      </c>
      <c r="BB57" t="str">
        <f t="shared" si="20"/>
        <v>https://www.coreplan.io/app/ddh1-drilling/speewah-mining-speewah-fluorite-project-strike/plods/6174-250812D</v>
      </c>
      <c r="BC57" t="str">
        <f t="shared" si="34"/>
        <v>2025-08</v>
      </c>
    </row>
    <row r="58" spans="1:55">
      <c r="A58" s="510" t="str">
        <f>VLOOKUP(E58,'Tenement Lookup'!A:BH,60,FALSE)</f>
        <v>M 80/268</v>
      </c>
      <c r="B58" t="str">
        <f>VLOOKUP(E58,Purpose!$A$2:$B$334,2,FALSE)</f>
        <v>G Vein RC</v>
      </c>
      <c r="C58" s="59" t="s">
        <v>12</v>
      </c>
      <c r="D58" s="265">
        <v>45882</v>
      </c>
      <c r="E58" s="28" t="s">
        <v>773</v>
      </c>
      <c r="F58" s="28" t="s">
        <v>772</v>
      </c>
      <c r="G58" s="28" t="s">
        <v>775</v>
      </c>
      <c r="I58" s="266" t="s">
        <v>711</v>
      </c>
      <c r="J58" s="266">
        <v>3</v>
      </c>
      <c r="K58" s="297">
        <f t="shared" si="40"/>
        <v>390</v>
      </c>
      <c r="L58" s="187">
        <v>100</v>
      </c>
      <c r="M58" s="267">
        <v>88</v>
      </c>
      <c r="N58" s="4">
        <v>72</v>
      </c>
      <c r="R58" s="318">
        <f t="shared" si="36"/>
        <v>260</v>
      </c>
      <c r="S58" s="273">
        <f t="shared" si="38"/>
        <v>11560</v>
      </c>
      <c r="T58" s="269">
        <v>5.5</v>
      </c>
      <c r="U58" s="295">
        <f t="shared" si="37"/>
        <v>11560</v>
      </c>
      <c r="V58" s="270">
        <v>5</v>
      </c>
      <c r="W58" s="270">
        <v>5</v>
      </c>
      <c r="X58" s="4">
        <v>1</v>
      </c>
      <c r="Y58" s="4">
        <v>1</v>
      </c>
      <c r="Z58" s="292">
        <f t="shared" si="11"/>
        <v>5.5</v>
      </c>
      <c r="AA58" s="271">
        <v>4.25</v>
      </c>
      <c r="AB58" s="271">
        <v>1.75</v>
      </c>
      <c r="AD58" s="271">
        <v>0.5</v>
      </c>
      <c r="AF58" s="416">
        <f t="shared" si="1"/>
        <v>12</v>
      </c>
      <c r="AH58" s="314">
        <f t="shared" si="2"/>
        <v>595</v>
      </c>
      <c r="AI58" s="312">
        <f t="shared" si="3"/>
        <v>1100</v>
      </c>
      <c r="AJ58" s="313">
        <f t="shared" si="28"/>
        <v>3073.75</v>
      </c>
      <c r="AK58" s="43">
        <v>939.77</v>
      </c>
      <c r="AL58" s="309">
        <f t="shared" si="41"/>
        <v>549.77</v>
      </c>
      <c r="AM58" s="309">
        <f t="shared" ca="1" si="5"/>
        <v>17268.52</v>
      </c>
      <c r="AN58" s="294">
        <v>17268.52</v>
      </c>
      <c r="AO58" s="11">
        <f t="shared" si="29"/>
        <v>13094.77</v>
      </c>
      <c r="AP58" s="361">
        <f t="shared" ca="1" si="7"/>
        <v>0.24169703020293573</v>
      </c>
      <c r="AQ58" s="11">
        <f ca="1">IF(D58&gt;TODAY()-1,"",SUM($AM$6:AM58))</f>
        <v>720415.02000000025</v>
      </c>
      <c r="AR58" s="11">
        <f ca="1">IF(AM58&lt;&gt;"", SUMIFS($AM$8:AM58, $BC$8:BC58, BC58), "")</f>
        <v>193668.73999999996</v>
      </c>
      <c r="AS58" s="11">
        <f t="shared" ca="1" si="39"/>
        <v>66.41738461538462</v>
      </c>
      <c r="AU58" s="124" t="str">
        <f t="shared" ca="1" si="13"/>
        <v>LINK</v>
      </c>
      <c r="AV58" t="s">
        <v>776</v>
      </c>
      <c r="AW58" s="125" t="s">
        <v>664</v>
      </c>
      <c r="AX58" t="str">
        <f t="shared" si="30"/>
        <v>25</v>
      </c>
      <c r="AY58" t="str">
        <f t="shared" si="31"/>
        <v>08</v>
      </c>
      <c r="AZ58" s="98">
        <f t="shared" si="32"/>
        <v>13</v>
      </c>
      <c r="BA58" t="str">
        <f t="shared" si="33"/>
        <v>4</v>
      </c>
      <c r="BB58" t="str">
        <f t="shared" si="20"/>
        <v>https://www.coreplan.io/app/ddh1-drilling/speewah-mining-speewah-fluorite-project-strike/plods/6174-250813D</v>
      </c>
      <c r="BC58" t="str">
        <f t="shared" si="34"/>
        <v>2025-08</v>
      </c>
    </row>
    <row r="59" spans="1:55">
      <c r="A59" s="510" t="str">
        <f>VLOOKUP(E59,'Tenement Lookup'!A:BH,60,FALSE)</f>
        <v>M 80/269</v>
      </c>
      <c r="B59" t="str">
        <f>VLOOKUP(E59,Purpose!$A$2:$B$334,2,FALSE)</f>
        <v>G Vein RC</v>
      </c>
      <c r="C59" s="59" t="s">
        <v>12</v>
      </c>
      <c r="D59" s="265">
        <v>45883</v>
      </c>
      <c r="E59" s="28" t="s">
        <v>777</v>
      </c>
      <c r="F59" s="28" t="s">
        <v>778</v>
      </c>
      <c r="G59" s="28" t="s">
        <v>779</v>
      </c>
      <c r="I59" s="266" t="s">
        <v>711</v>
      </c>
      <c r="J59" s="266">
        <v>4</v>
      </c>
      <c r="K59" s="297">
        <f t="shared" si="40"/>
        <v>520</v>
      </c>
      <c r="L59" s="187">
        <v>146</v>
      </c>
      <c r="M59" s="267">
        <v>88</v>
      </c>
      <c r="N59" s="4">
        <v>18</v>
      </c>
      <c r="R59" s="318">
        <f t="shared" si="36"/>
        <v>252</v>
      </c>
      <c r="S59" s="273">
        <f t="shared" si="38"/>
        <v>10700</v>
      </c>
      <c r="T59" s="269">
        <v>5.5</v>
      </c>
      <c r="U59" s="295">
        <f t="shared" si="37"/>
        <v>10700</v>
      </c>
      <c r="V59" s="270">
        <v>5</v>
      </c>
      <c r="W59" s="270">
        <v>5</v>
      </c>
      <c r="X59" s="4">
        <v>1</v>
      </c>
      <c r="Y59" s="4">
        <v>1</v>
      </c>
      <c r="Z59" s="292">
        <f t="shared" si="11"/>
        <v>5.5</v>
      </c>
      <c r="AA59" s="271">
        <v>3.75</v>
      </c>
      <c r="AB59" s="271">
        <v>1</v>
      </c>
      <c r="AD59" s="271">
        <v>0.5</v>
      </c>
      <c r="AE59" s="293">
        <v>1.25</v>
      </c>
      <c r="AF59" s="416">
        <f t="shared" si="1"/>
        <v>12</v>
      </c>
      <c r="AG59" t="s">
        <v>755</v>
      </c>
      <c r="AH59" s="314">
        <f t="shared" si="2"/>
        <v>595</v>
      </c>
      <c r="AI59" s="312">
        <f t="shared" si="3"/>
        <v>1100</v>
      </c>
      <c r="AJ59" s="313">
        <f t="shared" si="28"/>
        <v>2516.25</v>
      </c>
      <c r="AK59" s="43">
        <v>1370.77</v>
      </c>
      <c r="AL59" s="309">
        <f t="shared" si="41"/>
        <v>850.77</v>
      </c>
      <c r="AM59" s="309">
        <f t="shared" ca="1" si="5"/>
        <v>16282.02</v>
      </c>
      <c r="AN59" s="294">
        <v>16282.02</v>
      </c>
      <c r="AO59" s="11">
        <f t="shared" si="29"/>
        <v>12665.77</v>
      </c>
      <c r="AP59" s="361">
        <f t="shared" ca="1" si="7"/>
        <v>0.22210082041417464</v>
      </c>
      <c r="AQ59" s="11">
        <f ca="1">IF(D59&gt;TODAY()-1,"",SUM($AM$6:AM59))</f>
        <v>736697.04000000027</v>
      </c>
      <c r="AR59" s="11">
        <f ca="1">IF(AM59&lt;&gt;"", SUMIFS($AM$8:AM59, $BC$8:BC59, BC59), "")</f>
        <v>209950.75999999995</v>
      </c>
      <c r="AS59" s="11">
        <f t="shared" ca="1" si="39"/>
        <v>64.611190476190473</v>
      </c>
      <c r="AU59" s="124" t="str">
        <f t="shared" ca="1" si="13"/>
        <v>LINK</v>
      </c>
      <c r="AV59" t="s">
        <v>780</v>
      </c>
      <c r="AW59" s="125" t="s">
        <v>664</v>
      </c>
      <c r="AX59" t="str">
        <f t="shared" si="30"/>
        <v>25</v>
      </c>
      <c r="AY59" t="str">
        <f t="shared" si="31"/>
        <v>08</v>
      </c>
      <c r="AZ59" s="98">
        <f t="shared" si="32"/>
        <v>14</v>
      </c>
      <c r="BA59" t="str">
        <f t="shared" si="33"/>
        <v>4</v>
      </c>
      <c r="BB59" t="str">
        <f t="shared" si="20"/>
        <v>https://www.coreplan.io/app/ddh1-drilling/speewah-mining-speewah-fluorite-project-strike/plods/6174-250814D</v>
      </c>
      <c r="BC59" t="str">
        <f t="shared" si="34"/>
        <v>2025-08</v>
      </c>
    </row>
    <row r="60" spans="1:55">
      <c r="A60" s="510" t="str">
        <f>VLOOKUP(E60,'Tenement Lookup'!A:BH,60,FALSE)</f>
        <v>M 80/268</v>
      </c>
      <c r="B60" t="str">
        <f>VLOOKUP(E60,Purpose!$A$2:$B$334,2,FALSE)</f>
        <v>G Vein RC</v>
      </c>
      <c r="C60" s="59" t="s">
        <v>12</v>
      </c>
      <c r="D60" s="265">
        <v>45884</v>
      </c>
      <c r="E60" s="28" t="s">
        <v>781</v>
      </c>
      <c r="F60" s="28" t="s">
        <v>782</v>
      </c>
      <c r="G60" s="28" t="s">
        <v>783</v>
      </c>
      <c r="I60" s="266" t="s">
        <v>711</v>
      </c>
      <c r="J60" s="266">
        <v>4</v>
      </c>
      <c r="K60" s="297">
        <f t="shared" si="40"/>
        <v>520</v>
      </c>
      <c r="L60" s="187">
        <v>146</v>
      </c>
      <c r="M60" s="267">
        <v>94</v>
      </c>
      <c r="N60" s="4">
        <v>18</v>
      </c>
      <c r="R60" s="318">
        <f t="shared" si="36"/>
        <v>258</v>
      </c>
      <c r="S60" s="273">
        <f t="shared" si="38"/>
        <v>10970</v>
      </c>
      <c r="T60" s="269">
        <v>5.75</v>
      </c>
      <c r="U60" s="295">
        <f t="shared" si="37"/>
        <v>10970</v>
      </c>
      <c r="V60" s="270">
        <v>5</v>
      </c>
      <c r="W60" s="270">
        <v>5</v>
      </c>
      <c r="X60" s="4">
        <v>1</v>
      </c>
      <c r="Y60" s="4">
        <v>1</v>
      </c>
      <c r="Z60" s="292">
        <f t="shared" si="11"/>
        <v>5.75</v>
      </c>
      <c r="AA60" s="271">
        <v>2.75</v>
      </c>
      <c r="AB60" s="271">
        <v>1.5</v>
      </c>
      <c r="AD60" s="271">
        <v>0.5</v>
      </c>
      <c r="AE60" s="293">
        <v>1.5</v>
      </c>
      <c r="AF60" s="416">
        <f t="shared" si="1"/>
        <v>12</v>
      </c>
      <c r="AG60" t="s">
        <v>784</v>
      </c>
      <c r="AH60" s="314">
        <f t="shared" si="2"/>
        <v>595</v>
      </c>
      <c r="AI60" s="312">
        <f t="shared" si="3"/>
        <v>1100</v>
      </c>
      <c r="AJ60" s="313">
        <f t="shared" si="28"/>
        <v>2121.25</v>
      </c>
      <c r="AK60" s="43">
        <v>1370.77</v>
      </c>
      <c r="AL60" s="309">
        <f t="shared" si="41"/>
        <v>850.77</v>
      </c>
      <c r="AM60" s="309">
        <f t="shared" ca="1" si="5"/>
        <v>16157.02</v>
      </c>
      <c r="AN60" s="294">
        <v>14035.77</v>
      </c>
      <c r="AO60" s="11">
        <f t="shared" si="29"/>
        <v>12935.77</v>
      </c>
      <c r="AP60" s="361">
        <f t="shared" ca="1" si="7"/>
        <v>0.19937154252454969</v>
      </c>
      <c r="AQ60" s="11">
        <f ca="1">IF(D60&gt;TODAY()-1,"",SUM($AM$6:AM60))</f>
        <v>752854.06000000029</v>
      </c>
      <c r="AR60" s="11">
        <f ca="1">IF(AM60&lt;&gt;"", SUMIFS($AM$8:AM60, $BC$8:BC60, BC60), "")</f>
        <v>226107.77999999994</v>
      </c>
      <c r="AS60" s="11">
        <f t="shared" ca="1" si="39"/>
        <v>62.624108527131781</v>
      </c>
      <c r="AU60" s="124" t="str">
        <f t="shared" ca="1" si="13"/>
        <v>LINK</v>
      </c>
      <c r="AV60" t="s">
        <v>785</v>
      </c>
      <c r="AW60" s="125" t="s">
        <v>664</v>
      </c>
      <c r="AX60" t="str">
        <f t="shared" si="30"/>
        <v>25</v>
      </c>
      <c r="AY60" t="str">
        <f t="shared" si="31"/>
        <v>08</v>
      </c>
      <c r="AZ60" s="98">
        <f t="shared" si="32"/>
        <v>15</v>
      </c>
      <c r="BA60" t="str">
        <f t="shared" si="33"/>
        <v>4</v>
      </c>
      <c r="BB60" t="str">
        <f t="shared" si="20"/>
        <v>https://www.coreplan.io/app/ddh1-drilling/speewah-mining-speewah-fluorite-project-strike/plods/6174-250815D</v>
      </c>
      <c r="BC60" t="str">
        <f t="shared" si="34"/>
        <v>2025-08</v>
      </c>
    </row>
    <row r="61" spans="1:55">
      <c r="A61" s="510" t="str">
        <f>VLOOKUP(E61,'Tenement Lookup'!A:BH,60,FALSE)</f>
        <v>M 80/268</v>
      </c>
      <c r="B61" t="str">
        <f>VLOOKUP(E61,Purpose!$A$2:$B$334,2,FALSE)</f>
        <v>G Vein RC</v>
      </c>
      <c r="C61" s="59" t="s">
        <v>12</v>
      </c>
      <c r="D61" s="265">
        <v>45885</v>
      </c>
      <c r="E61" s="28" t="s">
        <v>786</v>
      </c>
      <c r="F61" s="28" t="s">
        <v>787</v>
      </c>
      <c r="G61" s="28" t="s">
        <v>788</v>
      </c>
      <c r="I61" s="266" t="s">
        <v>711</v>
      </c>
      <c r="J61" s="266">
        <v>4</v>
      </c>
      <c r="K61" s="297">
        <f t="shared" si="40"/>
        <v>520</v>
      </c>
      <c r="L61" s="187">
        <v>128</v>
      </c>
      <c r="M61" s="267">
        <v>52</v>
      </c>
      <c r="N61" s="4">
        <v>50</v>
      </c>
      <c r="O61" s="267">
        <v>22</v>
      </c>
      <c r="R61" s="318">
        <f t="shared" si="36"/>
        <v>252</v>
      </c>
      <c r="S61" s="273">
        <f t="shared" si="38"/>
        <v>11170</v>
      </c>
      <c r="T61" s="269">
        <v>6.5</v>
      </c>
      <c r="U61" s="295">
        <f t="shared" si="37"/>
        <v>11170</v>
      </c>
      <c r="V61" s="270">
        <v>6</v>
      </c>
      <c r="W61" s="270">
        <v>6</v>
      </c>
      <c r="X61" s="4">
        <v>1</v>
      </c>
      <c r="Y61" s="4">
        <v>1</v>
      </c>
      <c r="Z61" s="292">
        <f t="shared" si="11"/>
        <v>6.5</v>
      </c>
      <c r="AA61" s="271">
        <v>3.25</v>
      </c>
      <c r="AB61" s="271">
        <v>0.75</v>
      </c>
      <c r="AD61" s="271">
        <v>0.5</v>
      </c>
      <c r="AE61" s="293">
        <v>1</v>
      </c>
      <c r="AF61" s="416">
        <f t="shared" si="1"/>
        <v>12</v>
      </c>
      <c r="AG61" t="s">
        <v>789</v>
      </c>
      <c r="AH61" s="314">
        <f t="shared" si="2"/>
        <v>595</v>
      </c>
      <c r="AI61" s="312">
        <f t="shared" si="3"/>
        <v>1320</v>
      </c>
      <c r="AJ61" s="313">
        <f t="shared" si="28"/>
        <v>2138.75</v>
      </c>
      <c r="AK61" s="43">
        <v>1513.28</v>
      </c>
      <c r="AL61" s="309">
        <f t="shared" si="41"/>
        <v>993.28</v>
      </c>
      <c r="AM61" s="309">
        <f t="shared" ca="1" si="5"/>
        <v>16737.03</v>
      </c>
      <c r="AN61" s="297">
        <v>16737.03</v>
      </c>
      <c r="AO61" s="11">
        <f t="shared" si="29"/>
        <v>13278.28</v>
      </c>
      <c r="AP61" s="361">
        <f t="shared" ca="1" si="7"/>
        <v>0.2066525542464821</v>
      </c>
      <c r="AQ61" s="11">
        <f ca="1">IF(D61&gt;TODAY()-1,"",SUM($AM$6:AM61))</f>
        <v>769591.09000000032</v>
      </c>
      <c r="AR61" s="11">
        <f ca="1">IF(AM61&lt;&gt;"", SUMIFS($AM$8:AM61, $BC$8:BC61, BC61), "")</f>
        <v>242844.80999999994</v>
      </c>
      <c r="AS61" s="11">
        <f t="shared" ca="1" si="39"/>
        <v>66.416785714285709</v>
      </c>
      <c r="AU61" s="124" t="str">
        <f t="shared" ca="1" si="13"/>
        <v>LINK</v>
      </c>
      <c r="AV61" t="s">
        <v>790</v>
      </c>
      <c r="AW61" s="125" t="s">
        <v>664</v>
      </c>
      <c r="AX61" t="str">
        <f t="shared" si="30"/>
        <v>25</v>
      </c>
      <c r="AY61" t="str">
        <f t="shared" si="31"/>
        <v>08</v>
      </c>
      <c r="AZ61" s="98">
        <f t="shared" si="32"/>
        <v>16</v>
      </c>
      <c r="BA61" t="str">
        <f t="shared" si="33"/>
        <v>4</v>
      </c>
      <c r="BB61" t="str">
        <f t="shared" si="20"/>
        <v>https://www.coreplan.io/app/ddh1-drilling/speewah-mining-speewah-fluorite-project-strike/plods/6174-250816D</v>
      </c>
      <c r="BC61" t="str">
        <f t="shared" si="34"/>
        <v>2025-08</v>
      </c>
    </row>
    <row r="62" spans="1:55">
      <c r="A62" s="510" t="str">
        <f>VLOOKUP(E62,'Tenement Lookup'!A:BH,60,FALSE)</f>
        <v>M 80/268</v>
      </c>
      <c r="B62" t="str">
        <f>VLOOKUP(E62,Purpose!$A$2:$B$334,2,FALSE)</f>
        <v>G Vein RC</v>
      </c>
      <c r="C62" s="59" t="s">
        <v>12</v>
      </c>
      <c r="D62" s="265">
        <v>45886</v>
      </c>
      <c r="E62" s="28" t="s">
        <v>788</v>
      </c>
      <c r="F62" s="28" t="s">
        <v>791</v>
      </c>
      <c r="G62" s="28" t="s">
        <v>792</v>
      </c>
      <c r="I62" s="266" t="s">
        <v>711</v>
      </c>
      <c r="J62" s="266">
        <v>4</v>
      </c>
      <c r="K62" s="297">
        <f t="shared" si="40"/>
        <v>520</v>
      </c>
      <c r="L62" s="187">
        <v>122</v>
      </c>
      <c r="M62" s="267">
        <f>44+14+50</f>
        <v>108</v>
      </c>
      <c r="N62" s="4">
        <v>30</v>
      </c>
      <c r="R62" s="318">
        <f t="shared" si="36"/>
        <v>260</v>
      </c>
      <c r="S62" s="273">
        <f t="shared" si="38"/>
        <v>11240</v>
      </c>
      <c r="T62" s="269">
        <v>6.25</v>
      </c>
      <c r="U62" s="295">
        <f t="shared" si="37"/>
        <v>11240</v>
      </c>
      <c r="V62" s="270">
        <v>6</v>
      </c>
      <c r="W62" s="270">
        <v>6</v>
      </c>
      <c r="X62" s="4">
        <v>1</v>
      </c>
      <c r="Y62" s="4">
        <v>1</v>
      </c>
      <c r="Z62" s="292">
        <f t="shared" si="11"/>
        <v>6.25</v>
      </c>
      <c r="AA62" s="271">
        <v>3.75</v>
      </c>
      <c r="AB62" s="271">
        <v>1</v>
      </c>
      <c r="AD62" s="271">
        <v>1</v>
      </c>
      <c r="AF62" s="416">
        <f t="shared" si="1"/>
        <v>12</v>
      </c>
      <c r="AG62" t="s">
        <v>793</v>
      </c>
      <c r="AH62" s="314">
        <f t="shared" si="2"/>
        <v>595</v>
      </c>
      <c r="AI62" s="312">
        <f t="shared" si="3"/>
        <v>1320</v>
      </c>
      <c r="AJ62" s="313">
        <f t="shared" si="28"/>
        <v>2516.25</v>
      </c>
      <c r="AK62" s="43">
        <v>1370.77</v>
      </c>
      <c r="AL62" s="309">
        <f t="shared" si="41"/>
        <v>850.77</v>
      </c>
      <c r="AM62" s="309">
        <f t="shared" ca="1" si="5"/>
        <v>17042.02</v>
      </c>
      <c r="AN62" s="297">
        <v>17042.02</v>
      </c>
      <c r="AO62" s="11">
        <f t="shared" si="29"/>
        <v>13205.77</v>
      </c>
      <c r="AP62" s="361">
        <f t="shared" ca="1" si="7"/>
        <v>0.22510535722877922</v>
      </c>
      <c r="AQ62" s="11">
        <f ca="1">IF(D62&gt;TODAY()-1,"",SUM($AM$6:AM62))</f>
        <v>786633.11000000034</v>
      </c>
      <c r="AR62" s="11">
        <f ca="1">IF(AM62&lt;&gt;"", SUMIFS($AM$8:AM62, $BC$8:BC62, BC62), "")</f>
        <v>259886.82999999993</v>
      </c>
      <c r="AS62" s="11">
        <f t="shared" ca="1" si="39"/>
        <v>65.546230769230775</v>
      </c>
      <c r="AU62" s="124" t="str">
        <f t="shared" ca="1" si="13"/>
        <v>LINK</v>
      </c>
      <c r="AV62" t="s">
        <v>794</v>
      </c>
      <c r="AW62" s="125" t="s">
        <v>664</v>
      </c>
      <c r="AX62" t="str">
        <f t="shared" si="30"/>
        <v>25</v>
      </c>
      <c r="AY62" t="str">
        <f t="shared" si="31"/>
        <v>08</v>
      </c>
      <c r="AZ62" s="98">
        <f t="shared" si="32"/>
        <v>17</v>
      </c>
      <c r="BA62" t="str">
        <f t="shared" si="33"/>
        <v>4</v>
      </c>
      <c r="BB62" t="str">
        <f t="shared" si="20"/>
        <v>https://www.coreplan.io/app/ddh1-drilling/speewah-mining-speewah-fluorite-project-strike/plods/6174-250817D</v>
      </c>
      <c r="BC62" t="str">
        <f t="shared" si="34"/>
        <v>2025-08</v>
      </c>
    </row>
    <row r="63" spans="1:55">
      <c r="A63" s="510" t="str">
        <f>VLOOKUP(E63,'Tenement Lookup'!A:BH,60,FALSE)</f>
        <v>M 80/269</v>
      </c>
      <c r="B63" t="str">
        <f>VLOOKUP(E63,Purpose!$A$2:$B$334,2,FALSE)</f>
        <v>G Vein RC</v>
      </c>
      <c r="C63" s="59" t="s">
        <v>12</v>
      </c>
      <c r="D63" s="265">
        <v>45887</v>
      </c>
      <c r="E63" s="28" t="s">
        <v>792</v>
      </c>
      <c r="F63" s="28" t="s">
        <v>795</v>
      </c>
      <c r="G63" s="28" t="s">
        <v>796</v>
      </c>
      <c r="I63" s="266" t="s">
        <v>711</v>
      </c>
      <c r="J63" s="266">
        <v>4</v>
      </c>
      <c r="K63" s="297">
        <f t="shared" si="40"/>
        <v>520</v>
      </c>
      <c r="L63" s="187">
        <v>100</v>
      </c>
      <c r="M63" s="267">
        <v>112</v>
      </c>
      <c r="N63" s="4">
        <v>42</v>
      </c>
      <c r="R63" s="318">
        <f t="shared" si="36"/>
        <v>254</v>
      </c>
      <c r="S63" s="273">
        <f t="shared" si="38"/>
        <v>11140</v>
      </c>
      <c r="T63" s="269">
        <v>7.5</v>
      </c>
      <c r="U63" s="295">
        <f t="shared" si="37"/>
        <v>11140</v>
      </c>
      <c r="V63" s="270">
        <v>7</v>
      </c>
      <c r="W63" s="270">
        <v>7</v>
      </c>
      <c r="X63" s="4">
        <v>1</v>
      </c>
      <c r="Y63" s="4">
        <v>1</v>
      </c>
      <c r="Z63" s="292">
        <f t="shared" si="11"/>
        <v>7.5</v>
      </c>
      <c r="AA63" s="271">
        <v>3</v>
      </c>
      <c r="AB63" s="271">
        <v>1</v>
      </c>
      <c r="AD63" s="271">
        <v>0.5</v>
      </c>
      <c r="AF63" s="416">
        <f t="shared" si="1"/>
        <v>12</v>
      </c>
      <c r="AH63" s="314">
        <f t="shared" si="2"/>
        <v>595</v>
      </c>
      <c r="AI63" s="312">
        <f t="shared" si="3"/>
        <v>1540</v>
      </c>
      <c r="AJ63" s="313">
        <f t="shared" si="28"/>
        <v>2085</v>
      </c>
      <c r="AK63" s="43">
        <v>1370.77</v>
      </c>
      <c r="AL63" s="309">
        <f t="shared" si="41"/>
        <v>850.77</v>
      </c>
      <c r="AM63" s="309">
        <f t="shared" ca="1" si="5"/>
        <v>16730.77</v>
      </c>
      <c r="AN63" s="297">
        <v>16730.77</v>
      </c>
      <c r="AO63" s="11">
        <f t="shared" si="29"/>
        <v>13105.77</v>
      </c>
      <c r="AP63" s="361">
        <f t="shared" ca="1" si="7"/>
        <v>0.21666665670498131</v>
      </c>
      <c r="AQ63" s="11">
        <f ca="1">IF(D63&gt;TODAY()-1,"",SUM($AM$6:AM63))</f>
        <v>803363.88000000035</v>
      </c>
      <c r="AR63" s="11">
        <f ca="1">IF(AM63&lt;&gt;"", SUMIFS($AM$8:AM63, $BC$8:BC63, BC63), "")</f>
        <v>276617.59999999992</v>
      </c>
      <c r="AS63" s="11">
        <f t="shared" ca="1" si="39"/>
        <v>65.869173228346455</v>
      </c>
      <c r="AU63" s="124" t="str">
        <f t="shared" ca="1" si="13"/>
        <v>LINK</v>
      </c>
      <c r="AV63" t="s">
        <v>797</v>
      </c>
      <c r="AW63" s="125" t="s">
        <v>664</v>
      </c>
      <c r="AX63" t="str">
        <f t="shared" si="30"/>
        <v>25</v>
      </c>
      <c r="AY63" t="str">
        <f t="shared" si="31"/>
        <v>08</v>
      </c>
      <c r="AZ63" s="98">
        <f t="shared" si="32"/>
        <v>18</v>
      </c>
      <c r="BA63" t="str">
        <f t="shared" si="33"/>
        <v>4</v>
      </c>
      <c r="BB63" t="str">
        <f t="shared" si="20"/>
        <v>https://www.coreplan.io/app/ddh1-drilling/speewah-mining-speewah-fluorite-project-strike/plods/6174-250818D</v>
      </c>
      <c r="BC63" t="str">
        <f t="shared" si="34"/>
        <v>2025-08</v>
      </c>
    </row>
    <row r="64" spans="1:55">
      <c r="A64" s="510" t="str">
        <f>VLOOKUP(E64,'Tenement Lookup'!A:BH,60,FALSE)</f>
        <v>M 80/269</v>
      </c>
      <c r="B64" t="str">
        <f>VLOOKUP(E64,Purpose!$A$2:$B$334,2,FALSE)</f>
        <v>G Vein RC</v>
      </c>
      <c r="C64" s="59" t="s">
        <v>12</v>
      </c>
      <c r="D64" s="265">
        <v>45888</v>
      </c>
      <c r="E64" s="28" t="s">
        <v>796</v>
      </c>
      <c r="F64" s="28" t="s">
        <v>798</v>
      </c>
      <c r="G64" s="28" t="s">
        <v>799</v>
      </c>
      <c r="I64" s="266" t="s">
        <v>711</v>
      </c>
      <c r="J64" s="266">
        <v>4</v>
      </c>
      <c r="K64" s="297">
        <f t="shared" si="40"/>
        <v>520</v>
      </c>
      <c r="L64" s="187">
        <v>100</v>
      </c>
      <c r="M64" s="267">
        <v>82</v>
      </c>
      <c r="N64" s="4">
        <v>80</v>
      </c>
      <c r="O64" s="267">
        <v>40</v>
      </c>
      <c r="R64" s="318">
        <f t="shared" si="36"/>
        <v>302</v>
      </c>
      <c r="S64" s="273">
        <f t="shared" si="38"/>
        <v>13890</v>
      </c>
      <c r="T64" s="269">
        <v>7.5</v>
      </c>
      <c r="U64" s="295">
        <f t="shared" si="37"/>
        <v>13890</v>
      </c>
      <c r="V64" s="270">
        <v>7</v>
      </c>
      <c r="W64" s="270">
        <v>7</v>
      </c>
      <c r="X64" s="4">
        <v>1</v>
      </c>
      <c r="Y64" s="4">
        <v>1</v>
      </c>
      <c r="Z64" s="292">
        <f t="shared" si="11"/>
        <v>7.5</v>
      </c>
      <c r="AA64" s="271">
        <v>3</v>
      </c>
      <c r="AB64" s="271">
        <v>1</v>
      </c>
      <c r="AD64" s="271">
        <v>0.5</v>
      </c>
      <c r="AF64" s="416">
        <f t="shared" si="1"/>
        <v>12</v>
      </c>
      <c r="AH64" s="314">
        <f t="shared" si="2"/>
        <v>595</v>
      </c>
      <c r="AI64" s="312">
        <f t="shared" si="3"/>
        <v>1540</v>
      </c>
      <c r="AJ64" s="313">
        <f t="shared" si="28"/>
        <v>2085</v>
      </c>
      <c r="AK64" s="43">
        <v>1761.44</v>
      </c>
      <c r="AL64" s="309">
        <f t="shared" si="41"/>
        <v>1241.44</v>
      </c>
      <c r="AM64" s="309">
        <f t="shared" ca="1" si="5"/>
        <v>19871.439999999999</v>
      </c>
      <c r="AN64" s="297">
        <v>19871.439999999999</v>
      </c>
      <c r="AO64" s="11">
        <f t="shared" si="29"/>
        <v>16246.44</v>
      </c>
      <c r="AP64" s="361">
        <f t="shared" ca="1" si="7"/>
        <v>0.18242261255349379</v>
      </c>
      <c r="AQ64" s="11">
        <f ca="1">IF(D64&gt;TODAY()-1,"",SUM($AM$6:AM64))</f>
        <v>823235.3200000003</v>
      </c>
      <c r="AR64" s="11">
        <f ca="1">IF(AM64&lt;&gt;"", SUMIFS($AM$8:AM64, $BC$8:BC64, BC64), "")</f>
        <v>296489.03999999992</v>
      </c>
      <c r="AS64" s="11">
        <f t="shared" ca="1" si="39"/>
        <v>65.799470198675493</v>
      </c>
      <c r="AU64" s="124" t="str">
        <f t="shared" ca="1" si="13"/>
        <v>LINK</v>
      </c>
      <c r="AV64" t="s">
        <v>800</v>
      </c>
      <c r="AW64" s="125" t="s">
        <v>664</v>
      </c>
      <c r="AX64" t="str">
        <f t="shared" si="30"/>
        <v>25</v>
      </c>
      <c r="AY64" t="str">
        <f t="shared" si="31"/>
        <v>08</v>
      </c>
      <c r="AZ64" s="98">
        <f t="shared" si="32"/>
        <v>19</v>
      </c>
      <c r="BA64" t="str">
        <f t="shared" si="33"/>
        <v>4</v>
      </c>
      <c r="BB64" t="str">
        <f t="shared" si="20"/>
        <v>https://www.coreplan.io/app/ddh1-drilling/speewah-mining-speewah-fluorite-project-strike/plods/6174-250819D</v>
      </c>
      <c r="BC64" t="str">
        <f t="shared" si="34"/>
        <v>2025-08</v>
      </c>
    </row>
    <row r="65" spans="1:55">
      <c r="A65" s="510" t="str">
        <f>VLOOKUP(E65,'Tenement Lookup'!A:BH,60,FALSE)</f>
        <v>M 80/269</v>
      </c>
      <c r="B65" t="str">
        <f>VLOOKUP(E65,Purpose!$A$2:$B$334,2,FALSE)</f>
        <v>G Vein RC</v>
      </c>
      <c r="C65" s="59" t="s">
        <v>12</v>
      </c>
      <c r="D65" s="265">
        <v>45889</v>
      </c>
      <c r="E65" s="28" t="s">
        <v>799</v>
      </c>
      <c r="F65" s="28" t="s">
        <v>801</v>
      </c>
      <c r="G65" s="28" t="s">
        <v>802</v>
      </c>
      <c r="I65" s="266" t="s">
        <v>711</v>
      </c>
      <c r="J65" s="266">
        <v>5</v>
      </c>
      <c r="K65" s="297">
        <f t="shared" si="40"/>
        <v>650</v>
      </c>
      <c r="L65" s="187">
        <v>100</v>
      </c>
      <c r="M65" s="267">
        <v>88</v>
      </c>
      <c r="N65" s="4">
        <v>74</v>
      </c>
      <c r="O65" s="267">
        <v>46</v>
      </c>
      <c r="R65" s="318">
        <f t="shared" si="36"/>
        <v>308</v>
      </c>
      <c r="S65" s="273">
        <f t="shared" si="38"/>
        <v>14190</v>
      </c>
      <c r="T65" s="269">
        <v>7.5</v>
      </c>
      <c r="U65" s="295">
        <f t="shared" si="37"/>
        <v>14190</v>
      </c>
      <c r="V65" s="270">
        <v>7</v>
      </c>
      <c r="W65" s="270">
        <v>7</v>
      </c>
      <c r="X65" s="4">
        <v>1</v>
      </c>
      <c r="Y65" s="4">
        <v>1</v>
      </c>
      <c r="Z65" s="292">
        <f t="shared" si="11"/>
        <v>7.5</v>
      </c>
      <c r="AA65" s="271">
        <v>3.25</v>
      </c>
      <c r="AB65" s="271">
        <v>0.75</v>
      </c>
      <c r="AD65" s="271">
        <v>0.5</v>
      </c>
      <c r="AF65" s="416">
        <f t="shared" si="1"/>
        <v>12</v>
      </c>
      <c r="AH65" s="314">
        <f t="shared" si="2"/>
        <v>595</v>
      </c>
      <c r="AI65" s="312">
        <f t="shared" si="3"/>
        <v>1540</v>
      </c>
      <c r="AJ65" s="313">
        <f t="shared" si="28"/>
        <v>2138.75</v>
      </c>
      <c r="AK65" s="43">
        <v>1370.77</v>
      </c>
      <c r="AL65" s="309">
        <f t="shared" si="41"/>
        <v>720.77</v>
      </c>
      <c r="AM65" s="309">
        <f t="shared" ca="1" si="5"/>
        <v>19834.52</v>
      </c>
      <c r="AN65" s="297">
        <v>19834.52</v>
      </c>
      <c r="AO65" s="11">
        <f t="shared" si="29"/>
        <v>16155.77</v>
      </c>
      <c r="AP65" s="361">
        <f t="shared" ca="1" si="7"/>
        <v>0.18547209612332438</v>
      </c>
      <c r="AQ65" s="11">
        <f ca="1">IF(D65&gt;TODAY()-1,"",SUM($AM$6:AM65))</f>
        <v>843069.84000000032</v>
      </c>
      <c r="AR65" s="11">
        <f ca="1">IF(AM65&lt;&gt;"", SUMIFS($AM$8:AM65, $BC$8:BC65, BC65), "")</f>
        <v>316323.55999999994</v>
      </c>
      <c r="AS65" s="11">
        <f t="shared" ca="1" si="39"/>
        <v>64.397792207792207</v>
      </c>
      <c r="AU65" s="124" t="str">
        <f t="shared" ca="1" si="13"/>
        <v>LINK</v>
      </c>
      <c r="AV65" t="s">
        <v>803</v>
      </c>
      <c r="AW65" s="125" t="s">
        <v>664</v>
      </c>
      <c r="AX65" t="str">
        <f t="shared" si="30"/>
        <v>25</v>
      </c>
      <c r="AY65" t="str">
        <f t="shared" si="31"/>
        <v>08</v>
      </c>
      <c r="AZ65" s="98">
        <f t="shared" si="32"/>
        <v>20</v>
      </c>
      <c r="BA65" t="str">
        <f t="shared" si="33"/>
        <v>4</v>
      </c>
      <c r="BB65" t="str">
        <f t="shared" si="20"/>
        <v>https://www.coreplan.io/app/ddh1-drilling/speewah-mining-speewah-fluorite-project-strike/plods/6174-250820D</v>
      </c>
      <c r="BC65" t="str">
        <f t="shared" si="34"/>
        <v>2025-08</v>
      </c>
    </row>
    <row r="66" spans="1:55">
      <c r="A66" s="510" t="str">
        <f>VLOOKUP(E66,'Tenement Lookup'!A:BH,60,FALSE)</f>
        <v>M 80/269</v>
      </c>
      <c r="B66" t="str">
        <f>VLOOKUP(E66,Purpose!$A$2:$B$334,2,FALSE)</f>
        <v>Infill</v>
      </c>
      <c r="C66" s="59" t="s">
        <v>12</v>
      </c>
      <c r="D66" s="265">
        <v>45890</v>
      </c>
      <c r="E66" s="28" t="s">
        <v>802</v>
      </c>
      <c r="F66" s="28" t="s">
        <v>804</v>
      </c>
      <c r="I66" s="266" t="s">
        <v>711</v>
      </c>
      <c r="J66" s="266">
        <v>4</v>
      </c>
      <c r="K66" s="297">
        <f t="shared" si="40"/>
        <v>520</v>
      </c>
      <c r="L66" s="187">
        <v>50</v>
      </c>
      <c r="M66" s="267">
        <v>80</v>
      </c>
      <c r="N66" s="4">
        <v>74</v>
      </c>
      <c r="O66" s="267">
        <v>50</v>
      </c>
      <c r="P66" s="4">
        <v>2</v>
      </c>
      <c r="R66" s="318">
        <f t="shared" si="36"/>
        <v>256</v>
      </c>
      <c r="S66" s="273">
        <f t="shared" si="38"/>
        <v>12170</v>
      </c>
      <c r="T66" s="269">
        <v>6.5</v>
      </c>
      <c r="U66" s="295">
        <f t="shared" si="37"/>
        <v>12170</v>
      </c>
      <c r="V66" s="270">
        <v>6</v>
      </c>
      <c r="W66" s="270">
        <v>6</v>
      </c>
      <c r="X66" s="4">
        <v>1</v>
      </c>
      <c r="Y66" s="4">
        <v>1</v>
      </c>
      <c r="Z66" s="292">
        <f t="shared" si="11"/>
        <v>6.5</v>
      </c>
      <c r="AA66" s="271">
        <v>4</v>
      </c>
      <c r="AB66" s="271">
        <v>1</v>
      </c>
      <c r="AD66" s="271">
        <v>0.5</v>
      </c>
      <c r="AF66" s="416">
        <f t="shared" si="1"/>
        <v>12</v>
      </c>
      <c r="AH66" s="314">
        <f t="shared" si="2"/>
        <v>595</v>
      </c>
      <c r="AI66" s="312">
        <f t="shared" si="3"/>
        <v>1320</v>
      </c>
      <c r="AJ66" s="313">
        <f t="shared" si="28"/>
        <v>2660</v>
      </c>
      <c r="AK66" s="43">
        <v>2051.37</v>
      </c>
      <c r="AL66" s="309">
        <f t="shared" si="41"/>
        <v>1531.37</v>
      </c>
      <c r="AM66" s="309">
        <f t="shared" ca="1" si="5"/>
        <v>18796.37</v>
      </c>
      <c r="AN66" s="297">
        <v>18796.37</v>
      </c>
      <c r="AO66" s="11">
        <f t="shared" si="29"/>
        <v>14816.369999999999</v>
      </c>
      <c r="AP66" s="361">
        <f t="shared" ca="1" si="7"/>
        <v>0.21174301208158811</v>
      </c>
      <c r="AQ66" s="11">
        <f ca="1">IF(D66&gt;TODAY()-1,"",SUM($AM$6:AM66))</f>
        <v>861866.21000000031</v>
      </c>
      <c r="AR66" s="11">
        <f ca="1">IF(AM66&lt;&gt;"", SUMIFS($AM$8:AM66, $BC$8:BC66, BC66), "")</f>
        <v>335119.92999999993</v>
      </c>
      <c r="AS66" s="11">
        <f t="shared" ca="1" si="39"/>
        <v>73.423320312499996</v>
      </c>
      <c r="AU66" s="124" t="str">
        <f t="shared" ca="1" si="13"/>
        <v>LINK</v>
      </c>
      <c r="AV66" t="s">
        <v>805</v>
      </c>
      <c r="AW66" s="125" t="s">
        <v>664</v>
      </c>
      <c r="AX66" t="str">
        <f t="shared" si="30"/>
        <v>25</v>
      </c>
      <c r="AY66" t="str">
        <f t="shared" si="31"/>
        <v>08</v>
      </c>
      <c r="AZ66" s="98">
        <f t="shared" si="32"/>
        <v>21</v>
      </c>
      <c r="BA66" t="str">
        <f t="shared" si="33"/>
        <v>4</v>
      </c>
      <c r="BB66" t="str">
        <f t="shared" si="20"/>
        <v>https://www.coreplan.io/app/ddh1-drilling/speewah-mining-speewah-fluorite-project-strike/plods/6174-250821D</v>
      </c>
      <c r="BC66" t="str">
        <f t="shared" si="34"/>
        <v>2025-08</v>
      </c>
    </row>
    <row r="67" spans="1:55">
      <c r="A67" s="510" t="str">
        <f>VLOOKUP(E67,'Tenement Lookup'!A:BH,60,FALSE)</f>
        <v>M 80/269</v>
      </c>
      <c r="B67" t="str">
        <f>VLOOKUP(E67,Purpose!$A$2:$B$334,2,FALSE)</f>
        <v>Infill</v>
      </c>
      <c r="C67" s="59" t="s">
        <v>12</v>
      </c>
      <c r="D67" s="265">
        <v>45891</v>
      </c>
      <c r="E67" s="28" t="s">
        <v>804</v>
      </c>
      <c r="F67" s="28" t="s">
        <v>806</v>
      </c>
      <c r="G67" s="28" t="s">
        <v>807</v>
      </c>
      <c r="I67" s="266" t="s">
        <v>711</v>
      </c>
      <c r="J67" s="266">
        <v>4</v>
      </c>
      <c r="K67" s="297">
        <f t="shared" si="40"/>
        <v>520</v>
      </c>
      <c r="L67" s="187">
        <v>100</v>
      </c>
      <c r="M67" s="267">
        <v>70</v>
      </c>
      <c r="N67" s="4">
        <v>50</v>
      </c>
      <c r="O67" s="267">
        <v>50</v>
      </c>
      <c r="P67" s="4">
        <v>10</v>
      </c>
      <c r="R67" s="318">
        <f t="shared" si="36"/>
        <v>280</v>
      </c>
      <c r="S67" s="273">
        <f t="shared" si="38"/>
        <v>13000</v>
      </c>
      <c r="T67" s="269">
        <v>7.5</v>
      </c>
      <c r="U67" s="295">
        <f t="shared" si="37"/>
        <v>13000</v>
      </c>
      <c r="V67" s="270">
        <v>6</v>
      </c>
      <c r="W67" s="270">
        <v>6</v>
      </c>
      <c r="X67" s="4">
        <v>1</v>
      </c>
      <c r="Y67" s="4">
        <v>1</v>
      </c>
      <c r="Z67" s="292">
        <f t="shared" si="11"/>
        <v>7.5</v>
      </c>
      <c r="AA67" s="271">
        <v>3</v>
      </c>
      <c r="AB67" s="271">
        <v>1</v>
      </c>
      <c r="AD67" s="271">
        <v>0.5</v>
      </c>
      <c r="AF67" s="416">
        <f t="shared" si="1"/>
        <v>12</v>
      </c>
      <c r="AH67" s="314">
        <f t="shared" si="2"/>
        <v>595</v>
      </c>
      <c r="AI67" s="312">
        <f t="shared" si="3"/>
        <v>1320</v>
      </c>
      <c r="AJ67" s="313">
        <f t="shared" si="28"/>
        <v>2085</v>
      </c>
      <c r="AK67" s="43">
        <v>1212.28</v>
      </c>
      <c r="AL67" s="309">
        <v>692.28</v>
      </c>
      <c r="AM67" s="309">
        <f t="shared" ca="1" si="5"/>
        <v>18212.28</v>
      </c>
      <c r="AN67" s="297">
        <v>18158.53</v>
      </c>
      <c r="AO67" s="11">
        <f t="shared" si="29"/>
        <v>14807.28</v>
      </c>
      <c r="AP67" s="361">
        <f t="shared" ca="1" si="7"/>
        <v>0.18696176426015845</v>
      </c>
      <c r="AQ67" s="11">
        <f ca="1">IF(D67&gt;TODAY()-1,"",SUM($AM$6:AM67))</f>
        <v>880078.49000000034</v>
      </c>
      <c r="AR67" s="11">
        <f ca="1">IF(AM67&lt;&gt;"", SUMIFS($AM$8:AM67, $BC$8:BC67, BC67), "")</f>
        <v>353332.20999999996</v>
      </c>
      <c r="AS67" s="11">
        <f t="shared" ca="1" si="39"/>
        <v>65.043857142857135</v>
      </c>
      <c r="AU67" s="124" t="str">
        <f t="shared" ca="1" si="13"/>
        <v>LINK</v>
      </c>
      <c r="AV67" s="10" t="s">
        <v>808</v>
      </c>
      <c r="AW67" s="125" t="s">
        <v>664</v>
      </c>
      <c r="AX67" t="str">
        <f t="shared" si="30"/>
        <v>25</v>
      </c>
      <c r="AY67" t="str">
        <f t="shared" si="31"/>
        <v>08</v>
      </c>
      <c r="AZ67" s="98">
        <f t="shared" si="32"/>
        <v>22</v>
      </c>
      <c r="BA67" t="str">
        <f t="shared" si="33"/>
        <v>4</v>
      </c>
      <c r="BB67" t="str">
        <f t="shared" si="20"/>
        <v>https://www.coreplan.io/app/ddh1-drilling/speewah-mining-speewah-fluorite-project-strike/plods/6174-250822D</v>
      </c>
      <c r="BC67" t="str">
        <f t="shared" si="34"/>
        <v>2025-08</v>
      </c>
    </row>
    <row r="68" spans="1:55">
      <c r="A68" s="510" t="str">
        <f>VLOOKUP(E68,'Tenement Lookup'!A:BH,60,FALSE)</f>
        <v>M 80/269</v>
      </c>
      <c r="B68" t="str">
        <f>VLOOKUP(E68,Purpose!$A$2:$B$334,2,FALSE)</f>
        <v>Infill</v>
      </c>
      <c r="C68" s="59" t="s">
        <v>12</v>
      </c>
      <c r="D68" s="265">
        <v>45892</v>
      </c>
      <c r="E68" s="28" t="s">
        <v>809</v>
      </c>
      <c r="F68" s="28" t="s">
        <v>810</v>
      </c>
      <c r="G68" s="28" t="s">
        <v>811</v>
      </c>
      <c r="I68" s="266" t="s">
        <v>711</v>
      </c>
      <c r="J68" s="266">
        <v>4</v>
      </c>
      <c r="K68" s="297">
        <f t="shared" si="40"/>
        <v>520</v>
      </c>
      <c r="L68" s="187">
        <v>146</v>
      </c>
      <c r="M68" s="267">
        <v>64</v>
      </c>
      <c r="N68" s="4"/>
      <c r="R68" s="318">
        <f t="shared" si="36"/>
        <v>210</v>
      </c>
      <c r="S68" s="273">
        <f t="shared" si="38"/>
        <v>8720</v>
      </c>
      <c r="T68" s="269">
        <v>4.75</v>
      </c>
      <c r="U68" s="295">
        <f t="shared" si="37"/>
        <v>8720</v>
      </c>
      <c r="V68" s="270">
        <v>5</v>
      </c>
      <c r="W68" s="270">
        <v>5</v>
      </c>
      <c r="X68" s="4">
        <v>1</v>
      </c>
      <c r="Y68" s="4">
        <v>1</v>
      </c>
      <c r="Z68" s="292">
        <f t="shared" si="11"/>
        <v>4.75</v>
      </c>
      <c r="AA68" s="271">
        <v>3</v>
      </c>
      <c r="AB68" s="271">
        <v>1.75</v>
      </c>
      <c r="AD68" s="271">
        <v>0.5</v>
      </c>
      <c r="AE68" s="293">
        <v>2</v>
      </c>
      <c r="AF68" s="416">
        <f t="shared" si="1"/>
        <v>12</v>
      </c>
      <c r="AG68" t="s">
        <v>812</v>
      </c>
      <c r="AH68" s="314">
        <f t="shared" si="2"/>
        <v>595</v>
      </c>
      <c r="AI68" s="312">
        <f t="shared" si="3"/>
        <v>1100</v>
      </c>
      <c r="AJ68" s="313">
        <f t="shared" si="28"/>
        <v>2355</v>
      </c>
      <c r="AK68" s="43">
        <v>1069.77</v>
      </c>
      <c r="AL68" s="309">
        <f t="shared" ref="AL68:AL86" si="42">AK68-K68</f>
        <v>549.77</v>
      </c>
      <c r="AM68" s="309">
        <f t="shared" ca="1" si="5"/>
        <v>13839.77</v>
      </c>
      <c r="AN68" s="297">
        <v>13839.77</v>
      </c>
      <c r="AO68" s="11">
        <f t="shared" si="29"/>
        <v>10384.77</v>
      </c>
      <c r="AP68" s="361">
        <f t="shared" ca="1" si="7"/>
        <v>0.24964287701312954</v>
      </c>
      <c r="AQ68" s="11">
        <f ca="1">IF(D68&gt;TODAY()-1,"",SUM($AM$6:AM68))</f>
        <v>893918.26000000036</v>
      </c>
      <c r="AR68" s="11">
        <f ca="1">IF(AM68&lt;&gt;"", SUMIFS($AM$8:AM68, $BC$8:BC68, BC68), "")</f>
        <v>367171.98</v>
      </c>
      <c r="AS68" s="11">
        <f t="shared" ca="1" si="39"/>
        <v>65.903666666666666</v>
      </c>
      <c r="AU68" s="124" t="str">
        <f t="shared" ca="1" si="13"/>
        <v>LINK</v>
      </c>
      <c r="AV68" t="s">
        <v>813</v>
      </c>
      <c r="AW68" s="125" t="s">
        <v>664</v>
      </c>
      <c r="AX68" t="str">
        <f t="shared" si="30"/>
        <v>25</v>
      </c>
      <c r="AY68" t="str">
        <f t="shared" si="31"/>
        <v>08</v>
      </c>
      <c r="AZ68" s="98">
        <f t="shared" si="32"/>
        <v>23</v>
      </c>
      <c r="BA68" t="str">
        <f t="shared" si="33"/>
        <v>4</v>
      </c>
      <c r="BB68" t="str">
        <f t="shared" si="20"/>
        <v>https://www.coreplan.io/app/ddh1-drilling/speewah-mining-speewah-fluorite-project-strike/plods/6174-250823D</v>
      </c>
      <c r="BC68" t="str">
        <f t="shared" si="34"/>
        <v>2025-08</v>
      </c>
    </row>
    <row r="69" spans="1:55">
      <c r="A69" s="510" t="str">
        <f>VLOOKUP(E69,'Tenement Lookup'!A:BH,60,FALSE)</f>
        <v>M 80/269</v>
      </c>
      <c r="B69" t="str">
        <f>VLOOKUP(E69,Purpose!$A$2:$B$334,2,FALSE)</f>
        <v>G Vein RC</v>
      </c>
      <c r="C69" s="59" t="s">
        <v>14</v>
      </c>
      <c r="D69" s="265">
        <v>45893</v>
      </c>
      <c r="E69" s="28" t="s">
        <v>814</v>
      </c>
      <c r="F69" s="28" t="s">
        <v>815</v>
      </c>
      <c r="G69" s="28" t="s">
        <v>816</v>
      </c>
      <c r="I69" s="266" t="s">
        <v>711</v>
      </c>
      <c r="J69" s="266">
        <v>4</v>
      </c>
      <c r="K69" s="297">
        <f t="shared" si="40"/>
        <v>520</v>
      </c>
      <c r="L69" s="187">
        <v>146</v>
      </c>
      <c r="M69" s="267">
        <v>88</v>
      </c>
      <c r="N69" s="4">
        <v>24</v>
      </c>
      <c r="R69" s="318">
        <f t="shared" si="36"/>
        <v>258</v>
      </c>
      <c r="S69" s="273">
        <f t="shared" si="38"/>
        <v>11000</v>
      </c>
      <c r="T69" s="269">
        <v>4.5</v>
      </c>
      <c r="U69" s="295">
        <f t="shared" si="37"/>
        <v>11000</v>
      </c>
      <c r="V69" s="270">
        <v>5</v>
      </c>
      <c r="W69" s="270">
        <v>5</v>
      </c>
      <c r="X69" s="4">
        <v>1</v>
      </c>
      <c r="Y69" s="4">
        <v>1</v>
      </c>
      <c r="Z69" s="292">
        <f t="shared" si="11"/>
        <v>4.5</v>
      </c>
      <c r="AA69" s="271">
        <v>6.25</v>
      </c>
      <c r="AB69" s="271">
        <v>0.75</v>
      </c>
      <c r="AD69" s="271">
        <v>0.5</v>
      </c>
      <c r="AF69" s="416">
        <f t="shared" si="1"/>
        <v>12</v>
      </c>
      <c r="AH69" s="314">
        <f t="shared" si="2"/>
        <v>595</v>
      </c>
      <c r="AI69" s="312">
        <f t="shared" si="3"/>
        <v>1100</v>
      </c>
      <c r="AJ69" s="313">
        <f t="shared" si="28"/>
        <v>3863.75</v>
      </c>
      <c r="AK69" s="43">
        <v>1069.77</v>
      </c>
      <c r="AL69" s="309">
        <f t="shared" si="42"/>
        <v>549.77</v>
      </c>
      <c r="AM69" s="309">
        <f t="shared" ca="1" si="5"/>
        <v>17628.52</v>
      </c>
      <c r="AN69" s="297">
        <v>17628.52</v>
      </c>
      <c r="AO69" s="11">
        <f t="shared" si="29"/>
        <v>12664.77</v>
      </c>
      <c r="AP69" s="361">
        <f t="shared" ca="1" si="7"/>
        <v>0.28157497055907132</v>
      </c>
      <c r="AQ69" s="11">
        <f ca="1">IF(D69&gt;TODAY()-1,"",SUM($AM$6:AM69))</f>
        <v>911546.78000000038</v>
      </c>
      <c r="AR69" s="11">
        <f ca="1">IF(AM69&lt;&gt;"", SUMIFS($AM$8:AM69, $BC$8:BC69, BC69), "")</f>
        <v>384800.5</v>
      </c>
      <c r="AS69" s="11">
        <f t="shared" ca="1" si="39"/>
        <v>68.327596899224801</v>
      </c>
      <c r="AU69" s="124" t="str">
        <f t="shared" ca="1" si="13"/>
        <v>LINK</v>
      </c>
      <c r="AV69" s="10" t="s">
        <v>817</v>
      </c>
      <c r="AW69" s="125" t="s">
        <v>664</v>
      </c>
      <c r="AX69" t="str">
        <f t="shared" si="30"/>
        <v>25</v>
      </c>
      <c r="AY69" t="str">
        <f t="shared" si="31"/>
        <v>08</v>
      </c>
      <c r="AZ69" s="98">
        <f t="shared" si="32"/>
        <v>24</v>
      </c>
      <c r="BA69" t="str">
        <f t="shared" si="33"/>
        <v>4</v>
      </c>
      <c r="BB69" t="str">
        <f t="shared" si="20"/>
        <v>https://www.coreplan.io/app/ddh1-drilling/speewah-mining-speewah-fluorite-project-strike/plods/6174-250824D</v>
      </c>
      <c r="BC69" t="str">
        <f t="shared" si="34"/>
        <v>2025-08</v>
      </c>
    </row>
    <row r="70" spans="1:55">
      <c r="A70" s="510" t="str">
        <f>VLOOKUP(E70,'Tenement Lookup'!A:BH,60,FALSE)</f>
        <v>M 80/268</v>
      </c>
      <c r="B70" t="str">
        <f>VLOOKUP(E70,Purpose!$A$2:$B$334,2,FALSE)</f>
        <v>G Vein RC</v>
      </c>
      <c r="C70" s="59" t="s">
        <v>14</v>
      </c>
      <c r="D70" s="265">
        <v>45894</v>
      </c>
      <c r="E70" s="28" t="s">
        <v>818</v>
      </c>
      <c r="I70" s="266" t="s">
        <v>711</v>
      </c>
      <c r="J70" s="266">
        <v>5</v>
      </c>
      <c r="K70" s="297">
        <f t="shared" si="40"/>
        <v>650</v>
      </c>
      <c r="L70" s="187">
        <v>50</v>
      </c>
      <c r="M70" s="267">
        <v>50</v>
      </c>
      <c r="N70" s="4">
        <v>50</v>
      </c>
      <c r="O70" s="267">
        <v>50</v>
      </c>
      <c r="P70" s="4">
        <v>20</v>
      </c>
      <c r="R70" s="318">
        <f t="shared" si="36"/>
        <v>220</v>
      </c>
      <c r="S70" s="273">
        <f t="shared" si="38"/>
        <v>10700</v>
      </c>
      <c r="T70" s="269">
        <v>5.25</v>
      </c>
      <c r="U70" s="295">
        <f t="shared" si="37"/>
        <v>10700</v>
      </c>
      <c r="V70" s="270">
        <v>6</v>
      </c>
      <c r="W70" s="270">
        <v>6</v>
      </c>
      <c r="X70" s="4">
        <v>1</v>
      </c>
      <c r="Y70" s="4">
        <v>1</v>
      </c>
      <c r="Z70" s="292">
        <f t="shared" si="11"/>
        <v>5.25</v>
      </c>
      <c r="AA70" s="271">
        <v>3.5</v>
      </c>
      <c r="AB70" s="271">
        <v>1.25</v>
      </c>
      <c r="AD70" s="271">
        <v>0.5</v>
      </c>
      <c r="AE70" s="293">
        <v>1.5</v>
      </c>
      <c r="AF70" s="416">
        <f t="shared" ref="AF70:AF133" si="43">SUM(Z70:AE70)</f>
        <v>12</v>
      </c>
      <c r="AH70" s="314">
        <f t="shared" ref="AH70:AH133" si="44">SUMPRODUCT(X70:Y70,$X$3:$Y$3)</f>
        <v>595</v>
      </c>
      <c r="AI70" s="312">
        <f t="shared" ref="AI70:AI133" si="45">SUMPRODUCT(V70:W70,$V$3:$W$3)</f>
        <v>1320</v>
      </c>
      <c r="AJ70" s="313">
        <f t="shared" ref="AJ70:AJ82" si="46">SUMPRODUCT(AA70:AE70,$AA$3:$AE$3)</f>
        <v>2462.5</v>
      </c>
      <c r="AK70" s="43">
        <v>1173.57</v>
      </c>
      <c r="AL70" s="309">
        <f t="shared" si="42"/>
        <v>523.56999999999994</v>
      </c>
      <c r="AM70" s="309">
        <f t="shared" ref="AM70:AM133" ca="1" si="47">IF(D70&gt;TODAY()-1,"",AI70+AH70+K70+U70+AJ70+AL70)</f>
        <v>16251.07</v>
      </c>
      <c r="AN70" s="297">
        <v>16251.07</v>
      </c>
      <c r="AO70" s="11">
        <f t="shared" ref="AO70:AO85" si="48">SUM(AL70,AH70,U70,K70)</f>
        <v>12468.57</v>
      </c>
      <c r="AP70" s="361">
        <f t="shared" ref="AP70:AP133" ca="1" si="49">IFERROR((AM70-AO70)/AM70,"")</f>
        <v>0.23275390481980571</v>
      </c>
      <c r="AQ70" s="11">
        <f ca="1">IF(D70&gt;TODAY()-1,"",SUM($AM$6:AM70))</f>
        <v>927797.85000000033</v>
      </c>
      <c r="AR70" s="11">
        <f ca="1">IF(AM70&lt;&gt;"", SUMIFS($AM$8:AM70, $BC$8:BC70, BC70), "")</f>
        <v>401051.57</v>
      </c>
      <c r="AS70" s="11">
        <f t="shared" ca="1" si="39"/>
        <v>73.868499999999997</v>
      </c>
      <c r="AU70" s="124" t="str">
        <f t="shared" ca="1" si="13"/>
        <v>LINK</v>
      </c>
      <c r="AV70" t="s">
        <v>819</v>
      </c>
      <c r="AW70" s="125" t="s">
        <v>664</v>
      </c>
      <c r="AX70" t="str">
        <f t="shared" si="30"/>
        <v>25</v>
      </c>
      <c r="AY70" t="str">
        <f t="shared" si="31"/>
        <v>08</v>
      </c>
      <c r="AZ70" s="98">
        <f t="shared" si="32"/>
        <v>25</v>
      </c>
      <c r="BA70" t="str">
        <f t="shared" si="33"/>
        <v>4</v>
      </c>
      <c r="BB70" t="str">
        <f t="shared" si="20"/>
        <v>https://www.coreplan.io/app/ddh1-drilling/speewah-mining-speewah-fluorite-project-strike/plods/6174-250825D</v>
      </c>
      <c r="BC70" t="str">
        <f t="shared" si="34"/>
        <v>2025-08</v>
      </c>
    </row>
    <row r="71" spans="1:55">
      <c r="A71" s="510" t="str">
        <f>VLOOKUP(E71,'Tenement Lookup'!A:BH,60,FALSE)</f>
        <v>M 80/268</v>
      </c>
      <c r="B71" t="str">
        <f>VLOOKUP(E71,Purpose!$A$2:$B$334,2,FALSE)</f>
        <v>G Vein RC</v>
      </c>
      <c r="C71" s="59" t="s">
        <v>14</v>
      </c>
      <c r="D71" s="265">
        <v>45895</v>
      </c>
      <c r="E71" s="28" t="s">
        <v>820</v>
      </c>
      <c r="F71" s="28" t="s">
        <v>821</v>
      </c>
      <c r="G71" s="28" t="s">
        <v>822</v>
      </c>
      <c r="I71" s="266" t="s">
        <v>711</v>
      </c>
      <c r="J71" s="266">
        <v>5</v>
      </c>
      <c r="K71" s="297">
        <f t="shared" si="40"/>
        <v>650</v>
      </c>
      <c r="L71" s="187">
        <v>150</v>
      </c>
      <c r="M71" s="267">
        <v>114</v>
      </c>
      <c r="N71" s="4">
        <v>36</v>
      </c>
      <c r="R71" s="318">
        <f t="shared" si="36"/>
        <v>300</v>
      </c>
      <c r="S71" s="273">
        <f t="shared" si="38"/>
        <v>12930</v>
      </c>
      <c r="T71" s="269">
        <v>5.5</v>
      </c>
      <c r="U71" s="295">
        <f t="shared" si="37"/>
        <v>12930</v>
      </c>
      <c r="V71" s="270">
        <v>6</v>
      </c>
      <c r="W71" s="270">
        <v>6</v>
      </c>
      <c r="X71" s="4">
        <v>1</v>
      </c>
      <c r="Y71" s="4">
        <v>1</v>
      </c>
      <c r="Z71" s="292">
        <f t="shared" ref="Z71:Z134" si="50">T71</f>
        <v>5.5</v>
      </c>
      <c r="AA71" s="271">
        <v>5</v>
      </c>
      <c r="AB71" s="271">
        <v>1</v>
      </c>
      <c r="AD71" s="271">
        <v>0.5</v>
      </c>
      <c r="AF71" s="416">
        <f t="shared" si="43"/>
        <v>12</v>
      </c>
      <c r="AH71" s="314">
        <f t="shared" si="44"/>
        <v>595</v>
      </c>
      <c r="AI71" s="312">
        <f t="shared" si="45"/>
        <v>1320</v>
      </c>
      <c r="AJ71" s="313">
        <f t="shared" si="46"/>
        <v>3235</v>
      </c>
      <c r="AK71" s="43">
        <v>1854.17</v>
      </c>
      <c r="AL71" s="309">
        <f t="shared" si="42"/>
        <v>1204.17</v>
      </c>
      <c r="AM71" s="309">
        <f t="shared" ca="1" si="47"/>
        <v>19934.169999999998</v>
      </c>
      <c r="AN71" s="297">
        <v>19934.169999999998</v>
      </c>
      <c r="AO71" s="11">
        <f t="shared" si="48"/>
        <v>15379.17</v>
      </c>
      <c r="AP71" s="361">
        <f t="shared" ca="1" si="49"/>
        <v>0.22850211471056978</v>
      </c>
      <c r="AQ71" s="11">
        <f ca="1">IF(D71&gt;TODAY()-1,"",SUM($AM$6:AM71))</f>
        <v>947732.02000000037</v>
      </c>
      <c r="AR71" s="11">
        <f ca="1">IF(AM71&lt;&gt;"", SUMIFS($AM$8:AM71, $BC$8:BC71, BC71), "")</f>
        <v>420985.74</v>
      </c>
      <c r="AS71" s="11">
        <f t="shared" ca="1" si="39"/>
        <v>66.44723333333333</v>
      </c>
      <c r="AU71" s="124" t="str">
        <f t="shared" ca="1" si="13"/>
        <v>LINK</v>
      </c>
      <c r="AV71" t="s">
        <v>823</v>
      </c>
      <c r="AW71" s="125" t="s">
        <v>664</v>
      </c>
      <c r="AX71" t="str">
        <f t="shared" si="30"/>
        <v>25</v>
      </c>
      <c r="AY71" t="str">
        <f t="shared" si="31"/>
        <v>08</v>
      </c>
      <c r="AZ71" s="98">
        <f t="shared" si="32"/>
        <v>26</v>
      </c>
      <c r="BA71" t="str">
        <f t="shared" si="33"/>
        <v>4</v>
      </c>
      <c r="BB71" t="str">
        <f t="shared" si="20"/>
        <v>https://www.coreplan.io/app/ddh1-drilling/speewah-mining-speewah-fluorite-project-strike/plods/6174-250826D</v>
      </c>
      <c r="BC71" t="str">
        <f t="shared" si="34"/>
        <v>2025-08</v>
      </c>
    </row>
    <row r="72" spans="1:55">
      <c r="A72" s="510" t="str">
        <f>VLOOKUP(E72,'Tenement Lookup'!A:BH,60,FALSE)</f>
        <v>M 80/268</v>
      </c>
      <c r="B72" t="str">
        <f>VLOOKUP(E72,Purpose!$A$2:$B$334,2,FALSE)</f>
        <v>G Vein RC</v>
      </c>
      <c r="C72" s="59" t="s">
        <v>14</v>
      </c>
      <c r="D72" s="265">
        <v>45896</v>
      </c>
      <c r="E72" s="28" t="s">
        <v>822</v>
      </c>
      <c r="F72" s="28" t="s">
        <v>824</v>
      </c>
      <c r="G72" s="28" t="s">
        <v>825</v>
      </c>
      <c r="I72" s="266" t="s">
        <v>687</v>
      </c>
      <c r="J72" s="266">
        <v>4</v>
      </c>
      <c r="K72" s="297">
        <f t="shared" si="40"/>
        <v>520</v>
      </c>
      <c r="L72" s="187">
        <v>90</v>
      </c>
      <c r="M72" s="267">
        <v>62</v>
      </c>
      <c r="N72" s="4">
        <v>86</v>
      </c>
      <c r="O72" s="267">
        <v>50</v>
      </c>
      <c r="P72" s="4">
        <v>14</v>
      </c>
      <c r="R72" s="318">
        <f t="shared" si="36"/>
        <v>302</v>
      </c>
      <c r="S72" s="273">
        <f t="shared" si="38"/>
        <v>14280</v>
      </c>
      <c r="T72" s="269">
        <v>5.5</v>
      </c>
      <c r="U72" s="295">
        <f t="shared" si="37"/>
        <v>14280</v>
      </c>
      <c r="V72" s="270">
        <v>6</v>
      </c>
      <c r="W72" s="270">
        <v>6</v>
      </c>
      <c r="X72" s="4">
        <v>1</v>
      </c>
      <c r="Y72" s="4">
        <v>1</v>
      </c>
      <c r="Z72" s="292">
        <f t="shared" si="50"/>
        <v>5.5</v>
      </c>
      <c r="AA72" s="271">
        <v>4.5</v>
      </c>
      <c r="AB72" s="271">
        <v>1.5</v>
      </c>
      <c r="AD72" s="271">
        <v>0.5</v>
      </c>
      <c r="AF72" s="416">
        <f t="shared" si="43"/>
        <v>12</v>
      </c>
      <c r="AH72" s="314">
        <f t="shared" si="44"/>
        <v>595</v>
      </c>
      <c r="AI72" s="312">
        <f t="shared" si="45"/>
        <v>1320</v>
      </c>
      <c r="AJ72" s="313">
        <f t="shared" si="46"/>
        <v>3127.5</v>
      </c>
      <c r="AK72" s="43">
        <v>1370.77</v>
      </c>
      <c r="AL72" s="309">
        <f t="shared" si="42"/>
        <v>850.77</v>
      </c>
      <c r="AM72" s="309">
        <f t="shared" ca="1" si="47"/>
        <v>20693.27</v>
      </c>
      <c r="AN72" s="297">
        <v>20693.27</v>
      </c>
      <c r="AO72" s="11">
        <f t="shared" si="48"/>
        <v>16245.77</v>
      </c>
      <c r="AP72" s="361">
        <f t="shared" ca="1" si="49"/>
        <v>0.21492494902932208</v>
      </c>
      <c r="AQ72" s="11">
        <f ca="1">IF(D72&gt;TODAY()-1,"",SUM($AM$6:AM72))</f>
        <v>968425.29000000039</v>
      </c>
      <c r="AR72" s="11">
        <f ca="1">IF(AM72&lt;&gt;"", SUMIFS($AM$8:AM72, $BC$8:BC72, BC72), "")</f>
        <v>441679.01</v>
      </c>
      <c r="AS72" s="11">
        <f t="shared" ca="1" si="39"/>
        <v>68.520761589403975</v>
      </c>
      <c r="AU72" s="124" t="str">
        <f t="shared" ref="AU72:AU135" ca="1" si="51">IF(D72&lt;TODAY(),HYPERLINK(BB72,"LINK"),"")</f>
        <v>LINK</v>
      </c>
      <c r="AV72" t="s">
        <v>826</v>
      </c>
      <c r="AW72" s="125" t="s">
        <v>664</v>
      </c>
      <c r="AX72" t="str">
        <f t="shared" ref="AX72:AX103" si="52">RIGHT(YEAR(D72),2)</f>
        <v>25</v>
      </c>
      <c r="AY72" t="str">
        <f t="shared" ref="AY72:AY106" si="53">_xlfn.TEXTJOIN(,TRUE,"0",MONTH(D72))</f>
        <v>08</v>
      </c>
      <c r="AZ72" s="98">
        <f t="shared" ref="AZ72:AZ103" si="54">IF(LEN(DAY(D72))=1,_xlfn.TEXTJOIN(,,"0",DAY(D72)),DAY(D72))</f>
        <v>27</v>
      </c>
      <c r="BA72" t="str">
        <f t="shared" ref="BA72:BA103" si="55">LEFT(D72,1)</f>
        <v>4</v>
      </c>
      <c r="BB72" t="str">
        <f t="shared" si="20"/>
        <v>https://www.coreplan.io/app/ddh1-drilling/speewah-mining-speewah-fluorite-project-strike/plods/6174-250827D</v>
      </c>
      <c r="BC72" t="str">
        <f t="shared" ref="BC72:BC103" si="56">TEXT(D72, "yyyy-mm")</f>
        <v>2025-08</v>
      </c>
    </row>
    <row r="73" spans="1:55">
      <c r="A73" s="510" t="str">
        <f>VLOOKUP(E73,'Tenement Lookup'!A:BH,60,FALSE)</f>
        <v>M 80/268</v>
      </c>
      <c r="B73" t="str">
        <f>VLOOKUP(E73,Purpose!$A$2:$B$334,2,FALSE)</f>
        <v>G Vein RC</v>
      </c>
      <c r="C73" s="59" t="s">
        <v>14</v>
      </c>
      <c r="D73" s="265">
        <v>45897</v>
      </c>
      <c r="E73" s="28" t="s">
        <v>825</v>
      </c>
      <c r="F73" s="28" t="s">
        <v>827</v>
      </c>
      <c r="I73" s="266" t="s">
        <v>687</v>
      </c>
      <c r="J73" s="266">
        <v>4</v>
      </c>
      <c r="K73" s="297">
        <f t="shared" ref="K73:K85" si="57">J73*$K$3</f>
        <v>520</v>
      </c>
      <c r="L73" s="187">
        <v>60</v>
      </c>
      <c r="M73" s="267">
        <v>100</v>
      </c>
      <c r="N73" s="4">
        <v>56</v>
      </c>
      <c r="O73" s="267">
        <v>22</v>
      </c>
      <c r="R73" s="318">
        <f t="shared" si="36"/>
        <v>238</v>
      </c>
      <c r="S73" s="273">
        <f t="shared" si="38"/>
        <v>10910</v>
      </c>
      <c r="T73" s="269">
        <v>5.75</v>
      </c>
      <c r="U73" s="295">
        <f t="shared" si="37"/>
        <v>10910</v>
      </c>
      <c r="V73" s="270">
        <v>7</v>
      </c>
      <c r="W73" s="270">
        <v>7</v>
      </c>
      <c r="X73" s="4">
        <v>1</v>
      </c>
      <c r="Y73" s="4">
        <v>1</v>
      </c>
      <c r="Z73" s="292">
        <f t="shared" si="50"/>
        <v>5.75</v>
      </c>
      <c r="AA73" s="271">
        <v>4.5</v>
      </c>
      <c r="AB73" s="271">
        <v>1.25</v>
      </c>
      <c r="AD73" s="271">
        <v>0.5</v>
      </c>
      <c r="AF73" s="416">
        <f t="shared" si="43"/>
        <v>12</v>
      </c>
      <c r="AH73" s="314">
        <f t="shared" si="44"/>
        <v>595</v>
      </c>
      <c r="AI73" s="312">
        <f t="shared" si="45"/>
        <v>1540</v>
      </c>
      <c r="AJ73" s="313">
        <f t="shared" si="46"/>
        <v>3037.5</v>
      </c>
      <c r="AK73" s="43">
        <v>1043.57</v>
      </c>
      <c r="AL73" s="309">
        <f t="shared" si="42"/>
        <v>523.56999999999994</v>
      </c>
      <c r="AM73" s="309">
        <f t="shared" ca="1" si="47"/>
        <v>17126.07</v>
      </c>
      <c r="AN73" s="297">
        <v>17126.07</v>
      </c>
      <c r="AO73" s="11">
        <f t="shared" si="48"/>
        <v>12548.57</v>
      </c>
      <c r="AP73" s="361">
        <f t="shared" ca="1" si="49"/>
        <v>0.26728256978979997</v>
      </c>
      <c r="AQ73" s="11">
        <f ca="1">IF(D73&gt;TODAY()-1,"",SUM($AM$6:AM73))</f>
        <v>985551.36000000034</v>
      </c>
      <c r="AR73" s="11">
        <f ca="1">IF(AM73&lt;&gt;"", SUMIFS($AM$8:AM73, $BC$8:BC73, BC73), "")</f>
        <v>458805.08</v>
      </c>
      <c r="AS73" s="11">
        <f t="shared" ca="1" si="39"/>
        <v>71.958277310924373</v>
      </c>
      <c r="AU73" s="124" t="str">
        <f t="shared" ca="1" si="51"/>
        <v>LINK</v>
      </c>
      <c r="AV73" t="s">
        <v>828</v>
      </c>
      <c r="AW73" s="125" t="s">
        <v>664</v>
      </c>
      <c r="AX73" t="str">
        <f t="shared" si="52"/>
        <v>25</v>
      </c>
      <c r="AY73" t="str">
        <f t="shared" si="53"/>
        <v>08</v>
      </c>
      <c r="AZ73" s="98">
        <f t="shared" si="54"/>
        <v>28</v>
      </c>
      <c r="BA73" t="str">
        <f t="shared" si="55"/>
        <v>4</v>
      </c>
      <c r="BB73" t="str">
        <f t="shared" ref="BB73:BB136" si="58">CONCATENATE(AW73,"-",AX73,AY73,AZ73,"D")</f>
        <v>https://www.coreplan.io/app/ddh1-drilling/speewah-mining-speewah-fluorite-project-strike/plods/6174-250828D</v>
      </c>
      <c r="BC73" t="str">
        <f t="shared" si="56"/>
        <v>2025-08</v>
      </c>
    </row>
    <row r="74" spans="1:55">
      <c r="A74" s="510" t="str">
        <f>VLOOKUP(E74,'Tenement Lookup'!A:BH,60,FALSE)</f>
        <v>M 80/268</v>
      </c>
      <c r="B74" t="str">
        <f>VLOOKUP(E74,Purpose!$A$2:$B$334,2,FALSE)</f>
        <v>G Vein RC</v>
      </c>
      <c r="C74" s="59" t="s">
        <v>14</v>
      </c>
      <c r="D74" s="265">
        <v>45898</v>
      </c>
      <c r="E74" s="28" t="s">
        <v>829</v>
      </c>
      <c r="I74" s="266" t="s">
        <v>687</v>
      </c>
      <c r="J74" s="266">
        <v>4</v>
      </c>
      <c r="K74" s="297">
        <f t="shared" si="57"/>
        <v>520</v>
      </c>
      <c r="L74" s="187">
        <v>50</v>
      </c>
      <c r="M74" s="267">
        <v>50</v>
      </c>
      <c r="N74" s="4">
        <v>50</v>
      </c>
      <c r="O74" s="267">
        <v>50</v>
      </c>
      <c r="P74" s="4">
        <v>50</v>
      </c>
      <c r="R74" s="318">
        <f t="shared" si="36"/>
        <v>250</v>
      </c>
      <c r="S74" s="273">
        <f t="shared" si="38"/>
        <v>12500</v>
      </c>
      <c r="T74" s="269">
        <v>6.25</v>
      </c>
      <c r="U74" s="295">
        <f t="shared" si="37"/>
        <v>12500</v>
      </c>
      <c r="V74" s="270">
        <v>7</v>
      </c>
      <c r="W74" s="270">
        <v>7</v>
      </c>
      <c r="X74" s="4">
        <v>1</v>
      </c>
      <c r="Y74" s="4">
        <v>1</v>
      </c>
      <c r="Z74" s="292">
        <f t="shared" si="50"/>
        <v>6.25</v>
      </c>
      <c r="AA74" s="271">
        <v>3.25</v>
      </c>
      <c r="AB74" s="271">
        <v>1</v>
      </c>
      <c r="AD74" s="271">
        <v>0.5</v>
      </c>
      <c r="AE74" s="293">
        <v>1</v>
      </c>
      <c r="AF74" s="416">
        <f t="shared" si="43"/>
        <v>12</v>
      </c>
      <c r="AH74" s="314">
        <f t="shared" si="44"/>
        <v>595</v>
      </c>
      <c r="AI74" s="312">
        <f t="shared" si="45"/>
        <v>1540</v>
      </c>
      <c r="AJ74" s="313">
        <f t="shared" si="46"/>
        <v>2228.75</v>
      </c>
      <c r="AK74" s="43">
        <v>1043.57</v>
      </c>
      <c r="AL74" s="309">
        <f t="shared" si="42"/>
        <v>523.56999999999994</v>
      </c>
      <c r="AM74" s="309">
        <f t="shared" ca="1" si="47"/>
        <v>17907.32</v>
      </c>
      <c r="AN74" s="297">
        <v>17907.32</v>
      </c>
      <c r="AO74" s="11">
        <f t="shared" si="48"/>
        <v>14138.57</v>
      </c>
      <c r="AP74" s="361">
        <f t="shared" ca="1" si="49"/>
        <v>0.21045862809175242</v>
      </c>
      <c r="AQ74" s="11">
        <f ca="1">IF(D74&gt;TODAY()-1,"",SUM($AM$6:AM74))</f>
        <v>1003458.6800000003</v>
      </c>
      <c r="AR74" s="11">
        <f ca="1">IF(AM74&lt;&gt;"", SUMIFS($AM$8:AM74, $BC$8:BC74, BC74), "")</f>
        <v>476712.4</v>
      </c>
      <c r="AS74" s="11">
        <f t="shared" ca="1" si="39"/>
        <v>71.629279999999994</v>
      </c>
      <c r="AU74" s="124" t="str">
        <f t="shared" ca="1" si="51"/>
        <v>LINK</v>
      </c>
      <c r="AV74" t="s">
        <v>830</v>
      </c>
      <c r="AW74" s="125" t="s">
        <v>664</v>
      </c>
      <c r="AX74" t="str">
        <f t="shared" si="52"/>
        <v>25</v>
      </c>
      <c r="AY74" t="str">
        <f t="shared" si="53"/>
        <v>08</v>
      </c>
      <c r="AZ74" s="98">
        <f t="shared" si="54"/>
        <v>29</v>
      </c>
      <c r="BA74" t="str">
        <f t="shared" si="55"/>
        <v>4</v>
      </c>
      <c r="BB74" t="str">
        <f t="shared" si="58"/>
        <v>https://www.coreplan.io/app/ddh1-drilling/speewah-mining-speewah-fluorite-project-strike/plods/6174-250829D</v>
      </c>
      <c r="BC74" t="str">
        <f t="shared" si="56"/>
        <v>2025-08</v>
      </c>
    </row>
    <row r="75" spans="1:55">
      <c r="A75" s="510" t="str">
        <f>VLOOKUP(E75,'Tenement Lookup'!A:BH,60,FALSE)</f>
        <v>M 80/268</v>
      </c>
      <c r="B75" t="str">
        <f>VLOOKUP(E75,Purpose!$A$2:$B$334,2,FALSE)</f>
        <v>G Vein RC</v>
      </c>
      <c r="C75" s="59" t="s">
        <v>14</v>
      </c>
      <c r="D75" s="265">
        <v>45899</v>
      </c>
      <c r="E75" s="28" t="s">
        <v>831</v>
      </c>
      <c r="F75" s="28" t="s">
        <v>832</v>
      </c>
      <c r="G75" s="28" t="s">
        <v>833</v>
      </c>
      <c r="I75" s="266" t="s">
        <v>687</v>
      </c>
      <c r="J75" s="266">
        <v>3</v>
      </c>
      <c r="K75" s="297">
        <f t="shared" si="57"/>
        <v>390</v>
      </c>
      <c r="L75" s="187">
        <v>150</v>
      </c>
      <c r="M75" s="267">
        <v>86</v>
      </c>
      <c r="N75" s="4"/>
      <c r="R75" s="318">
        <f t="shared" si="36"/>
        <v>236</v>
      </c>
      <c r="S75" s="273">
        <f t="shared" si="38"/>
        <v>9870</v>
      </c>
      <c r="T75" s="269">
        <v>4.25</v>
      </c>
      <c r="U75" s="295">
        <f t="shared" si="37"/>
        <v>9870</v>
      </c>
      <c r="V75" s="270">
        <v>6</v>
      </c>
      <c r="W75" s="270">
        <v>6</v>
      </c>
      <c r="X75" s="4">
        <v>1</v>
      </c>
      <c r="Y75" s="4">
        <v>1</v>
      </c>
      <c r="Z75" s="292">
        <f t="shared" si="50"/>
        <v>4.25</v>
      </c>
      <c r="AA75" s="271">
        <v>6</v>
      </c>
      <c r="AB75" s="271">
        <v>1.25</v>
      </c>
      <c r="AD75" s="271">
        <v>0.5</v>
      </c>
      <c r="AF75" s="416">
        <f t="shared" si="43"/>
        <v>12</v>
      </c>
      <c r="AH75" s="314">
        <f t="shared" si="44"/>
        <v>595</v>
      </c>
      <c r="AI75" s="312">
        <f t="shared" si="45"/>
        <v>1320</v>
      </c>
      <c r="AJ75" s="313">
        <f t="shared" si="46"/>
        <v>3900</v>
      </c>
      <c r="AK75" s="43">
        <v>1293.17</v>
      </c>
      <c r="AL75" s="309">
        <f t="shared" si="42"/>
        <v>903.17000000000007</v>
      </c>
      <c r="AM75" s="309">
        <f t="shared" ca="1" si="47"/>
        <v>16978.169999999998</v>
      </c>
      <c r="AN75" s="297">
        <v>16978.169999999998</v>
      </c>
      <c r="AO75" s="11">
        <f t="shared" si="48"/>
        <v>11758.17</v>
      </c>
      <c r="AP75" s="361">
        <f t="shared" ca="1" si="49"/>
        <v>0.30745363016155441</v>
      </c>
      <c r="AQ75" s="11">
        <f ca="1">IF(D75&gt;TODAY()-1,"",SUM($AM$6:AM75))</f>
        <v>1020436.8500000003</v>
      </c>
      <c r="AR75" s="11">
        <f ca="1">IF(AM75&lt;&gt;"", SUMIFS($AM$8:AM75, $BC$8:BC75, BC75), "")</f>
        <v>493690.57</v>
      </c>
      <c r="AS75" s="11">
        <f t="shared" ca="1" si="39"/>
        <v>71.941398305084732</v>
      </c>
      <c r="AU75" s="124" t="str">
        <f t="shared" ca="1" si="51"/>
        <v>LINK</v>
      </c>
      <c r="AV75" t="s">
        <v>834</v>
      </c>
      <c r="AW75" s="125" t="s">
        <v>664</v>
      </c>
      <c r="AX75" t="str">
        <f t="shared" si="52"/>
        <v>25</v>
      </c>
      <c r="AY75" t="str">
        <f t="shared" si="53"/>
        <v>08</v>
      </c>
      <c r="AZ75" s="98">
        <f t="shared" si="54"/>
        <v>30</v>
      </c>
      <c r="BA75" t="str">
        <f t="shared" si="55"/>
        <v>4</v>
      </c>
      <c r="BB75" t="str">
        <f t="shared" si="58"/>
        <v>https://www.coreplan.io/app/ddh1-drilling/speewah-mining-speewah-fluorite-project-strike/plods/6174-250830D</v>
      </c>
      <c r="BC75" t="str">
        <f t="shared" si="56"/>
        <v>2025-08</v>
      </c>
    </row>
    <row r="76" spans="1:55">
      <c r="A76" s="510" t="str">
        <f>VLOOKUP(E76,'Tenement Lookup'!A:BH,60,FALSE)</f>
        <v>M 80/268</v>
      </c>
      <c r="B76" t="str">
        <f>VLOOKUP(E76,Purpose!$A$2:$B$334,2,FALSE)</f>
        <v>Infill</v>
      </c>
      <c r="C76" s="59" t="s">
        <v>12</v>
      </c>
      <c r="D76" s="265">
        <v>45900</v>
      </c>
      <c r="E76" s="28" t="s">
        <v>835</v>
      </c>
      <c r="F76" s="28" t="s">
        <v>836</v>
      </c>
      <c r="I76" s="266" t="s">
        <v>687</v>
      </c>
      <c r="J76" s="266">
        <v>3</v>
      </c>
      <c r="K76" s="297">
        <f t="shared" si="57"/>
        <v>390</v>
      </c>
      <c r="L76" s="187">
        <v>80</v>
      </c>
      <c r="M76" s="267">
        <v>50</v>
      </c>
      <c r="N76" s="4">
        <v>50</v>
      </c>
      <c r="O76" s="267">
        <v>22</v>
      </c>
      <c r="R76" s="318">
        <f t="shared" si="36"/>
        <v>202</v>
      </c>
      <c r="S76" s="273">
        <f t="shared" si="38"/>
        <v>9160</v>
      </c>
      <c r="T76" s="269">
        <v>4.5</v>
      </c>
      <c r="U76" s="295">
        <f t="shared" si="37"/>
        <v>9160</v>
      </c>
      <c r="V76" s="270">
        <v>6</v>
      </c>
      <c r="W76" s="270">
        <v>6</v>
      </c>
      <c r="X76" s="4">
        <v>1</v>
      </c>
      <c r="Y76" s="4">
        <v>1</v>
      </c>
      <c r="Z76" s="292">
        <f t="shared" si="50"/>
        <v>4.5</v>
      </c>
      <c r="AA76" s="271">
        <v>6.25</v>
      </c>
      <c r="AB76" s="271">
        <v>0.75</v>
      </c>
      <c r="AD76" s="271">
        <v>0.5</v>
      </c>
      <c r="AF76" s="416">
        <f t="shared" si="43"/>
        <v>12</v>
      </c>
      <c r="AH76" s="314">
        <f t="shared" si="44"/>
        <v>595</v>
      </c>
      <c r="AI76" s="312">
        <f t="shared" si="45"/>
        <v>1320</v>
      </c>
      <c r="AJ76" s="313">
        <f t="shared" si="46"/>
        <v>3863.75</v>
      </c>
      <c r="AK76" s="43">
        <v>22415.95</v>
      </c>
      <c r="AL76" s="309">
        <f t="shared" si="42"/>
        <v>22025.95</v>
      </c>
      <c r="AM76" s="309">
        <f t="shared" ca="1" si="47"/>
        <v>37354.699999999997</v>
      </c>
      <c r="AN76" s="297">
        <v>37354.699999999997</v>
      </c>
      <c r="AO76" s="11">
        <f t="shared" si="48"/>
        <v>32170.95</v>
      </c>
      <c r="AP76" s="361">
        <f t="shared" ca="1" si="49"/>
        <v>0.13877102479741496</v>
      </c>
      <c r="AQ76" s="11">
        <f ca="1">IF(D76&gt;TODAY()-1,"",SUM($AM$6:AM76))</f>
        <v>1057791.5500000003</v>
      </c>
      <c r="AR76" s="11">
        <f ca="1">IF(AM76&lt;&gt;"", SUMIFS($AM$8:AM76, $BC$8:BC76, BC76), "")</f>
        <v>531045.27</v>
      </c>
      <c r="AS76" s="11">
        <f t="shared" ca="1" si="39"/>
        <v>184.92425742574255</v>
      </c>
      <c r="AU76" s="124" t="str">
        <f t="shared" ca="1" si="51"/>
        <v>LINK</v>
      </c>
      <c r="AV76" s="141" t="s">
        <v>837</v>
      </c>
      <c r="AW76" s="125" t="s">
        <v>664</v>
      </c>
      <c r="AX76" t="str">
        <f t="shared" si="52"/>
        <v>25</v>
      </c>
      <c r="AY76" t="str">
        <f t="shared" si="53"/>
        <v>08</v>
      </c>
      <c r="AZ76" s="98">
        <f t="shared" si="54"/>
        <v>31</v>
      </c>
      <c r="BA76" t="str">
        <f t="shared" si="55"/>
        <v>4</v>
      </c>
      <c r="BB76" t="str">
        <f t="shared" si="58"/>
        <v>https://www.coreplan.io/app/ddh1-drilling/speewah-mining-speewah-fluorite-project-strike/plods/6174-250831D</v>
      </c>
      <c r="BC76" t="str">
        <f t="shared" si="56"/>
        <v>2025-08</v>
      </c>
    </row>
    <row r="77" spans="1:55">
      <c r="A77" s="510" t="str">
        <f>VLOOKUP(E77,'Tenement Lookup'!A:BH,60,FALSE)</f>
        <v>M 80/269</v>
      </c>
      <c r="B77" t="str">
        <f>VLOOKUP(E77,Purpose!$A$2:$B$334,2,FALSE)</f>
        <v>Infill</v>
      </c>
      <c r="C77" s="59" t="s">
        <v>12</v>
      </c>
      <c r="D77" s="265">
        <v>45901</v>
      </c>
      <c r="E77" s="28" t="s">
        <v>838</v>
      </c>
      <c r="F77" s="28" t="s">
        <v>839</v>
      </c>
      <c r="I77" s="266" t="s">
        <v>687</v>
      </c>
      <c r="J77" s="266">
        <v>3</v>
      </c>
      <c r="K77" s="297">
        <f t="shared" si="57"/>
        <v>390</v>
      </c>
      <c r="L77" s="187">
        <v>100</v>
      </c>
      <c r="M77" s="267">
        <v>76</v>
      </c>
      <c r="N77" s="4">
        <v>42</v>
      </c>
      <c r="R77" s="318">
        <f t="shared" si="36"/>
        <v>218</v>
      </c>
      <c r="S77" s="273">
        <f t="shared" si="38"/>
        <v>9520</v>
      </c>
      <c r="T77" s="269">
        <v>7</v>
      </c>
      <c r="U77" s="295">
        <f t="shared" si="37"/>
        <v>9520</v>
      </c>
      <c r="V77" s="270">
        <v>7</v>
      </c>
      <c r="W77" s="270">
        <v>7</v>
      </c>
      <c r="X77" s="4">
        <v>1</v>
      </c>
      <c r="Y77" s="4">
        <v>1</v>
      </c>
      <c r="Z77" s="292">
        <f t="shared" si="50"/>
        <v>7</v>
      </c>
      <c r="AA77" s="271">
        <v>3.75</v>
      </c>
      <c r="AB77" s="271">
        <v>0.75</v>
      </c>
      <c r="AD77" s="271">
        <v>0.5</v>
      </c>
      <c r="AF77" s="416">
        <f t="shared" si="43"/>
        <v>12</v>
      </c>
      <c r="AH77" s="314">
        <f t="shared" si="44"/>
        <v>595</v>
      </c>
      <c r="AI77" s="312">
        <f t="shared" si="45"/>
        <v>1540</v>
      </c>
      <c r="AJ77" s="313">
        <f t="shared" si="46"/>
        <v>2426.25</v>
      </c>
      <c r="AK77" s="43">
        <v>1240.77</v>
      </c>
      <c r="AL77" s="309">
        <f t="shared" si="42"/>
        <v>850.77</v>
      </c>
      <c r="AM77" s="309">
        <f t="shared" ca="1" si="47"/>
        <v>15322.02</v>
      </c>
      <c r="AN77" s="294">
        <v>15322.02</v>
      </c>
      <c r="AO77" s="11">
        <f t="shared" si="48"/>
        <v>11355.77</v>
      </c>
      <c r="AP77" s="361">
        <f t="shared" ca="1" si="49"/>
        <v>0.25885947153182154</v>
      </c>
      <c r="AQ77" s="11">
        <f ca="1">IF(D77&gt;TODAY()-1,"",SUM($AM$6:AM77))</f>
        <v>1073113.5700000003</v>
      </c>
      <c r="AR77" s="11">
        <f ca="1">IF(AM77&lt;&gt;"", SUMIFS($AM$8:AM77, $BC$8:BC77, BC77), "")</f>
        <v>15322.02</v>
      </c>
      <c r="AS77" s="11">
        <f t="shared" ca="1" si="39"/>
        <v>70.284495412844038</v>
      </c>
      <c r="AU77" s="124" t="str">
        <f t="shared" ca="1" si="51"/>
        <v>LINK</v>
      </c>
      <c r="AW77" s="125" t="s">
        <v>664</v>
      </c>
      <c r="AX77" t="str">
        <f t="shared" si="52"/>
        <v>25</v>
      </c>
      <c r="AY77" t="str">
        <f t="shared" si="53"/>
        <v>09</v>
      </c>
      <c r="AZ77" s="98" t="str">
        <f t="shared" si="54"/>
        <v>01</v>
      </c>
      <c r="BA77" t="str">
        <f t="shared" si="55"/>
        <v>4</v>
      </c>
      <c r="BB77" t="str">
        <f t="shared" si="58"/>
        <v>https://www.coreplan.io/app/ddh1-drilling/speewah-mining-speewah-fluorite-project-strike/plods/6174-250901D</v>
      </c>
      <c r="BC77" t="str">
        <f t="shared" si="56"/>
        <v>2025-09</v>
      </c>
    </row>
    <row r="78" spans="1:55">
      <c r="A78" s="510" t="str">
        <f>VLOOKUP(E78,'Tenement Lookup'!A:BH,60,FALSE)</f>
        <v>M 80/269</v>
      </c>
      <c r="B78" t="str">
        <f>VLOOKUP(E78,Purpose!$A$2:$B$334,2,FALSE)</f>
        <v>Infill</v>
      </c>
      <c r="C78" s="59" t="s">
        <v>12</v>
      </c>
      <c r="D78" s="265">
        <v>45902</v>
      </c>
      <c r="E78" s="28" t="s">
        <v>839</v>
      </c>
      <c r="F78" s="28" t="s">
        <v>840</v>
      </c>
      <c r="I78" s="266" t="s">
        <v>687</v>
      </c>
      <c r="J78" s="266">
        <v>4</v>
      </c>
      <c r="K78" s="297">
        <f t="shared" si="57"/>
        <v>520</v>
      </c>
      <c r="L78" s="187">
        <v>50</v>
      </c>
      <c r="M78" s="267">
        <v>74</v>
      </c>
      <c r="N78" s="4">
        <v>86</v>
      </c>
      <c r="O78" s="267">
        <v>4</v>
      </c>
      <c r="R78" s="318">
        <f t="shared" si="36"/>
        <v>214</v>
      </c>
      <c r="S78" s="273">
        <f t="shared" si="38"/>
        <v>9850</v>
      </c>
      <c r="T78" s="269">
        <v>6.5</v>
      </c>
      <c r="U78" s="295">
        <f t="shared" si="37"/>
        <v>9850</v>
      </c>
      <c r="V78" s="270">
        <v>7</v>
      </c>
      <c r="W78" s="270">
        <v>7</v>
      </c>
      <c r="X78" s="4">
        <v>1</v>
      </c>
      <c r="Y78" s="4">
        <v>1</v>
      </c>
      <c r="Z78" s="292">
        <f t="shared" si="50"/>
        <v>6.5</v>
      </c>
      <c r="AA78" s="271">
        <v>4.5</v>
      </c>
      <c r="AB78" s="271">
        <v>0.5</v>
      </c>
      <c r="AD78" s="271">
        <v>0.5</v>
      </c>
      <c r="AF78" s="416">
        <f t="shared" si="43"/>
        <v>12</v>
      </c>
      <c r="AH78" s="314">
        <f t="shared" si="44"/>
        <v>595</v>
      </c>
      <c r="AI78" s="312">
        <f t="shared" si="45"/>
        <v>1540</v>
      </c>
      <c r="AJ78" s="313">
        <f t="shared" si="46"/>
        <v>2767.5</v>
      </c>
      <c r="AK78" s="43">
        <v>1017.37</v>
      </c>
      <c r="AL78" s="309">
        <f t="shared" si="42"/>
        <v>497.37</v>
      </c>
      <c r="AM78" s="309">
        <f t="shared" ca="1" si="47"/>
        <v>15769.87</v>
      </c>
      <c r="AN78" s="294">
        <v>15769.87</v>
      </c>
      <c r="AO78" s="11">
        <f t="shared" si="48"/>
        <v>11462.369999999999</v>
      </c>
      <c r="AP78" s="361">
        <f t="shared" ca="1" si="49"/>
        <v>0.27314746411986918</v>
      </c>
      <c r="AQ78" s="11">
        <f ca="1">IF(D78&gt;TODAY()-1,"",SUM($AM$6:AM78))</f>
        <v>1088883.4400000004</v>
      </c>
      <c r="AR78" s="11">
        <f ca="1">IF(AM78&lt;&gt;"", SUMIFS($AM$8:AM78, $BC$8:BC78, BC78), "")</f>
        <v>31091.89</v>
      </c>
      <c r="AS78" s="11">
        <f t="shared" ca="1" si="39"/>
        <v>73.690981308411224</v>
      </c>
      <c r="AU78" s="124" t="str">
        <f t="shared" ca="1" si="51"/>
        <v>LINK</v>
      </c>
      <c r="AW78" s="125" t="s">
        <v>664</v>
      </c>
      <c r="AX78" t="str">
        <f t="shared" si="52"/>
        <v>25</v>
      </c>
      <c r="AY78" t="str">
        <f t="shared" si="53"/>
        <v>09</v>
      </c>
      <c r="AZ78" s="98" t="str">
        <f t="shared" si="54"/>
        <v>02</v>
      </c>
      <c r="BA78" t="str">
        <f t="shared" si="55"/>
        <v>4</v>
      </c>
      <c r="BB78" t="str">
        <f t="shared" si="58"/>
        <v>https://www.coreplan.io/app/ddh1-drilling/speewah-mining-speewah-fluorite-project-strike/plods/6174-250902D</v>
      </c>
      <c r="BC78" t="str">
        <f t="shared" si="56"/>
        <v>2025-09</v>
      </c>
    </row>
    <row r="79" spans="1:55">
      <c r="A79" s="510" t="str">
        <f>VLOOKUP(E79,'Tenement Lookup'!A:BH,60,FALSE)</f>
        <v>M 80/269</v>
      </c>
      <c r="B79" t="str">
        <f>VLOOKUP(E79,Purpose!$A$2:$B$334,2,FALSE)</f>
        <v>Infill</v>
      </c>
      <c r="C79" s="59" t="s">
        <v>12</v>
      </c>
      <c r="D79" s="265">
        <v>45903</v>
      </c>
      <c r="E79" s="28" t="s">
        <v>840</v>
      </c>
      <c r="F79" s="28" t="s">
        <v>841</v>
      </c>
      <c r="I79" s="266" t="s">
        <v>687</v>
      </c>
      <c r="J79" s="266">
        <v>4</v>
      </c>
      <c r="K79" s="297">
        <f t="shared" si="57"/>
        <v>520</v>
      </c>
      <c r="L79" s="187">
        <v>50</v>
      </c>
      <c r="M79" s="267">
        <v>50</v>
      </c>
      <c r="N79" s="4">
        <v>56</v>
      </c>
      <c r="O79" s="267">
        <v>50</v>
      </c>
      <c r="R79" s="318">
        <f t="shared" si="36"/>
        <v>206</v>
      </c>
      <c r="S79" s="273">
        <f t="shared" si="38"/>
        <v>9800</v>
      </c>
      <c r="T79" s="269">
        <v>5.25</v>
      </c>
      <c r="U79" s="295">
        <f t="shared" si="37"/>
        <v>9800</v>
      </c>
      <c r="V79" s="270">
        <v>6</v>
      </c>
      <c r="W79" s="270">
        <v>6</v>
      </c>
      <c r="X79" s="4">
        <v>1</v>
      </c>
      <c r="Y79" s="4">
        <v>1</v>
      </c>
      <c r="Z79" s="292">
        <f t="shared" si="50"/>
        <v>5.25</v>
      </c>
      <c r="AA79" s="271">
        <v>5.25</v>
      </c>
      <c r="AB79" s="271">
        <v>1</v>
      </c>
      <c r="AD79" s="271">
        <v>0.5</v>
      </c>
      <c r="AF79" s="416">
        <f t="shared" si="43"/>
        <v>12</v>
      </c>
      <c r="AH79" s="314">
        <f t="shared" si="44"/>
        <v>595</v>
      </c>
      <c r="AI79" s="312">
        <f t="shared" si="45"/>
        <v>1320</v>
      </c>
      <c r="AJ79" s="313">
        <f t="shared" si="46"/>
        <v>3378.75</v>
      </c>
      <c r="AK79" s="43">
        <v>1159.8800000000001</v>
      </c>
      <c r="AL79" s="309">
        <f t="shared" si="42"/>
        <v>639.88000000000011</v>
      </c>
      <c r="AM79" s="309">
        <f t="shared" ca="1" si="47"/>
        <v>16253.630000000001</v>
      </c>
      <c r="AN79" s="294">
        <v>16253.63</v>
      </c>
      <c r="AO79" s="11">
        <f t="shared" si="48"/>
        <v>11554.880000000001</v>
      </c>
      <c r="AP79" s="361">
        <f t="shared" ca="1" si="49"/>
        <v>0.28908926805888896</v>
      </c>
      <c r="AQ79" s="11">
        <f ca="1">IF(D79&gt;TODAY()-1,"",SUM($AM$6:AM79))</f>
        <v>1105137.0700000003</v>
      </c>
      <c r="AR79" s="11">
        <f ca="1">IF(AM79&lt;&gt;"", SUMIFS($AM$8:AM79, $BC$8:BC79, BC79), "")</f>
        <v>47345.520000000004</v>
      </c>
      <c r="AS79" s="11">
        <f t="shared" ca="1" si="39"/>
        <v>78.901116504854372</v>
      </c>
      <c r="AU79" s="124" t="str">
        <f t="shared" ca="1" si="51"/>
        <v>LINK</v>
      </c>
      <c r="AW79" s="125" t="s">
        <v>664</v>
      </c>
      <c r="AX79" t="str">
        <f t="shared" si="52"/>
        <v>25</v>
      </c>
      <c r="AY79" t="str">
        <f t="shared" si="53"/>
        <v>09</v>
      </c>
      <c r="AZ79" s="98" t="str">
        <f t="shared" si="54"/>
        <v>03</v>
      </c>
      <c r="BA79" t="str">
        <f t="shared" si="55"/>
        <v>4</v>
      </c>
      <c r="BB79" t="str">
        <f t="shared" si="58"/>
        <v>https://www.coreplan.io/app/ddh1-drilling/speewah-mining-speewah-fluorite-project-strike/plods/6174-250903D</v>
      </c>
      <c r="BC79" t="str">
        <f t="shared" si="56"/>
        <v>2025-09</v>
      </c>
    </row>
    <row r="80" spans="1:55">
      <c r="A80" s="510" t="str">
        <f>VLOOKUP(E80,'Tenement Lookup'!A:BH,60,FALSE)</f>
        <v>M 80/269</v>
      </c>
      <c r="B80" t="str">
        <f>VLOOKUP(E80,Purpose!$A$2:$B$334,2,FALSE)</f>
        <v>Infill</v>
      </c>
      <c r="C80" s="59" t="s">
        <v>12</v>
      </c>
      <c r="D80" s="265">
        <v>45904</v>
      </c>
      <c r="E80" s="28" t="s">
        <v>841</v>
      </c>
      <c r="F80" s="28" t="s">
        <v>842</v>
      </c>
      <c r="I80" s="266" t="s">
        <v>711</v>
      </c>
      <c r="J80" s="266">
        <v>3</v>
      </c>
      <c r="K80" s="297">
        <f t="shared" si="57"/>
        <v>390</v>
      </c>
      <c r="L80" s="187">
        <v>34</v>
      </c>
      <c r="N80" s="4">
        <v>8</v>
      </c>
      <c r="O80" s="267">
        <v>50</v>
      </c>
      <c r="P80" s="4">
        <v>10</v>
      </c>
      <c r="R80" s="318">
        <f t="shared" si="36"/>
        <v>102</v>
      </c>
      <c r="S80" s="273">
        <f t="shared" si="38"/>
        <v>5110</v>
      </c>
      <c r="T80" s="269">
        <v>3</v>
      </c>
      <c r="U80" s="295">
        <f t="shared" si="37"/>
        <v>5110</v>
      </c>
      <c r="V80" s="270">
        <v>4</v>
      </c>
      <c r="W80" s="270">
        <v>4</v>
      </c>
      <c r="X80" s="4">
        <v>1</v>
      </c>
      <c r="Y80" s="4">
        <v>1</v>
      </c>
      <c r="Z80" s="292">
        <f t="shared" si="50"/>
        <v>3</v>
      </c>
      <c r="AA80" s="271">
        <v>6.75</v>
      </c>
      <c r="AB80" s="271">
        <v>1.75</v>
      </c>
      <c r="AD80" s="271">
        <v>0.5</v>
      </c>
      <c r="AF80" s="416">
        <f t="shared" si="43"/>
        <v>12</v>
      </c>
      <c r="AH80" s="314">
        <f t="shared" si="44"/>
        <v>595</v>
      </c>
      <c r="AI80" s="312">
        <f t="shared" si="45"/>
        <v>880</v>
      </c>
      <c r="AJ80" s="313">
        <f t="shared" si="46"/>
        <v>4511.25</v>
      </c>
      <c r="AK80" s="43">
        <v>1029.8800000000001</v>
      </c>
      <c r="AL80" s="309">
        <f t="shared" si="42"/>
        <v>639.88000000000011</v>
      </c>
      <c r="AM80" s="309">
        <f t="shared" ca="1" si="47"/>
        <v>12126.130000000001</v>
      </c>
      <c r="AN80" s="294">
        <v>12126.130000000001</v>
      </c>
      <c r="AO80" s="11">
        <f t="shared" si="48"/>
        <v>6734.88</v>
      </c>
      <c r="AP80" s="361">
        <f t="shared" ca="1" si="49"/>
        <v>0.44459774058170254</v>
      </c>
      <c r="AQ80" s="11">
        <f ca="1">IF(D80&gt;TODAY()-1,"",SUM($AM$6:AM80))</f>
        <v>1117263.2000000002</v>
      </c>
      <c r="AR80" s="11">
        <f ca="1">IF(AM80&lt;&gt;"", SUMIFS($AM$8:AM80, $BC$8:BC80, BC80), "")</f>
        <v>59471.650000000009</v>
      </c>
      <c r="AS80" s="11">
        <f t="shared" ca="1" si="39"/>
        <v>118.8836274509804</v>
      </c>
      <c r="AU80" s="124" t="str">
        <f t="shared" ca="1" si="51"/>
        <v>LINK</v>
      </c>
      <c r="AV80" s="10" t="s">
        <v>843</v>
      </c>
      <c r="AW80" s="125" t="s">
        <v>664</v>
      </c>
      <c r="AX80" t="str">
        <f t="shared" si="52"/>
        <v>25</v>
      </c>
      <c r="AY80" t="str">
        <f t="shared" si="53"/>
        <v>09</v>
      </c>
      <c r="AZ80" s="98" t="str">
        <f t="shared" si="54"/>
        <v>04</v>
      </c>
      <c r="BA80" t="str">
        <f t="shared" si="55"/>
        <v>4</v>
      </c>
      <c r="BB80" t="str">
        <f t="shared" si="58"/>
        <v>https://www.coreplan.io/app/ddh1-drilling/speewah-mining-speewah-fluorite-project-strike/plods/6174-250904D</v>
      </c>
      <c r="BC80" t="str">
        <f t="shared" si="56"/>
        <v>2025-09</v>
      </c>
    </row>
    <row r="81" spans="1:55">
      <c r="A81" s="510" t="str">
        <f>VLOOKUP(E81,'Tenement Lookup'!A:BH,60,FALSE)</f>
        <v>M 80/269</v>
      </c>
      <c r="B81" t="str">
        <f>VLOOKUP(E81,Purpose!$A$2:$B$334,2,FALSE)</f>
        <v>Infill</v>
      </c>
      <c r="C81" s="59" t="s">
        <v>12</v>
      </c>
      <c r="D81" s="265">
        <v>45905</v>
      </c>
      <c r="E81" s="28" t="s">
        <v>842</v>
      </c>
      <c r="I81" s="266" t="s">
        <v>711</v>
      </c>
      <c r="J81" s="266">
        <v>3</v>
      </c>
      <c r="K81" s="297">
        <f t="shared" si="57"/>
        <v>390</v>
      </c>
      <c r="L81" s="187">
        <v>16</v>
      </c>
      <c r="M81" s="267">
        <v>50</v>
      </c>
      <c r="N81" s="4">
        <v>50</v>
      </c>
      <c r="O81" s="267">
        <v>50</v>
      </c>
      <c r="P81" s="4">
        <v>10</v>
      </c>
      <c r="R81" s="318">
        <f t="shared" si="36"/>
        <v>176</v>
      </c>
      <c r="S81" s="273">
        <f t="shared" si="38"/>
        <v>8740</v>
      </c>
      <c r="T81" s="269">
        <v>0</v>
      </c>
      <c r="U81" s="295">
        <f t="shared" si="37"/>
        <v>8740</v>
      </c>
      <c r="V81" s="270">
        <v>5.5</v>
      </c>
      <c r="W81" s="270">
        <v>5.5</v>
      </c>
      <c r="X81" s="4">
        <v>1</v>
      </c>
      <c r="Y81" s="4">
        <v>1</v>
      </c>
      <c r="Z81" s="292">
        <v>4.75</v>
      </c>
      <c r="AA81" s="271">
        <v>5</v>
      </c>
      <c r="AB81" s="271">
        <v>1.75</v>
      </c>
      <c r="AD81" s="271">
        <v>0.5</v>
      </c>
      <c r="AF81" s="416">
        <f t="shared" si="43"/>
        <v>12</v>
      </c>
      <c r="AH81" s="314">
        <f t="shared" si="44"/>
        <v>595</v>
      </c>
      <c r="AI81" s="312">
        <f t="shared" si="45"/>
        <v>1210</v>
      </c>
      <c r="AJ81" s="313">
        <f t="shared" si="46"/>
        <v>3505</v>
      </c>
      <c r="AK81" s="141">
        <v>924.64</v>
      </c>
      <c r="AL81" s="309">
        <f t="shared" si="42"/>
        <v>534.64</v>
      </c>
      <c r="AM81" s="309">
        <f t="shared" ca="1" si="47"/>
        <v>14974.64</v>
      </c>
      <c r="AN81" s="294">
        <v>14974.64</v>
      </c>
      <c r="AO81" s="11">
        <f t="shared" si="48"/>
        <v>10259.64</v>
      </c>
      <c r="AP81" s="361">
        <f t="shared" ca="1" si="49"/>
        <v>0.31486566621968876</v>
      </c>
      <c r="AQ81" s="11">
        <f ca="1">IF(D81&gt;TODAY()-1,"",SUM($AM$6:AM81))</f>
        <v>1132237.8400000001</v>
      </c>
      <c r="AR81" s="11">
        <f ca="1">IF(AM81&lt;&gt;"", SUMIFS($AM$8:AM81, $BC$8:BC81, BC81), "")</f>
        <v>74446.290000000008</v>
      </c>
      <c r="AS81" s="11">
        <f t="shared" ca="1" si="39"/>
        <v>85.083181818181814</v>
      </c>
      <c r="AU81" s="124" t="str">
        <f t="shared" ca="1" si="51"/>
        <v>LINK</v>
      </c>
      <c r="AW81" s="125" t="s">
        <v>664</v>
      </c>
      <c r="AX81" t="str">
        <f t="shared" si="52"/>
        <v>25</v>
      </c>
      <c r="AY81" t="str">
        <f t="shared" si="53"/>
        <v>09</v>
      </c>
      <c r="AZ81" s="98" t="str">
        <f t="shared" si="54"/>
        <v>05</v>
      </c>
      <c r="BA81" t="str">
        <f t="shared" si="55"/>
        <v>4</v>
      </c>
      <c r="BB81" t="str">
        <f t="shared" si="58"/>
        <v>https://www.coreplan.io/app/ddh1-drilling/speewah-mining-speewah-fluorite-project-strike/plods/6174-250905D</v>
      </c>
      <c r="BC81" t="str">
        <f t="shared" si="56"/>
        <v>2025-09</v>
      </c>
    </row>
    <row r="82" spans="1:55">
      <c r="A82" s="510" t="str">
        <f>VLOOKUP(E82,'Tenement Lookup'!A:BH,60,FALSE)</f>
        <v>M 80/269</v>
      </c>
      <c r="B82" t="str">
        <f>VLOOKUP(E82,Purpose!$A$2:$B$334,2,FALSE)</f>
        <v>Infill</v>
      </c>
      <c r="C82" s="59" t="s">
        <v>12</v>
      </c>
      <c r="D82" s="265">
        <v>45906</v>
      </c>
      <c r="E82" s="28" t="s">
        <v>844</v>
      </c>
      <c r="F82" s="28" t="s">
        <v>845</v>
      </c>
      <c r="I82" s="266" t="s">
        <v>711</v>
      </c>
      <c r="J82" s="266">
        <v>3</v>
      </c>
      <c r="K82" s="297">
        <f t="shared" si="57"/>
        <v>390</v>
      </c>
      <c r="L82" s="187">
        <v>90</v>
      </c>
      <c r="M82" s="267">
        <v>50</v>
      </c>
      <c r="N82" s="4">
        <v>50</v>
      </c>
      <c r="O82" s="267">
        <v>34</v>
      </c>
      <c r="R82" s="318">
        <f t="shared" si="36"/>
        <v>224</v>
      </c>
      <c r="S82" s="273">
        <f t="shared" si="38"/>
        <v>10220</v>
      </c>
      <c r="T82" s="269">
        <v>5.25</v>
      </c>
      <c r="U82" s="295">
        <f t="shared" si="37"/>
        <v>10220</v>
      </c>
      <c r="V82" s="270">
        <v>5.5</v>
      </c>
      <c r="W82" s="270">
        <v>5.5</v>
      </c>
      <c r="X82" s="4">
        <v>1</v>
      </c>
      <c r="Y82" s="4">
        <v>1</v>
      </c>
      <c r="Z82" s="292">
        <f t="shared" si="50"/>
        <v>5.25</v>
      </c>
      <c r="AA82" s="271">
        <v>5.25</v>
      </c>
      <c r="AB82" s="271">
        <v>1</v>
      </c>
      <c r="AD82" s="271">
        <v>0.5</v>
      </c>
      <c r="AF82" s="416">
        <f t="shared" si="43"/>
        <v>12</v>
      </c>
      <c r="AH82" s="314">
        <f t="shared" si="44"/>
        <v>595</v>
      </c>
      <c r="AI82" s="312">
        <f t="shared" si="45"/>
        <v>1210</v>
      </c>
      <c r="AJ82" s="313">
        <f t="shared" si="46"/>
        <v>3378.75</v>
      </c>
      <c r="AK82" s="43">
        <v>1240.77</v>
      </c>
      <c r="AL82" s="309">
        <f t="shared" si="42"/>
        <v>850.77</v>
      </c>
      <c r="AM82" s="309">
        <f t="shared" ca="1" si="47"/>
        <v>16644.52</v>
      </c>
      <c r="AN82" s="294">
        <v>16644.52</v>
      </c>
      <c r="AO82" s="11">
        <f t="shared" si="48"/>
        <v>12055.77</v>
      </c>
      <c r="AP82" s="361">
        <f t="shared" ca="1" si="49"/>
        <v>0.2756913386507992</v>
      </c>
      <c r="AQ82" s="11">
        <f ca="1">IF(D82&gt;TODAY()-1,"",SUM($AM$6:AM82))</f>
        <v>1148882.3600000001</v>
      </c>
      <c r="AR82" s="11">
        <f ca="1">IF(AM82&lt;&gt;"", SUMIFS($AM$8:AM82, $BC$8:BC82, BC82), "")</f>
        <v>91090.810000000012</v>
      </c>
      <c r="AS82" s="11">
        <f t="shared" ca="1" si="39"/>
        <v>74.305892857142865</v>
      </c>
      <c r="AU82" s="124" t="str">
        <f t="shared" ca="1" si="51"/>
        <v>LINK</v>
      </c>
      <c r="AV82" s="10" t="s">
        <v>846</v>
      </c>
      <c r="AW82" s="125" t="s">
        <v>664</v>
      </c>
      <c r="AX82" t="str">
        <f t="shared" si="52"/>
        <v>25</v>
      </c>
      <c r="AY82" t="str">
        <f t="shared" si="53"/>
        <v>09</v>
      </c>
      <c r="AZ82" s="98" t="str">
        <f t="shared" si="54"/>
        <v>06</v>
      </c>
      <c r="BA82" t="str">
        <f t="shared" si="55"/>
        <v>4</v>
      </c>
      <c r="BB82" t="str">
        <f t="shared" si="58"/>
        <v>https://www.coreplan.io/app/ddh1-drilling/speewah-mining-speewah-fluorite-project-strike/plods/6174-250906D</v>
      </c>
      <c r="BC82" t="str">
        <f t="shared" si="56"/>
        <v>2025-09</v>
      </c>
    </row>
    <row r="83" spans="1:55">
      <c r="A83" s="510" t="str">
        <f>VLOOKUP(E83,'Tenement Lookup'!A:BH,60,FALSE)</f>
        <v>M 80/269</v>
      </c>
      <c r="B83" t="str">
        <f>VLOOKUP(E83,Purpose!$A$2:$B$334,2,FALSE)</f>
        <v>G Vein RC</v>
      </c>
      <c r="C83" s="59" t="s">
        <v>12</v>
      </c>
      <c r="D83" s="265">
        <v>45907</v>
      </c>
      <c r="E83" s="28" t="s">
        <v>847</v>
      </c>
      <c r="I83" s="266" t="s">
        <v>711</v>
      </c>
      <c r="J83" s="266">
        <v>3</v>
      </c>
      <c r="K83" s="297">
        <f t="shared" si="57"/>
        <v>390</v>
      </c>
      <c r="L83" s="187">
        <v>50</v>
      </c>
      <c r="M83" s="267">
        <v>50</v>
      </c>
      <c r="N83" s="4">
        <v>50</v>
      </c>
      <c r="O83" s="267">
        <v>10</v>
      </c>
      <c r="R83" s="318">
        <f t="shared" si="36"/>
        <v>160</v>
      </c>
      <c r="S83" s="273">
        <f t="shared" si="38"/>
        <v>7300</v>
      </c>
      <c r="T83" s="269">
        <v>4.75</v>
      </c>
      <c r="U83" s="295">
        <f t="shared" si="37"/>
        <v>7300</v>
      </c>
      <c r="V83" s="270">
        <v>5.25</v>
      </c>
      <c r="W83" s="270">
        <v>5.25</v>
      </c>
      <c r="X83" s="4">
        <v>1</v>
      </c>
      <c r="Y83" s="4">
        <v>1</v>
      </c>
      <c r="Z83" s="292">
        <f t="shared" si="50"/>
        <v>4.75</v>
      </c>
      <c r="AA83" s="271">
        <v>2.75</v>
      </c>
      <c r="AB83" s="271">
        <v>0.75</v>
      </c>
      <c r="AD83" s="271">
        <v>3.75</v>
      </c>
      <c r="AF83" s="416">
        <f t="shared" si="43"/>
        <v>12</v>
      </c>
      <c r="AH83" s="314">
        <f t="shared" si="44"/>
        <v>595</v>
      </c>
      <c r="AI83" s="312">
        <f t="shared" si="45"/>
        <v>1155</v>
      </c>
      <c r="AJ83" s="313">
        <f t="shared" ref="AJ83:AJ114" si="59">SUMPRODUCT(AA83:AE83,$AA$3:$AE$3)</f>
        <v>1851.25</v>
      </c>
      <c r="AL83" s="309">
        <f t="shared" si="42"/>
        <v>-390</v>
      </c>
      <c r="AM83" s="309">
        <f t="shared" ca="1" si="47"/>
        <v>10901.25</v>
      </c>
      <c r="AN83" s="294">
        <v>939.77</v>
      </c>
      <c r="AO83" s="11">
        <f t="shared" si="48"/>
        <v>7895</v>
      </c>
      <c r="AP83" s="361">
        <f t="shared" ca="1" si="49"/>
        <v>0.27577112716431601</v>
      </c>
      <c r="AQ83" s="11">
        <f ca="1">IF(D83&gt;TODAY()-1,"",SUM($AM$6:AM83))</f>
        <v>1159783.6100000001</v>
      </c>
      <c r="AR83" s="11">
        <f ca="1">IF(AM83&lt;&gt;"", SUMIFS($AM$8:AM83, $BC$8:BC83, BC83), "")</f>
        <v>101992.06000000001</v>
      </c>
      <c r="AS83" s="11">
        <f t="shared" ca="1" si="39"/>
        <v>68.1328125</v>
      </c>
      <c r="AU83" s="124" t="str">
        <f t="shared" ca="1" si="51"/>
        <v>LINK</v>
      </c>
      <c r="AW83" s="125" t="s">
        <v>664</v>
      </c>
      <c r="AX83" t="str">
        <f t="shared" si="52"/>
        <v>25</v>
      </c>
      <c r="AY83" t="str">
        <f t="shared" si="53"/>
        <v>09</v>
      </c>
      <c r="AZ83" s="98" t="str">
        <f t="shared" si="54"/>
        <v>07</v>
      </c>
      <c r="BA83" t="str">
        <f t="shared" si="55"/>
        <v>4</v>
      </c>
      <c r="BB83" t="str">
        <f t="shared" si="58"/>
        <v>https://www.coreplan.io/app/ddh1-drilling/speewah-mining-speewah-fluorite-project-strike/plods/6174-250907D</v>
      </c>
      <c r="BC83" t="str">
        <f t="shared" si="56"/>
        <v>2025-09</v>
      </c>
    </row>
    <row r="84" spans="1:55">
      <c r="A84" s="510" t="e">
        <f>VLOOKUP(E84,'Tenement Lookup'!A:BH,60,FALSE)</f>
        <v>#N/A</v>
      </c>
      <c r="B84" t="s">
        <v>848</v>
      </c>
      <c r="D84" s="265">
        <v>45908</v>
      </c>
      <c r="I84" s="266" t="s">
        <v>711</v>
      </c>
      <c r="J84" s="266">
        <v>3</v>
      </c>
      <c r="K84" s="297">
        <f>J84*$K$3</f>
        <v>390</v>
      </c>
      <c r="L84" s="187"/>
      <c r="N84" s="4"/>
      <c r="R84" s="318">
        <f t="shared" si="36"/>
        <v>0</v>
      </c>
      <c r="S84" s="273">
        <f t="shared" si="38"/>
        <v>0</v>
      </c>
      <c r="T84" s="269">
        <v>0</v>
      </c>
      <c r="U84" s="295">
        <f t="shared" si="37"/>
        <v>0</v>
      </c>
      <c r="Z84" s="292">
        <f t="shared" si="50"/>
        <v>0</v>
      </c>
      <c r="AB84" s="271">
        <v>11.75</v>
      </c>
      <c r="AD84" s="271">
        <v>0.25</v>
      </c>
      <c r="AF84" s="416">
        <f t="shared" si="43"/>
        <v>12</v>
      </c>
      <c r="AH84" s="314">
        <f t="shared" si="44"/>
        <v>0</v>
      </c>
      <c r="AI84" s="312">
        <f t="shared" si="45"/>
        <v>0</v>
      </c>
      <c r="AJ84" s="313">
        <f t="shared" si="59"/>
        <v>4230</v>
      </c>
      <c r="AL84" s="309">
        <f t="shared" si="42"/>
        <v>-390</v>
      </c>
      <c r="AM84" s="309">
        <f ca="1">IF(D84&gt;TODAY()-1,"",AI84+AH84+K84+U84+AJ84+AL84)</f>
        <v>4230</v>
      </c>
      <c r="AN84" s="294">
        <v>4230</v>
      </c>
      <c r="AO84" s="11">
        <f t="shared" si="48"/>
        <v>0</v>
      </c>
      <c r="AP84" s="361">
        <f t="shared" ca="1" si="49"/>
        <v>1</v>
      </c>
      <c r="AQ84" s="11">
        <f ca="1">IF(D84&gt;TODAY()-1,"",SUM($AM$6:AM84))</f>
        <v>1164013.6100000001</v>
      </c>
      <c r="AR84" s="11">
        <f ca="1">IF(AM84&lt;&gt;"", SUMIFS($AM$8:AM84, $BC$8:BC84, BC84), "")</f>
        <v>106222.06000000001</v>
      </c>
      <c r="AU84" s="124" t="str">
        <f t="shared" ca="1" si="51"/>
        <v>LINK</v>
      </c>
      <c r="AW84" s="125" t="s">
        <v>664</v>
      </c>
      <c r="AX84" t="str">
        <f t="shared" si="52"/>
        <v>25</v>
      </c>
      <c r="AY84" t="str">
        <f t="shared" si="53"/>
        <v>09</v>
      </c>
      <c r="AZ84" s="98" t="str">
        <f t="shared" si="54"/>
        <v>08</v>
      </c>
      <c r="BA84" t="str">
        <f t="shared" si="55"/>
        <v>4</v>
      </c>
      <c r="BB84" t="str">
        <f t="shared" si="58"/>
        <v>https://www.coreplan.io/app/ddh1-drilling/speewah-mining-speewah-fluorite-project-strike/plods/6174-250908D</v>
      </c>
      <c r="BC84" t="str">
        <f t="shared" si="56"/>
        <v>2025-09</v>
      </c>
    </row>
    <row r="85" spans="1:55">
      <c r="A85" s="510" t="e">
        <f>VLOOKUP(E85,'Tenement Lookup'!A:BH,60,FALSE)</f>
        <v>#N/A</v>
      </c>
      <c r="B85" t="s">
        <v>848</v>
      </c>
      <c r="D85" s="265">
        <v>45909</v>
      </c>
      <c r="I85" s="266" t="s">
        <v>711</v>
      </c>
      <c r="J85" s="266">
        <v>0</v>
      </c>
      <c r="K85" s="297">
        <f t="shared" si="57"/>
        <v>0</v>
      </c>
      <c r="L85" s="187"/>
      <c r="N85" s="4"/>
      <c r="R85" s="318">
        <f t="shared" si="36"/>
        <v>0</v>
      </c>
      <c r="S85" s="273">
        <f t="shared" si="38"/>
        <v>0</v>
      </c>
      <c r="T85" s="269">
        <v>0</v>
      </c>
      <c r="U85" s="295">
        <f t="shared" si="37"/>
        <v>0</v>
      </c>
      <c r="Z85" s="292">
        <f t="shared" si="50"/>
        <v>0</v>
      </c>
      <c r="AB85" s="271">
        <v>0</v>
      </c>
      <c r="AD85" s="271">
        <v>12</v>
      </c>
      <c r="AF85" s="416">
        <f t="shared" si="43"/>
        <v>12</v>
      </c>
      <c r="AG85" t="s">
        <v>849</v>
      </c>
      <c r="AH85" s="314">
        <f t="shared" si="44"/>
        <v>0</v>
      </c>
      <c r="AI85" s="312">
        <f t="shared" si="45"/>
        <v>0</v>
      </c>
      <c r="AJ85" s="313">
        <f t="shared" si="59"/>
        <v>0</v>
      </c>
      <c r="AK85" s="422">
        <v>53618.6</v>
      </c>
      <c r="AL85" s="309">
        <f t="shared" si="42"/>
        <v>53618.6</v>
      </c>
      <c r="AM85" s="309">
        <f t="shared" ca="1" si="47"/>
        <v>53618.6</v>
      </c>
      <c r="AN85" s="294">
        <v>53618.6</v>
      </c>
      <c r="AO85" s="11">
        <f t="shared" si="48"/>
        <v>53618.6</v>
      </c>
      <c r="AP85" s="361">
        <f t="shared" ca="1" si="49"/>
        <v>0</v>
      </c>
      <c r="AQ85" s="11">
        <f ca="1">IF(D85&gt;TODAY()-1,"",SUM($AM$6:AM85))</f>
        <v>1217632.2100000002</v>
      </c>
      <c r="AR85" s="11">
        <f ca="1">IF(AM85&lt;&gt;"", SUMIFS($AM$8:AM85, $BC$8:BC85, BC85), "")</f>
        <v>159840.66</v>
      </c>
      <c r="AU85" s="124" t="str">
        <f t="shared" ca="1" si="51"/>
        <v>LINK</v>
      </c>
      <c r="AV85" t="s">
        <v>850</v>
      </c>
      <c r="AW85" s="125" t="s">
        <v>664</v>
      </c>
      <c r="AX85" t="str">
        <f t="shared" si="52"/>
        <v>25</v>
      </c>
      <c r="AY85" t="str">
        <f t="shared" si="53"/>
        <v>09</v>
      </c>
      <c r="AZ85" s="98" t="str">
        <f t="shared" si="54"/>
        <v>09</v>
      </c>
      <c r="BA85" t="str">
        <f t="shared" si="55"/>
        <v>4</v>
      </c>
      <c r="BB85" t="str">
        <f t="shared" si="58"/>
        <v>https://www.coreplan.io/app/ddh1-drilling/speewah-mining-speewah-fluorite-project-strike/plods/6174-250909D</v>
      </c>
      <c r="BC85" t="str">
        <f t="shared" si="56"/>
        <v>2025-09</v>
      </c>
    </row>
    <row r="86" spans="1:55">
      <c r="A86" s="510" t="e">
        <f>VLOOKUP(E86,'Tenement Lookup'!A:BH,60,FALSE)</f>
        <v>#N/A</v>
      </c>
      <c r="B86" t="s">
        <v>848</v>
      </c>
      <c r="D86" s="265">
        <v>45910</v>
      </c>
      <c r="I86" s="266" t="s">
        <v>711</v>
      </c>
      <c r="K86" s="297"/>
      <c r="L86" s="187"/>
      <c r="N86" s="4"/>
      <c r="R86" s="318">
        <f t="shared" si="36"/>
        <v>0</v>
      </c>
      <c r="S86" s="273">
        <f t="shared" si="38"/>
        <v>0</v>
      </c>
      <c r="T86" s="269">
        <v>0</v>
      </c>
      <c r="U86" s="295">
        <f t="shared" si="37"/>
        <v>0</v>
      </c>
      <c r="Z86" s="292">
        <f t="shared" si="50"/>
        <v>0</v>
      </c>
      <c r="AD86" s="271">
        <v>12</v>
      </c>
      <c r="AF86" s="416">
        <f t="shared" si="43"/>
        <v>12</v>
      </c>
      <c r="AG86" t="s">
        <v>851</v>
      </c>
      <c r="AH86" s="314">
        <f t="shared" si="44"/>
        <v>0</v>
      </c>
      <c r="AI86" s="312">
        <f t="shared" si="45"/>
        <v>0</v>
      </c>
      <c r="AJ86" s="313">
        <f t="shared" si="59"/>
        <v>0</v>
      </c>
      <c r="AL86" s="309">
        <f t="shared" si="42"/>
        <v>0</v>
      </c>
      <c r="AM86" s="309">
        <f t="shared" ca="1" si="47"/>
        <v>0</v>
      </c>
      <c r="AO86" s="11"/>
      <c r="AP86" s="361" t="str">
        <f t="shared" ca="1" si="49"/>
        <v/>
      </c>
      <c r="AQ86" s="11">
        <f ca="1">IF(D86&gt;TODAY()-1,"",SUM($AM$6:AM86))</f>
        <v>1217632.2100000002</v>
      </c>
      <c r="AR86" s="11">
        <f ca="1">IF(AM86&lt;&gt;"", SUMIFS($AM$8:AM86, $BC$8:BC86, BC86), "")</f>
        <v>159840.66</v>
      </c>
      <c r="AU86" s="124" t="str">
        <f t="shared" ca="1" si="51"/>
        <v>LINK</v>
      </c>
      <c r="AV86" t="s">
        <v>852</v>
      </c>
      <c r="AW86" s="125" t="s">
        <v>664</v>
      </c>
      <c r="AX86" t="str">
        <f t="shared" si="52"/>
        <v>25</v>
      </c>
      <c r="AY86" t="str">
        <f t="shared" si="53"/>
        <v>09</v>
      </c>
      <c r="AZ86" s="98">
        <f t="shared" si="54"/>
        <v>10</v>
      </c>
      <c r="BA86" t="str">
        <f t="shared" si="55"/>
        <v>4</v>
      </c>
      <c r="BB86" t="str">
        <f t="shared" si="58"/>
        <v>https://www.coreplan.io/app/ddh1-drilling/speewah-mining-speewah-fluorite-project-strike/plods/6174-250910D</v>
      </c>
      <c r="BC86" t="str">
        <f t="shared" si="56"/>
        <v>2025-09</v>
      </c>
    </row>
    <row r="87" spans="1:55">
      <c r="A87" s="510" t="e">
        <f>VLOOKUP(E87,'Tenement Lookup'!A:BH,60,FALSE)</f>
        <v>#N/A</v>
      </c>
      <c r="D87" s="265"/>
      <c r="K87" s="297"/>
      <c r="L87" s="187"/>
      <c r="N87" s="4"/>
      <c r="R87" s="318"/>
      <c r="S87" s="273"/>
      <c r="T87" s="269"/>
      <c r="U87" s="295"/>
      <c r="AF87" s="416"/>
      <c r="AH87" s="314"/>
      <c r="AI87" s="312"/>
      <c r="AJ87" s="313"/>
      <c r="AO87" s="11"/>
      <c r="AQ87" s="11"/>
      <c r="AR87" s="11"/>
      <c r="AU87" s="124"/>
      <c r="AW87" s="125" t="s">
        <v>664</v>
      </c>
      <c r="AX87" t="str">
        <f t="shared" si="52"/>
        <v>00</v>
      </c>
      <c r="AY87" t="str">
        <f t="shared" si="53"/>
        <v>01</v>
      </c>
      <c r="AZ87" s="98" t="str">
        <f t="shared" si="54"/>
        <v>00</v>
      </c>
      <c r="BA87" t="str">
        <f t="shared" si="55"/>
        <v/>
      </c>
      <c r="BB87" t="str">
        <f t="shared" si="58"/>
        <v>https://www.coreplan.io/app/ddh1-drilling/speewah-mining-speewah-fluorite-project-strike/plods/6174-000100D</v>
      </c>
      <c r="BC87" t="str">
        <f t="shared" si="56"/>
        <v>1900-01</v>
      </c>
    </row>
    <row r="88" spans="1:55">
      <c r="A88" s="510" t="e">
        <f>VLOOKUP(E88,'Tenement Lookup'!A:BH,60,FALSE)</f>
        <v>#N/A</v>
      </c>
      <c r="D88" s="265"/>
      <c r="L88" s="187"/>
      <c r="N88" s="4"/>
      <c r="R88" s="318"/>
      <c r="S88" s="273"/>
      <c r="T88" s="269"/>
      <c r="U88" s="295"/>
      <c r="AF88" s="416"/>
      <c r="AH88" s="314"/>
      <c r="AI88" s="312"/>
      <c r="AJ88" s="313"/>
      <c r="AO88" s="11"/>
      <c r="AQ88" s="11"/>
      <c r="AR88" s="11"/>
      <c r="AU88" s="124"/>
      <c r="AW88" s="125" t="s">
        <v>664</v>
      </c>
      <c r="AX88" t="str">
        <f t="shared" si="52"/>
        <v>00</v>
      </c>
      <c r="AY88" t="str">
        <f t="shared" si="53"/>
        <v>01</v>
      </c>
      <c r="AZ88" s="98" t="str">
        <f t="shared" si="54"/>
        <v>00</v>
      </c>
      <c r="BA88" t="str">
        <f t="shared" si="55"/>
        <v/>
      </c>
      <c r="BB88" t="str">
        <f t="shared" si="58"/>
        <v>https://www.coreplan.io/app/ddh1-drilling/speewah-mining-speewah-fluorite-project-strike/plods/6174-000100D</v>
      </c>
      <c r="BC88" t="str">
        <f t="shared" si="56"/>
        <v>1900-01</v>
      </c>
    </row>
    <row r="89" spans="1:55">
      <c r="A89" s="510" t="e">
        <f>VLOOKUP(E89,'Tenement Lookup'!A:BH,60,FALSE)</f>
        <v>#N/A</v>
      </c>
      <c r="D89" s="265"/>
      <c r="L89" s="187"/>
      <c r="N89" s="4"/>
      <c r="R89" s="318"/>
      <c r="S89" s="273"/>
      <c r="T89" s="269"/>
      <c r="U89" s="295"/>
      <c r="AF89" s="416"/>
      <c r="AH89" s="314"/>
      <c r="AI89" s="312"/>
      <c r="AJ89" s="313"/>
      <c r="AO89" s="11"/>
      <c r="AQ89" s="11"/>
      <c r="AR89" s="11"/>
      <c r="AU89" s="124"/>
      <c r="AW89" s="125" t="s">
        <v>664</v>
      </c>
      <c r="AX89" t="str">
        <f t="shared" si="52"/>
        <v>00</v>
      </c>
      <c r="AY89" t="str">
        <f t="shared" si="53"/>
        <v>01</v>
      </c>
      <c r="AZ89" s="98" t="str">
        <f t="shared" si="54"/>
        <v>00</v>
      </c>
      <c r="BA89" t="str">
        <f t="shared" si="55"/>
        <v/>
      </c>
      <c r="BB89" t="str">
        <f t="shared" si="58"/>
        <v>https://www.coreplan.io/app/ddh1-drilling/speewah-mining-speewah-fluorite-project-strike/plods/6174-000100D</v>
      </c>
      <c r="BC89" t="str">
        <f t="shared" si="56"/>
        <v>1900-01</v>
      </c>
    </row>
    <row r="90" spans="1:55">
      <c r="A90" s="510" t="e">
        <f>VLOOKUP(E90,'Tenement Lookup'!A:BH,60,FALSE)</f>
        <v>#N/A</v>
      </c>
      <c r="D90" s="265"/>
      <c r="L90" s="187"/>
      <c r="N90" s="4"/>
      <c r="R90" s="318"/>
      <c r="S90" s="273"/>
      <c r="T90" s="269"/>
      <c r="U90" s="295"/>
      <c r="AF90" s="416"/>
      <c r="AH90" s="314"/>
      <c r="AI90" s="312"/>
      <c r="AJ90" s="313"/>
      <c r="AO90" s="11"/>
      <c r="AQ90" s="11"/>
      <c r="AR90" s="11"/>
      <c r="AU90" s="124"/>
      <c r="AW90" s="125" t="s">
        <v>664</v>
      </c>
      <c r="AX90" t="str">
        <f t="shared" si="52"/>
        <v>00</v>
      </c>
      <c r="AY90" t="str">
        <f t="shared" si="53"/>
        <v>01</v>
      </c>
      <c r="AZ90" s="98" t="str">
        <f t="shared" si="54"/>
        <v>00</v>
      </c>
      <c r="BA90" t="str">
        <f t="shared" si="55"/>
        <v/>
      </c>
      <c r="BB90" t="str">
        <f t="shared" si="58"/>
        <v>https://www.coreplan.io/app/ddh1-drilling/speewah-mining-speewah-fluorite-project-strike/plods/6174-000100D</v>
      </c>
      <c r="BC90" t="str">
        <f t="shared" si="56"/>
        <v>1900-01</v>
      </c>
    </row>
    <row r="91" spans="1:55">
      <c r="A91" s="510" t="e">
        <f>VLOOKUP(E91,'Tenement Lookup'!A:BH,60,FALSE)</f>
        <v>#N/A</v>
      </c>
      <c r="D91" s="265"/>
      <c r="L91" s="187"/>
      <c r="N91" s="4"/>
      <c r="R91" s="318"/>
      <c r="S91" s="273"/>
      <c r="T91" s="269"/>
      <c r="U91" s="295"/>
      <c r="AF91" s="416"/>
      <c r="AH91" s="314"/>
      <c r="AI91" s="312"/>
      <c r="AJ91" s="313"/>
      <c r="AO91" s="11"/>
      <c r="AQ91" s="11"/>
      <c r="AR91" s="11"/>
      <c r="AU91" s="124"/>
      <c r="AW91" s="125" t="s">
        <v>664</v>
      </c>
      <c r="AX91" t="str">
        <f t="shared" si="52"/>
        <v>00</v>
      </c>
      <c r="AY91" t="str">
        <f t="shared" si="53"/>
        <v>01</v>
      </c>
      <c r="AZ91" s="98" t="str">
        <f t="shared" si="54"/>
        <v>00</v>
      </c>
      <c r="BA91" t="str">
        <f t="shared" si="55"/>
        <v/>
      </c>
      <c r="BB91" t="str">
        <f t="shared" si="58"/>
        <v>https://www.coreplan.io/app/ddh1-drilling/speewah-mining-speewah-fluorite-project-strike/plods/6174-000100D</v>
      </c>
      <c r="BC91" t="str">
        <f t="shared" si="56"/>
        <v>1900-01</v>
      </c>
    </row>
    <row r="92" spans="1:55">
      <c r="A92" s="510" t="e">
        <f>VLOOKUP(E92,'Tenement Lookup'!A:BH,60,FALSE)</f>
        <v>#N/A</v>
      </c>
      <c r="D92" s="265"/>
      <c r="L92" s="187"/>
      <c r="N92" s="4"/>
      <c r="R92" s="318"/>
      <c r="S92" s="273"/>
      <c r="T92" s="269"/>
      <c r="U92" s="295"/>
      <c r="AF92" s="416"/>
      <c r="AH92" s="314"/>
      <c r="AI92" s="312"/>
      <c r="AJ92" s="313"/>
      <c r="AO92" s="11"/>
      <c r="AQ92" s="11"/>
      <c r="AR92" s="11"/>
      <c r="AU92" s="124"/>
      <c r="AW92" s="125" t="s">
        <v>664</v>
      </c>
      <c r="AX92" t="str">
        <f t="shared" si="52"/>
        <v>00</v>
      </c>
      <c r="AY92" t="str">
        <f t="shared" si="53"/>
        <v>01</v>
      </c>
      <c r="AZ92" s="98" t="str">
        <f t="shared" si="54"/>
        <v>00</v>
      </c>
      <c r="BA92" t="str">
        <f t="shared" si="55"/>
        <v/>
      </c>
      <c r="BB92" t="str">
        <f t="shared" si="58"/>
        <v>https://www.coreplan.io/app/ddh1-drilling/speewah-mining-speewah-fluorite-project-strike/plods/6174-000100D</v>
      </c>
      <c r="BC92" t="str">
        <f t="shared" si="56"/>
        <v>1900-01</v>
      </c>
    </row>
    <row r="93" spans="1:55">
      <c r="A93" s="510" t="e">
        <f>VLOOKUP(E93,'Tenement Lookup'!A:BH,60,FALSE)</f>
        <v>#N/A</v>
      </c>
      <c r="D93" s="265"/>
      <c r="L93" s="187"/>
      <c r="N93" s="4"/>
      <c r="R93" s="318"/>
      <c r="S93" s="273"/>
      <c r="T93" s="269"/>
      <c r="U93" s="295"/>
      <c r="AF93" s="416"/>
      <c r="AH93" s="314"/>
      <c r="AI93" s="312"/>
      <c r="AJ93" s="313"/>
      <c r="AO93" s="11"/>
      <c r="AQ93" s="11"/>
      <c r="AR93" s="11"/>
      <c r="AU93" s="124"/>
      <c r="AW93" s="125" t="s">
        <v>664</v>
      </c>
      <c r="AX93" t="str">
        <f t="shared" si="52"/>
        <v>00</v>
      </c>
      <c r="AY93" t="str">
        <f t="shared" si="53"/>
        <v>01</v>
      </c>
      <c r="AZ93" s="98" t="str">
        <f t="shared" si="54"/>
        <v>00</v>
      </c>
      <c r="BA93" t="str">
        <f t="shared" si="55"/>
        <v/>
      </c>
      <c r="BB93" t="str">
        <f t="shared" si="58"/>
        <v>https://www.coreplan.io/app/ddh1-drilling/speewah-mining-speewah-fluorite-project-strike/plods/6174-000100D</v>
      </c>
      <c r="BC93" t="str">
        <f t="shared" si="56"/>
        <v>1900-01</v>
      </c>
    </row>
    <row r="94" spans="1:55">
      <c r="A94" s="510" t="e">
        <f>VLOOKUP(E94,'Tenement Lookup'!A:BH,60,FALSE)</f>
        <v>#N/A</v>
      </c>
      <c r="D94" s="265"/>
      <c r="L94" s="187"/>
      <c r="N94" s="4"/>
      <c r="R94" s="318"/>
      <c r="S94" s="273"/>
      <c r="T94" s="269"/>
      <c r="U94" s="295"/>
      <c r="AF94" s="416"/>
      <c r="AH94" s="314"/>
      <c r="AI94" s="312"/>
      <c r="AJ94" s="313"/>
      <c r="AO94" s="11"/>
      <c r="AQ94" s="11"/>
      <c r="AR94" s="11"/>
      <c r="AU94" s="124"/>
      <c r="AW94" s="125" t="s">
        <v>664</v>
      </c>
      <c r="AX94" t="str">
        <f t="shared" si="52"/>
        <v>00</v>
      </c>
      <c r="AY94" t="str">
        <f t="shared" si="53"/>
        <v>01</v>
      </c>
      <c r="AZ94" s="98" t="str">
        <f t="shared" si="54"/>
        <v>00</v>
      </c>
      <c r="BA94" t="str">
        <f t="shared" si="55"/>
        <v/>
      </c>
      <c r="BB94" t="str">
        <f t="shared" si="58"/>
        <v>https://www.coreplan.io/app/ddh1-drilling/speewah-mining-speewah-fluorite-project-strike/plods/6174-000100D</v>
      </c>
      <c r="BC94" t="str">
        <f t="shared" si="56"/>
        <v>1900-01</v>
      </c>
    </row>
    <row r="95" spans="1:55">
      <c r="A95" s="510" t="e">
        <f>VLOOKUP(E95,'Tenement Lookup'!A:BH,60,FALSE)</f>
        <v>#N/A</v>
      </c>
      <c r="D95" s="265"/>
      <c r="L95" s="187"/>
      <c r="N95" s="4"/>
      <c r="R95" s="318"/>
      <c r="S95" s="273"/>
      <c r="T95" s="269"/>
      <c r="U95" s="295"/>
      <c r="AF95" s="416"/>
      <c r="AH95" s="314"/>
      <c r="AI95" s="312"/>
      <c r="AJ95" s="313"/>
      <c r="AO95" s="11"/>
      <c r="AQ95" s="11"/>
      <c r="AR95" s="11"/>
      <c r="AU95" s="124"/>
      <c r="AW95" s="125" t="s">
        <v>664</v>
      </c>
      <c r="AX95" t="str">
        <f t="shared" si="52"/>
        <v>00</v>
      </c>
      <c r="AY95" t="str">
        <f t="shared" si="53"/>
        <v>01</v>
      </c>
      <c r="AZ95" s="98" t="str">
        <f t="shared" si="54"/>
        <v>00</v>
      </c>
      <c r="BA95" t="str">
        <f t="shared" si="55"/>
        <v/>
      </c>
      <c r="BB95" t="str">
        <f t="shared" si="58"/>
        <v>https://www.coreplan.io/app/ddh1-drilling/speewah-mining-speewah-fluorite-project-strike/plods/6174-000100D</v>
      </c>
      <c r="BC95" t="str">
        <f t="shared" si="56"/>
        <v>1900-01</v>
      </c>
    </row>
    <row r="96" spans="1:55">
      <c r="A96" s="510" t="e">
        <f>VLOOKUP(E96,'Tenement Lookup'!A:BH,60,FALSE)</f>
        <v>#N/A</v>
      </c>
      <c r="D96" s="265"/>
      <c r="L96" s="187"/>
      <c r="N96" s="4"/>
      <c r="R96" s="318"/>
      <c r="S96" s="273"/>
      <c r="T96" s="269"/>
      <c r="U96" s="295"/>
      <c r="AF96" s="416"/>
      <c r="AH96" s="314"/>
      <c r="AI96" s="312"/>
      <c r="AJ96" s="313"/>
      <c r="AO96" s="11"/>
      <c r="AQ96" s="11"/>
      <c r="AR96" s="11"/>
      <c r="AU96" s="124"/>
      <c r="AW96" s="125" t="s">
        <v>664</v>
      </c>
      <c r="AX96" t="str">
        <f t="shared" si="52"/>
        <v>00</v>
      </c>
      <c r="AY96" t="str">
        <f t="shared" si="53"/>
        <v>01</v>
      </c>
      <c r="AZ96" s="98" t="str">
        <f t="shared" si="54"/>
        <v>00</v>
      </c>
      <c r="BA96" t="str">
        <f t="shared" si="55"/>
        <v/>
      </c>
      <c r="BB96" t="str">
        <f t="shared" si="58"/>
        <v>https://www.coreplan.io/app/ddh1-drilling/speewah-mining-speewah-fluorite-project-strike/plods/6174-000100D</v>
      </c>
      <c r="BC96" t="str">
        <f t="shared" si="56"/>
        <v>1900-01</v>
      </c>
    </row>
    <row r="97" spans="1:55">
      <c r="A97" s="510" t="e">
        <f>VLOOKUP(E97,'Tenement Lookup'!A:BH,60,FALSE)</f>
        <v>#N/A</v>
      </c>
      <c r="D97" s="265"/>
      <c r="L97" s="187"/>
      <c r="N97" s="4"/>
      <c r="R97" s="318"/>
      <c r="S97" s="273"/>
      <c r="T97" s="269"/>
      <c r="U97" s="295"/>
      <c r="AF97" s="416"/>
      <c r="AH97" s="314"/>
      <c r="AI97" s="312"/>
      <c r="AJ97" s="313"/>
      <c r="AO97" s="11"/>
      <c r="AQ97" s="11"/>
      <c r="AR97" s="11"/>
      <c r="AU97" s="124"/>
      <c r="AW97" s="125" t="s">
        <v>664</v>
      </c>
      <c r="AX97" t="str">
        <f t="shared" si="52"/>
        <v>00</v>
      </c>
      <c r="AY97" t="str">
        <f t="shared" si="53"/>
        <v>01</v>
      </c>
      <c r="AZ97" s="98" t="str">
        <f t="shared" si="54"/>
        <v>00</v>
      </c>
      <c r="BA97" t="str">
        <f t="shared" si="55"/>
        <v/>
      </c>
      <c r="BB97" t="str">
        <f t="shared" si="58"/>
        <v>https://www.coreplan.io/app/ddh1-drilling/speewah-mining-speewah-fluorite-project-strike/plods/6174-000100D</v>
      </c>
      <c r="BC97" t="str">
        <f t="shared" si="56"/>
        <v>1900-01</v>
      </c>
    </row>
    <row r="98" spans="1:55">
      <c r="A98" s="510" t="e">
        <f>VLOOKUP(E98,'Tenement Lookup'!A:BH,60,FALSE)</f>
        <v>#N/A</v>
      </c>
      <c r="D98" s="265"/>
      <c r="L98" s="187"/>
      <c r="N98" s="4"/>
      <c r="R98" s="318"/>
      <c r="S98" s="273"/>
      <c r="T98" s="269"/>
      <c r="U98" s="295"/>
      <c r="AF98" s="416"/>
      <c r="AH98" s="314"/>
      <c r="AI98" s="312"/>
      <c r="AJ98" s="313"/>
      <c r="AO98" s="11"/>
      <c r="AQ98" s="11"/>
      <c r="AR98" s="11"/>
      <c r="AU98" s="124"/>
      <c r="AW98" s="125" t="s">
        <v>664</v>
      </c>
      <c r="AX98" t="str">
        <f t="shared" si="52"/>
        <v>00</v>
      </c>
      <c r="AY98" t="str">
        <f t="shared" si="53"/>
        <v>01</v>
      </c>
      <c r="AZ98" s="98" t="str">
        <f t="shared" si="54"/>
        <v>00</v>
      </c>
      <c r="BA98" t="str">
        <f t="shared" si="55"/>
        <v/>
      </c>
      <c r="BB98" t="str">
        <f t="shared" si="58"/>
        <v>https://www.coreplan.io/app/ddh1-drilling/speewah-mining-speewah-fluorite-project-strike/plods/6174-000100D</v>
      </c>
      <c r="BC98" t="str">
        <f t="shared" si="56"/>
        <v>1900-01</v>
      </c>
    </row>
    <row r="99" spans="1:55">
      <c r="A99" s="510" t="e">
        <f>VLOOKUP(E99,'Tenement Lookup'!A:BH,60,FALSE)</f>
        <v>#N/A</v>
      </c>
      <c r="D99" s="265"/>
      <c r="L99" s="187"/>
      <c r="N99" s="4"/>
      <c r="R99" s="318"/>
      <c r="S99" s="273"/>
      <c r="T99" s="269"/>
      <c r="U99" s="295"/>
      <c r="AF99" s="416"/>
      <c r="AH99" s="314"/>
      <c r="AI99" s="312"/>
      <c r="AJ99" s="313"/>
      <c r="AO99" s="11"/>
      <c r="AQ99" s="11"/>
      <c r="AR99" s="11"/>
      <c r="AU99" s="124"/>
      <c r="AW99" s="125" t="s">
        <v>664</v>
      </c>
      <c r="AX99" t="str">
        <f t="shared" si="52"/>
        <v>00</v>
      </c>
      <c r="AY99" t="str">
        <f t="shared" si="53"/>
        <v>01</v>
      </c>
      <c r="AZ99" s="98" t="str">
        <f t="shared" si="54"/>
        <v>00</v>
      </c>
      <c r="BA99" t="str">
        <f t="shared" si="55"/>
        <v/>
      </c>
      <c r="BB99" t="str">
        <f t="shared" si="58"/>
        <v>https://www.coreplan.io/app/ddh1-drilling/speewah-mining-speewah-fluorite-project-strike/plods/6174-000100D</v>
      </c>
      <c r="BC99" t="str">
        <f t="shared" si="56"/>
        <v>1900-01</v>
      </c>
    </row>
    <row r="100" spans="1:55">
      <c r="A100" s="510" t="e">
        <f>VLOOKUP(E100,'Tenement Lookup'!A:BH,60,FALSE)</f>
        <v>#N/A</v>
      </c>
      <c r="D100" s="265"/>
      <c r="L100" s="187"/>
      <c r="N100" s="4"/>
      <c r="R100" s="318"/>
      <c r="S100" s="273"/>
      <c r="T100" s="269"/>
      <c r="U100" s="295"/>
      <c r="AF100" s="416"/>
      <c r="AH100" s="314"/>
      <c r="AI100" s="312"/>
      <c r="AJ100" s="313"/>
      <c r="AO100" s="11"/>
      <c r="AQ100" s="11"/>
      <c r="AR100" s="11"/>
      <c r="AU100" s="124"/>
      <c r="AW100" s="125" t="s">
        <v>664</v>
      </c>
      <c r="AX100" t="str">
        <f t="shared" si="52"/>
        <v>00</v>
      </c>
      <c r="AY100" t="str">
        <f t="shared" si="53"/>
        <v>01</v>
      </c>
      <c r="AZ100" s="98" t="str">
        <f t="shared" si="54"/>
        <v>00</v>
      </c>
      <c r="BA100" t="str">
        <f t="shared" si="55"/>
        <v/>
      </c>
      <c r="BB100" t="str">
        <f t="shared" si="58"/>
        <v>https://www.coreplan.io/app/ddh1-drilling/speewah-mining-speewah-fluorite-project-strike/plods/6174-000100D</v>
      </c>
      <c r="BC100" t="str">
        <f t="shared" si="56"/>
        <v>1900-01</v>
      </c>
    </row>
    <row r="101" spans="1:55">
      <c r="A101" s="510" t="e">
        <f>VLOOKUP(E101,'Tenement Lookup'!A:BH,60,FALSE)</f>
        <v>#N/A</v>
      </c>
      <c r="D101" s="265"/>
      <c r="L101" s="187"/>
      <c r="N101" s="4"/>
      <c r="R101" s="318"/>
      <c r="S101" s="273"/>
      <c r="T101" s="269"/>
      <c r="U101" s="295"/>
      <c r="AF101" s="416"/>
      <c r="AH101" s="314"/>
      <c r="AI101" s="312"/>
      <c r="AJ101" s="313"/>
      <c r="AO101" s="11"/>
      <c r="AQ101" s="11"/>
      <c r="AR101" s="11"/>
      <c r="AU101" s="124"/>
      <c r="AW101" s="125" t="s">
        <v>664</v>
      </c>
      <c r="AX101" t="str">
        <f t="shared" si="52"/>
        <v>00</v>
      </c>
      <c r="AY101" t="str">
        <f t="shared" si="53"/>
        <v>01</v>
      </c>
      <c r="AZ101" s="98" t="str">
        <f t="shared" si="54"/>
        <v>00</v>
      </c>
      <c r="BA101" t="str">
        <f t="shared" si="55"/>
        <v/>
      </c>
      <c r="BB101" t="str">
        <f t="shared" si="58"/>
        <v>https://www.coreplan.io/app/ddh1-drilling/speewah-mining-speewah-fluorite-project-strike/plods/6174-000100D</v>
      </c>
      <c r="BC101" t="str">
        <f t="shared" si="56"/>
        <v>1900-01</v>
      </c>
    </row>
    <row r="102" spans="1:55">
      <c r="A102" s="510" t="e">
        <f>VLOOKUP(E102,'Tenement Lookup'!A:BH,60,FALSE)</f>
        <v>#N/A</v>
      </c>
      <c r="D102" s="265"/>
      <c r="L102" s="187"/>
      <c r="N102" s="4"/>
      <c r="R102" s="318"/>
      <c r="S102" s="273"/>
      <c r="T102" s="269"/>
      <c r="U102" s="295"/>
      <c r="AF102" s="416"/>
      <c r="AH102" s="314"/>
      <c r="AI102" s="312"/>
      <c r="AJ102" s="313"/>
      <c r="AO102" s="11"/>
      <c r="AQ102" s="11"/>
      <c r="AR102" s="11"/>
      <c r="AU102" s="124"/>
      <c r="AW102" s="125" t="s">
        <v>664</v>
      </c>
      <c r="AX102" t="str">
        <f t="shared" si="52"/>
        <v>00</v>
      </c>
      <c r="AY102" t="str">
        <f t="shared" si="53"/>
        <v>01</v>
      </c>
      <c r="AZ102" s="98" t="str">
        <f t="shared" si="54"/>
        <v>00</v>
      </c>
      <c r="BA102" t="str">
        <f t="shared" si="55"/>
        <v/>
      </c>
      <c r="BB102" t="str">
        <f t="shared" si="58"/>
        <v>https://www.coreplan.io/app/ddh1-drilling/speewah-mining-speewah-fluorite-project-strike/plods/6174-000100D</v>
      </c>
      <c r="BC102" t="str">
        <f t="shared" si="56"/>
        <v>1900-01</v>
      </c>
    </row>
    <row r="103" spans="1:55">
      <c r="A103" s="510" t="e">
        <f>VLOOKUP(E103,'Tenement Lookup'!A:BH,60,FALSE)</f>
        <v>#N/A</v>
      </c>
      <c r="D103" s="265"/>
      <c r="L103" s="187"/>
      <c r="N103" s="4"/>
      <c r="R103" s="318"/>
      <c r="S103" s="273"/>
      <c r="T103" s="269"/>
      <c r="U103" s="295"/>
      <c r="AF103" s="416"/>
      <c r="AH103" s="314"/>
      <c r="AI103" s="312"/>
      <c r="AJ103" s="313"/>
      <c r="AO103" s="11"/>
      <c r="AQ103" s="11"/>
      <c r="AR103" s="11"/>
      <c r="AU103" s="124"/>
      <c r="AW103" s="125" t="s">
        <v>664</v>
      </c>
      <c r="AX103" t="str">
        <f t="shared" si="52"/>
        <v>00</v>
      </c>
      <c r="AY103" t="str">
        <f t="shared" si="53"/>
        <v>01</v>
      </c>
      <c r="AZ103" s="98" t="str">
        <f t="shared" si="54"/>
        <v>00</v>
      </c>
      <c r="BA103" t="str">
        <f t="shared" si="55"/>
        <v/>
      </c>
      <c r="BB103" t="str">
        <f t="shared" si="58"/>
        <v>https://www.coreplan.io/app/ddh1-drilling/speewah-mining-speewah-fluorite-project-strike/plods/6174-000100D</v>
      </c>
      <c r="BC103" t="str">
        <f t="shared" si="56"/>
        <v>1900-01</v>
      </c>
    </row>
    <row r="104" spans="1:55">
      <c r="A104" s="510" t="e">
        <f>VLOOKUP(E104,'Tenement Lookup'!A:BH,60,FALSE)</f>
        <v>#N/A</v>
      </c>
      <c r="D104" s="265"/>
      <c r="L104" s="187"/>
      <c r="N104" s="4"/>
      <c r="R104" s="318"/>
      <c r="S104" s="273"/>
      <c r="T104" s="269"/>
      <c r="U104" s="295"/>
      <c r="AF104" s="416"/>
      <c r="AH104" s="314"/>
      <c r="AI104" s="312"/>
      <c r="AJ104" s="313"/>
      <c r="AO104" s="11"/>
      <c r="AQ104" s="11"/>
      <c r="AR104" s="11"/>
      <c r="AU104" s="124"/>
      <c r="AW104" s="125" t="s">
        <v>664</v>
      </c>
      <c r="AX104" t="str">
        <f t="shared" ref="AX104:AX137" si="60">RIGHT(YEAR(D104),2)</f>
        <v>00</v>
      </c>
      <c r="AY104" t="str">
        <f t="shared" si="53"/>
        <v>01</v>
      </c>
      <c r="AZ104" s="98" t="str">
        <f t="shared" ref="AZ104:AZ137" si="61">IF(LEN(DAY(D104))=1,_xlfn.TEXTJOIN(,,"0",DAY(D104)),DAY(D104))</f>
        <v>00</v>
      </c>
      <c r="BA104" t="str">
        <f t="shared" ref="BA104:BA137" si="62">LEFT(D104,1)</f>
        <v/>
      </c>
      <c r="BB104" t="str">
        <f t="shared" si="58"/>
        <v>https://www.coreplan.io/app/ddh1-drilling/speewah-mining-speewah-fluorite-project-strike/plods/6174-000100D</v>
      </c>
      <c r="BC104" t="str">
        <f t="shared" ref="BC104:BC137" si="63">TEXT(D104, "yyyy-mm")</f>
        <v>1900-01</v>
      </c>
    </row>
    <row r="105" spans="1:55">
      <c r="A105" s="510" t="e">
        <f>VLOOKUP(E105,'Tenement Lookup'!A:BH,60,FALSE)</f>
        <v>#N/A</v>
      </c>
      <c r="D105" s="265"/>
      <c r="L105" s="187"/>
      <c r="N105" s="4"/>
      <c r="R105" s="318"/>
      <c r="S105" s="273"/>
      <c r="T105" s="269"/>
      <c r="U105" s="295"/>
      <c r="AF105" s="416"/>
      <c r="AH105" s="314"/>
      <c r="AI105" s="312"/>
      <c r="AJ105" s="313"/>
      <c r="AO105" s="11"/>
      <c r="AQ105" s="11"/>
      <c r="AR105" s="11"/>
      <c r="AU105" s="124"/>
      <c r="AW105" s="125" t="s">
        <v>664</v>
      </c>
      <c r="AX105" t="str">
        <f t="shared" si="60"/>
        <v>00</v>
      </c>
      <c r="AY105" t="str">
        <f t="shared" si="53"/>
        <v>01</v>
      </c>
      <c r="AZ105" s="98" t="str">
        <f t="shared" si="61"/>
        <v>00</v>
      </c>
      <c r="BA105" t="str">
        <f t="shared" si="62"/>
        <v/>
      </c>
      <c r="BB105" t="str">
        <f t="shared" si="58"/>
        <v>https://www.coreplan.io/app/ddh1-drilling/speewah-mining-speewah-fluorite-project-strike/plods/6174-000100D</v>
      </c>
      <c r="BC105" t="str">
        <f t="shared" si="63"/>
        <v>1900-01</v>
      </c>
    </row>
    <row r="106" spans="1:55">
      <c r="A106" s="510" t="e">
        <f>VLOOKUP(E106,'Tenement Lookup'!A:BH,60,FALSE)</f>
        <v>#N/A</v>
      </c>
      <c r="D106" s="265"/>
      <c r="L106" s="187"/>
      <c r="N106" s="4"/>
      <c r="R106" s="318"/>
      <c r="S106" s="273"/>
      <c r="T106" s="269"/>
      <c r="U106" s="295"/>
      <c r="AF106" s="416"/>
      <c r="AH106" s="314"/>
      <c r="AI106" s="312"/>
      <c r="AJ106" s="313"/>
      <c r="AO106" s="11"/>
      <c r="AQ106" s="11"/>
      <c r="AR106" s="11"/>
      <c r="AU106" s="124"/>
      <c r="AW106" s="125" t="s">
        <v>664</v>
      </c>
      <c r="AX106" t="str">
        <f t="shared" si="60"/>
        <v>00</v>
      </c>
      <c r="AY106" t="str">
        <f t="shared" si="53"/>
        <v>01</v>
      </c>
      <c r="AZ106" s="98" t="str">
        <f t="shared" si="61"/>
        <v>00</v>
      </c>
      <c r="BA106" t="str">
        <f t="shared" si="62"/>
        <v/>
      </c>
      <c r="BB106" t="str">
        <f t="shared" si="58"/>
        <v>https://www.coreplan.io/app/ddh1-drilling/speewah-mining-speewah-fluorite-project-strike/plods/6174-000100D</v>
      </c>
      <c r="BC106" t="str">
        <f t="shared" si="63"/>
        <v>1900-01</v>
      </c>
    </row>
    <row r="107" spans="1:55">
      <c r="A107" s="510" t="e">
        <f>VLOOKUP(E107,'Tenement Lookup'!A:BH,60,FALSE)</f>
        <v>#N/A</v>
      </c>
      <c r="D107" s="265">
        <v>45931</v>
      </c>
      <c r="L107" s="187"/>
      <c r="N107" s="4"/>
      <c r="R107" s="318">
        <f t="shared" ref="R107:R168" si="64">L107+M107+N107+O107+P107+Q107</f>
        <v>0</v>
      </c>
      <c r="S107" s="273">
        <f t="shared" ref="S107:S169" si="65">(L107*$L$3)+(M107*$M$3)+(N107*$N$3)+(O107*$O$3)+(P107*$P$3)+(Q107*$Q$3)</f>
        <v>0</v>
      </c>
      <c r="T107" s="269">
        <v>0</v>
      </c>
      <c r="U107" s="295">
        <f t="shared" ref="U107:U168" si="66">IF(S107&lt;(T107*$T$3),(T107*$T$3),S107)</f>
        <v>0</v>
      </c>
      <c r="Z107" s="292">
        <f t="shared" si="50"/>
        <v>0</v>
      </c>
      <c r="AF107" s="416">
        <f t="shared" si="43"/>
        <v>0</v>
      </c>
      <c r="AH107" s="314">
        <f t="shared" si="44"/>
        <v>0</v>
      </c>
      <c r="AI107" s="312">
        <f t="shared" si="45"/>
        <v>0</v>
      </c>
      <c r="AJ107" s="313">
        <f t="shared" si="59"/>
        <v>0</v>
      </c>
      <c r="AL107" s="309">
        <f t="shared" ref="AL107:AL131" si="67">AK107-K107</f>
        <v>0</v>
      </c>
      <c r="AM107" s="309">
        <f t="shared" ca="1" si="47"/>
        <v>0</v>
      </c>
      <c r="AO107" s="11"/>
      <c r="AP107" s="361" t="str">
        <f t="shared" ca="1" si="49"/>
        <v/>
      </c>
      <c r="AQ107" s="11">
        <f ca="1">IF(D107&gt;TODAY()-1,"",SUM($AM$6:AM107))</f>
        <v>1217632.2100000002</v>
      </c>
      <c r="AR107" s="11">
        <f ca="1">IF(AM107&lt;&gt;"", SUMIFS($AM$8:AM107, $BC$8:BC107, BC107), "")</f>
        <v>0</v>
      </c>
      <c r="AU107" s="124" t="str">
        <f t="shared" ca="1" si="51"/>
        <v>LINK</v>
      </c>
      <c r="AW107" s="125" t="s">
        <v>664</v>
      </c>
      <c r="AX107" t="str">
        <f t="shared" si="60"/>
        <v>25</v>
      </c>
      <c r="AY107" t="str">
        <f t="shared" ref="AY107:AY137" si="68">_xlfn.TEXTJOIN(,TRUE,MONTH(D107))</f>
        <v>10</v>
      </c>
      <c r="AZ107" s="98" t="str">
        <f t="shared" si="61"/>
        <v>01</v>
      </c>
      <c r="BA107" t="str">
        <f t="shared" si="62"/>
        <v>4</v>
      </c>
      <c r="BB107" t="str">
        <f t="shared" si="58"/>
        <v>https://www.coreplan.io/app/ddh1-drilling/speewah-mining-speewah-fluorite-project-strike/plods/6174-251001D</v>
      </c>
      <c r="BC107" t="str">
        <f t="shared" si="63"/>
        <v>2025-10</v>
      </c>
    </row>
    <row r="108" spans="1:55">
      <c r="A108" s="510" t="e">
        <f>VLOOKUP(E108,'Tenement Lookup'!A:BH,60,FALSE)</f>
        <v>#N/A</v>
      </c>
      <c r="D108" s="265">
        <v>45932</v>
      </c>
      <c r="L108" s="187"/>
      <c r="N108" s="4"/>
      <c r="R108" s="318">
        <f t="shared" si="64"/>
        <v>0</v>
      </c>
      <c r="S108" s="273">
        <f t="shared" si="65"/>
        <v>0</v>
      </c>
      <c r="T108" s="269">
        <v>0</v>
      </c>
      <c r="U108" s="295">
        <f t="shared" si="66"/>
        <v>0</v>
      </c>
      <c r="Z108" s="292">
        <f t="shared" si="50"/>
        <v>0</v>
      </c>
      <c r="AF108" s="416">
        <f t="shared" si="43"/>
        <v>0</v>
      </c>
      <c r="AH108" s="314">
        <f t="shared" si="44"/>
        <v>0</v>
      </c>
      <c r="AI108" s="312">
        <f t="shared" si="45"/>
        <v>0</v>
      </c>
      <c r="AJ108" s="313">
        <f t="shared" si="59"/>
        <v>0</v>
      </c>
      <c r="AL108" s="309">
        <f t="shared" si="67"/>
        <v>0</v>
      </c>
      <c r="AM108" s="309">
        <f t="shared" ca="1" si="47"/>
        <v>0</v>
      </c>
      <c r="AO108" s="11"/>
      <c r="AP108" s="361" t="str">
        <f t="shared" ca="1" si="49"/>
        <v/>
      </c>
      <c r="AQ108" s="11">
        <f ca="1">IF(D108&gt;TODAY()-1,"",SUM($AM$6:AM108))</f>
        <v>1217632.2100000002</v>
      </c>
      <c r="AR108" s="11">
        <f ca="1">IF(AM108&lt;&gt;"", SUMIFS($AM$8:AM108, $BC$8:BC108, BC108), "")</f>
        <v>0</v>
      </c>
      <c r="AU108" s="124" t="str">
        <f t="shared" ca="1" si="51"/>
        <v>LINK</v>
      </c>
      <c r="AW108" s="125" t="s">
        <v>664</v>
      </c>
      <c r="AX108" t="str">
        <f t="shared" si="60"/>
        <v>25</v>
      </c>
      <c r="AY108" t="str">
        <f t="shared" si="68"/>
        <v>10</v>
      </c>
      <c r="AZ108" s="98" t="str">
        <f t="shared" si="61"/>
        <v>02</v>
      </c>
      <c r="BA108" t="str">
        <f t="shared" si="62"/>
        <v>4</v>
      </c>
      <c r="BB108" t="str">
        <f t="shared" si="58"/>
        <v>https://www.coreplan.io/app/ddh1-drilling/speewah-mining-speewah-fluorite-project-strike/plods/6174-251002D</v>
      </c>
      <c r="BC108" t="str">
        <f t="shared" si="63"/>
        <v>2025-10</v>
      </c>
    </row>
    <row r="109" spans="1:55">
      <c r="A109" s="510" t="e">
        <f>VLOOKUP(E109,'Tenement Lookup'!A:BH,60,FALSE)</f>
        <v>#N/A</v>
      </c>
      <c r="D109" s="265">
        <v>45933</v>
      </c>
      <c r="L109" s="187"/>
      <c r="N109" s="4"/>
      <c r="R109" s="318">
        <f t="shared" si="64"/>
        <v>0</v>
      </c>
      <c r="S109" s="273">
        <f t="shared" si="65"/>
        <v>0</v>
      </c>
      <c r="T109" s="269">
        <v>0</v>
      </c>
      <c r="U109" s="295">
        <f t="shared" si="66"/>
        <v>0</v>
      </c>
      <c r="Z109" s="292">
        <f t="shared" si="50"/>
        <v>0</v>
      </c>
      <c r="AF109" s="416">
        <f t="shared" si="43"/>
        <v>0</v>
      </c>
      <c r="AH109" s="314">
        <f t="shared" si="44"/>
        <v>0</v>
      </c>
      <c r="AI109" s="312">
        <f t="shared" si="45"/>
        <v>0</v>
      </c>
      <c r="AJ109" s="313">
        <f t="shared" si="59"/>
        <v>0</v>
      </c>
      <c r="AL109" s="309">
        <f t="shared" si="67"/>
        <v>0</v>
      </c>
      <c r="AM109" s="309">
        <f t="shared" ca="1" si="47"/>
        <v>0</v>
      </c>
      <c r="AO109" s="11"/>
      <c r="AP109" s="361" t="str">
        <f t="shared" ca="1" si="49"/>
        <v/>
      </c>
      <c r="AQ109" s="11">
        <f ca="1">IF(D109&gt;TODAY()-1,"",SUM($AM$6:AM109))</f>
        <v>1217632.2100000002</v>
      </c>
      <c r="AR109" s="11">
        <f ca="1">IF(AM109&lt;&gt;"", SUMIFS($AM$8:AM109, $BC$8:BC109, BC109), "")</f>
        <v>0</v>
      </c>
      <c r="AU109" s="124" t="str">
        <f t="shared" ca="1" si="51"/>
        <v>LINK</v>
      </c>
      <c r="AW109" s="125" t="s">
        <v>664</v>
      </c>
      <c r="AX109" t="str">
        <f t="shared" si="60"/>
        <v>25</v>
      </c>
      <c r="AY109" t="str">
        <f t="shared" si="68"/>
        <v>10</v>
      </c>
      <c r="AZ109" s="98" t="str">
        <f t="shared" si="61"/>
        <v>03</v>
      </c>
      <c r="BA109" t="str">
        <f t="shared" si="62"/>
        <v>4</v>
      </c>
      <c r="BB109" t="str">
        <f t="shared" si="58"/>
        <v>https://www.coreplan.io/app/ddh1-drilling/speewah-mining-speewah-fluorite-project-strike/plods/6174-251003D</v>
      </c>
      <c r="BC109" t="str">
        <f t="shared" si="63"/>
        <v>2025-10</v>
      </c>
    </row>
    <row r="110" spans="1:55">
      <c r="A110" s="510" t="e">
        <f>VLOOKUP(E110,'Tenement Lookup'!A:BH,60,FALSE)</f>
        <v>#N/A</v>
      </c>
      <c r="D110" s="265">
        <v>45934</v>
      </c>
      <c r="L110" s="187"/>
      <c r="N110" s="4"/>
      <c r="R110" s="318">
        <f t="shared" si="64"/>
        <v>0</v>
      </c>
      <c r="S110" s="273">
        <f t="shared" si="65"/>
        <v>0</v>
      </c>
      <c r="T110" s="269">
        <v>0</v>
      </c>
      <c r="U110" s="295">
        <f t="shared" si="66"/>
        <v>0</v>
      </c>
      <c r="Z110" s="292">
        <f t="shared" si="50"/>
        <v>0</v>
      </c>
      <c r="AF110" s="416">
        <f t="shared" si="43"/>
        <v>0</v>
      </c>
      <c r="AH110" s="314">
        <f t="shared" si="44"/>
        <v>0</v>
      </c>
      <c r="AI110" s="312">
        <f t="shared" si="45"/>
        <v>0</v>
      </c>
      <c r="AJ110" s="313">
        <f t="shared" si="59"/>
        <v>0</v>
      </c>
      <c r="AL110" s="309">
        <f t="shared" si="67"/>
        <v>0</v>
      </c>
      <c r="AM110" s="309">
        <f t="shared" ca="1" si="47"/>
        <v>0</v>
      </c>
      <c r="AO110" s="11"/>
      <c r="AP110" s="361" t="str">
        <f t="shared" ca="1" si="49"/>
        <v/>
      </c>
      <c r="AQ110" s="11">
        <f ca="1">IF(D110&gt;TODAY()-1,"",SUM($AM$6:AM110))</f>
        <v>1217632.2100000002</v>
      </c>
      <c r="AR110" s="11">
        <f ca="1">IF(AM110&lt;&gt;"", SUMIFS($AM$8:AM110, $BC$8:BC110, BC110), "")</f>
        <v>0</v>
      </c>
      <c r="AU110" s="124" t="str">
        <f t="shared" ca="1" si="51"/>
        <v>LINK</v>
      </c>
      <c r="AW110" s="125" t="s">
        <v>664</v>
      </c>
      <c r="AX110" t="str">
        <f t="shared" si="60"/>
        <v>25</v>
      </c>
      <c r="AY110" t="str">
        <f t="shared" si="68"/>
        <v>10</v>
      </c>
      <c r="AZ110" s="98" t="str">
        <f t="shared" si="61"/>
        <v>04</v>
      </c>
      <c r="BA110" t="str">
        <f t="shared" si="62"/>
        <v>4</v>
      </c>
      <c r="BB110" t="str">
        <f t="shared" si="58"/>
        <v>https://www.coreplan.io/app/ddh1-drilling/speewah-mining-speewah-fluorite-project-strike/plods/6174-251004D</v>
      </c>
      <c r="BC110" t="str">
        <f t="shared" si="63"/>
        <v>2025-10</v>
      </c>
    </row>
    <row r="111" spans="1:55">
      <c r="A111" s="510" t="e">
        <f>VLOOKUP(E111,'Tenement Lookup'!A:BH,60,FALSE)</f>
        <v>#N/A</v>
      </c>
      <c r="D111" s="265">
        <v>45935</v>
      </c>
      <c r="L111" s="187"/>
      <c r="N111" s="4"/>
      <c r="R111" s="318">
        <f t="shared" si="64"/>
        <v>0</v>
      </c>
      <c r="S111" s="273">
        <f t="shared" si="65"/>
        <v>0</v>
      </c>
      <c r="T111" s="269">
        <v>0</v>
      </c>
      <c r="U111" s="295">
        <f t="shared" si="66"/>
        <v>0</v>
      </c>
      <c r="Z111" s="292">
        <f t="shared" si="50"/>
        <v>0</v>
      </c>
      <c r="AF111" s="416">
        <f t="shared" si="43"/>
        <v>0</v>
      </c>
      <c r="AH111" s="314">
        <f t="shared" si="44"/>
        <v>0</v>
      </c>
      <c r="AI111" s="312">
        <f t="shared" si="45"/>
        <v>0</v>
      </c>
      <c r="AJ111" s="313">
        <f t="shared" si="59"/>
        <v>0</v>
      </c>
      <c r="AL111" s="309">
        <f t="shared" si="67"/>
        <v>0</v>
      </c>
      <c r="AM111" s="309">
        <f t="shared" ca="1" si="47"/>
        <v>0</v>
      </c>
      <c r="AO111" s="11"/>
      <c r="AP111" s="361" t="str">
        <f t="shared" ca="1" si="49"/>
        <v/>
      </c>
      <c r="AQ111" s="11">
        <f ca="1">IF(D111&gt;TODAY()-1,"",SUM($AM$6:AM111))</f>
        <v>1217632.2100000002</v>
      </c>
      <c r="AR111" s="11">
        <f ca="1">IF(AM111&lt;&gt;"", SUMIFS($AM$8:AM111, $BC$8:BC111, BC111), "")</f>
        <v>0</v>
      </c>
      <c r="AU111" s="124" t="str">
        <f t="shared" ca="1" si="51"/>
        <v>LINK</v>
      </c>
      <c r="AW111" s="125" t="s">
        <v>664</v>
      </c>
      <c r="AX111" t="str">
        <f t="shared" si="60"/>
        <v>25</v>
      </c>
      <c r="AY111" t="str">
        <f t="shared" si="68"/>
        <v>10</v>
      </c>
      <c r="AZ111" s="98" t="str">
        <f t="shared" si="61"/>
        <v>05</v>
      </c>
      <c r="BA111" t="str">
        <f t="shared" si="62"/>
        <v>4</v>
      </c>
      <c r="BB111" t="str">
        <f t="shared" si="58"/>
        <v>https://www.coreplan.io/app/ddh1-drilling/speewah-mining-speewah-fluorite-project-strike/plods/6174-251005D</v>
      </c>
      <c r="BC111" t="str">
        <f t="shared" si="63"/>
        <v>2025-10</v>
      </c>
    </row>
    <row r="112" spans="1:55">
      <c r="A112" s="510" t="e">
        <f>VLOOKUP(E112,'Tenement Lookup'!A:BH,60,FALSE)</f>
        <v>#N/A</v>
      </c>
      <c r="D112" s="265">
        <v>45936</v>
      </c>
      <c r="L112" s="187"/>
      <c r="N112" s="4"/>
      <c r="R112" s="318">
        <f t="shared" si="64"/>
        <v>0</v>
      </c>
      <c r="S112" s="273">
        <f t="shared" si="65"/>
        <v>0</v>
      </c>
      <c r="T112" s="269">
        <v>0</v>
      </c>
      <c r="U112" s="295">
        <f t="shared" si="66"/>
        <v>0</v>
      </c>
      <c r="Z112" s="292">
        <f t="shared" si="50"/>
        <v>0</v>
      </c>
      <c r="AF112" s="416">
        <f t="shared" si="43"/>
        <v>0</v>
      </c>
      <c r="AH112" s="314">
        <f t="shared" si="44"/>
        <v>0</v>
      </c>
      <c r="AI112" s="312">
        <f t="shared" si="45"/>
        <v>0</v>
      </c>
      <c r="AJ112" s="313">
        <f t="shared" si="59"/>
        <v>0</v>
      </c>
      <c r="AL112" s="309">
        <f t="shared" si="67"/>
        <v>0</v>
      </c>
      <c r="AM112" s="309">
        <f t="shared" ca="1" si="47"/>
        <v>0</v>
      </c>
      <c r="AO112" s="11"/>
      <c r="AP112" s="361" t="str">
        <f t="shared" ca="1" si="49"/>
        <v/>
      </c>
      <c r="AQ112" s="11">
        <f ca="1">IF(D112&gt;TODAY()-1,"",SUM($AM$6:AM112))</f>
        <v>1217632.2100000002</v>
      </c>
      <c r="AR112" s="11">
        <f ca="1">IF(AM112&lt;&gt;"", SUMIFS($AM$8:AM112, $BC$8:BC112, BC112), "")</f>
        <v>0</v>
      </c>
      <c r="AU112" s="124" t="str">
        <f t="shared" ca="1" si="51"/>
        <v>LINK</v>
      </c>
      <c r="AW112" s="125" t="s">
        <v>664</v>
      </c>
      <c r="AX112" t="str">
        <f t="shared" si="60"/>
        <v>25</v>
      </c>
      <c r="AY112" t="str">
        <f t="shared" si="68"/>
        <v>10</v>
      </c>
      <c r="AZ112" s="98" t="str">
        <f t="shared" si="61"/>
        <v>06</v>
      </c>
      <c r="BA112" t="str">
        <f t="shared" si="62"/>
        <v>4</v>
      </c>
      <c r="BB112" t="str">
        <f t="shared" si="58"/>
        <v>https://www.coreplan.io/app/ddh1-drilling/speewah-mining-speewah-fluorite-project-strike/plods/6174-251006D</v>
      </c>
      <c r="BC112" t="str">
        <f t="shared" si="63"/>
        <v>2025-10</v>
      </c>
    </row>
    <row r="113" spans="1:55">
      <c r="A113" s="510" t="e">
        <f>VLOOKUP(E113,'Tenement Lookup'!A:BH,60,FALSE)</f>
        <v>#N/A</v>
      </c>
      <c r="D113" s="265">
        <v>45937</v>
      </c>
      <c r="L113" s="187"/>
      <c r="N113" s="4"/>
      <c r="R113" s="318">
        <f t="shared" si="64"/>
        <v>0</v>
      </c>
      <c r="S113" s="273">
        <f t="shared" si="65"/>
        <v>0</v>
      </c>
      <c r="T113" s="269">
        <v>0</v>
      </c>
      <c r="U113" s="295">
        <f t="shared" si="66"/>
        <v>0</v>
      </c>
      <c r="Z113" s="292">
        <f t="shared" si="50"/>
        <v>0</v>
      </c>
      <c r="AF113" s="416">
        <f t="shared" si="43"/>
        <v>0</v>
      </c>
      <c r="AH113" s="314">
        <f t="shared" si="44"/>
        <v>0</v>
      </c>
      <c r="AI113" s="312">
        <f t="shared" si="45"/>
        <v>0</v>
      </c>
      <c r="AJ113" s="313">
        <f t="shared" si="59"/>
        <v>0</v>
      </c>
      <c r="AL113" s="309">
        <f t="shared" si="67"/>
        <v>0</v>
      </c>
      <c r="AM113" s="309">
        <f t="shared" ca="1" si="47"/>
        <v>0</v>
      </c>
      <c r="AO113" s="11"/>
      <c r="AP113" s="361" t="str">
        <f t="shared" ca="1" si="49"/>
        <v/>
      </c>
      <c r="AQ113" s="11">
        <f ca="1">IF(D113&gt;TODAY()-1,"",SUM($AM$6:AM113))</f>
        <v>1217632.2100000002</v>
      </c>
      <c r="AR113" s="11">
        <f ca="1">IF(AM113&lt;&gt;"", SUMIFS($AM$8:AM113, $BC$8:BC113, BC113), "")</f>
        <v>0</v>
      </c>
      <c r="AU113" s="124" t="str">
        <f t="shared" ca="1" si="51"/>
        <v>LINK</v>
      </c>
      <c r="AW113" s="125" t="s">
        <v>664</v>
      </c>
      <c r="AX113" t="str">
        <f t="shared" si="60"/>
        <v>25</v>
      </c>
      <c r="AY113" t="str">
        <f t="shared" si="68"/>
        <v>10</v>
      </c>
      <c r="AZ113" s="98" t="str">
        <f t="shared" si="61"/>
        <v>07</v>
      </c>
      <c r="BA113" t="str">
        <f t="shared" si="62"/>
        <v>4</v>
      </c>
      <c r="BB113" t="str">
        <f t="shared" si="58"/>
        <v>https://www.coreplan.io/app/ddh1-drilling/speewah-mining-speewah-fluorite-project-strike/plods/6174-251007D</v>
      </c>
      <c r="BC113" t="str">
        <f t="shared" si="63"/>
        <v>2025-10</v>
      </c>
    </row>
    <row r="114" spans="1:55">
      <c r="A114" s="510" t="e">
        <f>VLOOKUP(E114,'Tenement Lookup'!A:BH,60,FALSE)</f>
        <v>#N/A</v>
      </c>
      <c r="D114" s="265">
        <v>45938</v>
      </c>
      <c r="L114" s="187"/>
      <c r="N114" s="4"/>
      <c r="R114" s="318">
        <f t="shared" si="64"/>
        <v>0</v>
      </c>
      <c r="S114" s="273">
        <f t="shared" si="65"/>
        <v>0</v>
      </c>
      <c r="T114" s="269">
        <v>0</v>
      </c>
      <c r="U114" s="295">
        <f t="shared" si="66"/>
        <v>0</v>
      </c>
      <c r="Z114" s="292">
        <f t="shared" si="50"/>
        <v>0</v>
      </c>
      <c r="AF114" s="416">
        <f t="shared" si="43"/>
        <v>0</v>
      </c>
      <c r="AH114" s="314">
        <f t="shared" si="44"/>
        <v>0</v>
      </c>
      <c r="AI114" s="312">
        <f t="shared" si="45"/>
        <v>0</v>
      </c>
      <c r="AJ114" s="313">
        <f t="shared" si="59"/>
        <v>0</v>
      </c>
      <c r="AL114" s="309">
        <f t="shared" si="67"/>
        <v>0</v>
      </c>
      <c r="AM114" s="309">
        <f t="shared" ca="1" si="47"/>
        <v>0</v>
      </c>
      <c r="AO114" s="11"/>
      <c r="AP114" s="361" t="str">
        <f t="shared" ca="1" si="49"/>
        <v/>
      </c>
      <c r="AQ114" s="11">
        <f ca="1">IF(D114&gt;TODAY()-1,"",SUM($AM$6:AM114))</f>
        <v>1217632.2100000002</v>
      </c>
      <c r="AR114" s="11">
        <f ca="1">IF(AM114&lt;&gt;"", SUMIFS($AM$8:AM114, $BC$8:BC114, BC114), "")</f>
        <v>0</v>
      </c>
      <c r="AU114" s="124" t="str">
        <f t="shared" ca="1" si="51"/>
        <v>LINK</v>
      </c>
      <c r="AW114" s="125" t="s">
        <v>664</v>
      </c>
      <c r="AX114" t="str">
        <f t="shared" si="60"/>
        <v>25</v>
      </c>
      <c r="AY114" t="str">
        <f t="shared" si="68"/>
        <v>10</v>
      </c>
      <c r="AZ114" s="98" t="str">
        <f t="shared" si="61"/>
        <v>08</v>
      </c>
      <c r="BA114" t="str">
        <f t="shared" si="62"/>
        <v>4</v>
      </c>
      <c r="BB114" t="str">
        <f t="shared" si="58"/>
        <v>https://www.coreplan.io/app/ddh1-drilling/speewah-mining-speewah-fluorite-project-strike/plods/6174-251008D</v>
      </c>
      <c r="BC114" t="str">
        <f t="shared" si="63"/>
        <v>2025-10</v>
      </c>
    </row>
    <row r="115" spans="1:55">
      <c r="A115" s="510" t="e">
        <f>VLOOKUP(E115,'Tenement Lookup'!A:BH,60,FALSE)</f>
        <v>#N/A</v>
      </c>
      <c r="D115" s="265">
        <v>45939</v>
      </c>
      <c r="L115" s="187"/>
      <c r="N115" s="4"/>
      <c r="R115" s="318">
        <f t="shared" si="64"/>
        <v>0</v>
      </c>
      <c r="S115" s="273">
        <f t="shared" si="65"/>
        <v>0</v>
      </c>
      <c r="T115" s="269">
        <v>0</v>
      </c>
      <c r="U115" s="295">
        <f t="shared" si="66"/>
        <v>0</v>
      </c>
      <c r="Z115" s="292">
        <f t="shared" si="50"/>
        <v>0</v>
      </c>
      <c r="AF115" s="416">
        <f t="shared" si="43"/>
        <v>0</v>
      </c>
      <c r="AH115" s="314">
        <f t="shared" si="44"/>
        <v>0</v>
      </c>
      <c r="AI115" s="312">
        <f t="shared" si="45"/>
        <v>0</v>
      </c>
      <c r="AJ115" s="313">
        <f t="shared" ref="AJ115:AJ146" si="69">SUMPRODUCT(AA115:AE115,$AA$3:$AE$3)</f>
        <v>0</v>
      </c>
      <c r="AL115" s="309">
        <f t="shared" si="67"/>
        <v>0</v>
      </c>
      <c r="AM115" s="309">
        <f t="shared" ca="1" si="47"/>
        <v>0</v>
      </c>
      <c r="AO115" s="11"/>
      <c r="AP115" s="361" t="str">
        <f t="shared" ca="1" si="49"/>
        <v/>
      </c>
      <c r="AQ115" s="11">
        <f ca="1">IF(D115&gt;TODAY()-1,"",SUM($AM$6:AM115))</f>
        <v>1217632.2100000002</v>
      </c>
      <c r="AR115" s="11">
        <f ca="1">IF(AM115&lt;&gt;"", SUMIFS($AM$8:AM115, $BC$8:BC115, BC115), "")</f>
        <v>0</v>
      </c>
      <c r="AU115" s="124" t="str">
        <f t="shared" ca="1" si="51"/>
        <v>LINK</v>
      </c>
      <c r="AW115" s="125" t="s">
        <v>664</v>
      </c>
      <c r="AX115" t="str">
        <f t="shared" si="60"/>
        <v>25</v>
      </c>
      <c r="AY115" t="str">
        <f t="shared" si="68"/>
        <v>10</v>
      </c>
      <c r="AZ115" s="98" t="str">
        <f t="shared" si="61"/>
        <v>09</v>
      </c>
      <c r="BA115" t="str">
        <f t="shared" si="62"/>
        <v>4</v>
      </c>
      <c r="BB115" t="str">
        <f t="shared" si="58"/>
        <v>https://www.coreplan.io/app/ddh1-drilling/speewah-mining-speewah-fluorite-project-strike/plods/6174-251009D</v>
      </c>
      <c r="BC115" t="str">
        <f t="shared" si="63"/>
        <v>2025-10</v>
      </c>
    </row>
    <row r="116" spans="1:55">
      <c r="A116" s="510" t="e">
        <f>VLOOKUP(E116,'Tenement Lookup'!A:BH,60,FALSE)</f>
        <v>#N/A</v>
      </c>
      <c r="D116" s="265">
        <v>45940</v>
      </c>
      <c r="L116" s="187"/>
      <c r="N116" s="4"/>
      <c r="R116" s="318">
        <f t="shared" si="64"/>
        <v>0</v>
      </c>
      <c r="S116" s="273">
        <f t="shared" si="65"/>
        <v>0</v>
      </c>
      <c r="T116" s="269">
        <v>0</v>
      </c>
      <c r="U116" s="295">
        <f t="shared" si="66"/>
        <v>0</v>
      </c>
      <c r="Z116" s="292">
        <f t="shared" si="50"/>
        <v>0</v>
      </c>
      <c r="AF116" s="416">
        <f t="shared" si="43"/>
        <v>0</v>
      </c>
      <c r="AH116" s="314">
        <f t="shared" si="44"/>
        <v>0</v>
      </c>
      <c r="AI116" s="312">
        <f t="shared" si="45"/>
        <v>0</v>
      </c>
      <c r="AJ116" s="313">
        <f t="shared" si="69"/>
        <v>0</v>
      </c>
      <c r="AL116" s="309">
        <f t="shared" si="67"/>
        <v>0</v>
      </c>
      <c r="AM116" s="309">
        <f t="shared" ca="1" si="47"/>
        <v>0</v>
      </c>
      <c r="AO116" s="11"/>
      <c r="AP116" s="361" t="str">
        <f t="shared" ca="1" si="49"/>
        <v/>
      </c>
      <c r="AQ116" s="11">
        <f ca="1">IF(D116&gt;TODAY()-1,"",SUM($AM$6:AM116))</f>
        <v>1217632.2100000002</v>
      </c>
      <c r="AR116" s="11">
        <f ca="1">IF(AM116&lt;&gt;"", SUMIFS($AM$8:AM116, $BC$8:BC116, BC116), "")</f>
        <v>0</v>
      </c>
      <c r="AU116" s="124" t="str">
        <f t="shared" ca="1" si="51"/>
        <v>LINK</v>
      </c>
      <c r="AW116" s="125" t="s">
        <v>664</v>
      </c>
      <c r="AX116" t="str">
        <f t="shared" si="60"/>
        <v>25</v>
      </c>
      <c r="AY116" t="str">
        <f t="shared" si="68"/>
        <v>10</v>
      </c>
      <c r="AZ116" s="98">
        <f t="shared" si="61"/>
        <v>10</v>
      </c>
      <c r="BA116" t="str">
        <f t="shared" si="62"/>
        <v>4</v>
      </c>
      <c r="BB116" t="str">
        <f t="shared" si="58"/>
        <v>https://www.coreplan.io/app/ddh1-drilling/speewah-mining-speewah-fluorite-project-strike/plods/6174-251010D</v>
      </c>
      <c r="BC116" t="str">
        <f t="shared" si="63"/>
        <v>2025-10</v>
      </c>
    </row>
    <row r="117" spans="1:55">
      <c r="A117" s="510" t="e">
        <f>VLOOKUP(E117,'Tenement Lookup'!A:BH,60,FALSE)</f>
        <v>#N/A</v>
      </c>
      <c r="D117" s="265">
        <v>45941</v>
      </c>
      <c r="L117" s="187"/>
      <c r="N117" s="4"/>
      <c r="R117" s="318">
        <f t="shared" si="64"/>
        <v>0</v>
      </c>
      <c r="S117" s="273">
        <f t="shared" si="65"/>
        <v>0</v>
      </c>
      <c r="T117" s="269">
        <v>0</v>
      </c>
      <c r="U117" s="295">
        <f t="shared" si="66"/>
        <v>0</v>
      </c>
      <c r="Z117" s="292">
        <f t="shared" si="50"/>
        <v>0</v>
      </c>
      <c r="AF117" s="416">
        <f t="shared" si="43"/>
        <v>0</v>
      </c>
      <c r="AH117" s="314">
        <f t="shared" si="44"/>
        <v>0</v>
      </c>
      <c r="AI117" s="312">
        <f t="shared" si="45"/>
        <v>0</v>
      </c>
      <c r="AJ117" s="313">
        <f t="shared" si="69"/>
        <v>0</v>
      </c>
      <c r="AL117" s="309">
        <f t="shared" si="67"/>
        <v>0</v>
      </c>
      <c r="AM117" s="309">
        <f t="shared" ca="1" si="47"/>
        <v>0</v>
      </c>
      <c r="AO117" s="11"/>
      <c r="AP117" s="361" t="str">
        <f t="shared" ca="1" si="49"/>
        <v/>
      </c>
      <c r="AQ117" s="11">
        <f ca="1">IF(D117&gt;TODAY()-1,"",SUM($AM$6:AM117))</f>
        <v>1217632.2100000002</v>
      </c>
      <c r="AR117" s="11">
        <f ca="1">IF(AM117&lt;&gt;"", SUMIFS($AM$8:AM117, $BC$8:BC117, BC117), "")</f>
        <v>0</v>
      </c>
      <c r="AU117" s="124" t="str">
        <f t="shared" ca="1" si="51"/>
        <v>LINK</v>
      </c>
      <c r="AW117" s="125" t="s">
        <v>664</v>
      </c>
      <c r="AX117" t="str">
        <f t="shared" si="60"/>
        <v>25</v>
      </c>
      <c r="AY117" t="str">
        <f t="shared" si="68"/>
        <v>10</v>
      </c>
      <c r="AZ117" s="98">
        <f t="shared" si="61"/>
        <v>11</v>
      </c>
      <c r="BA117" t="str">
        <f t="shared" si="62"/>
        <v>4</v>
      </c>
      <c r="BB117" t="str">
        <f t="shared" si="58"/>
        <v>https://www.coreplan.io/app/ddh1-drilling/speewah-mining-speewah-fluorite-project-strike/plods/6174-251011D</v>
      </c>
      <c r="BC117" t="str">
        <f t="shared" si="63"/>
        <v>2025-10</v>
      </c>
    </row>
    <row r="118" spans="1:55">
      <c r="A118" s="510" t="e">
        <f>VLOOKUP(E118,'Tenement Lookup'!A:BH,60,FALSE)</f>
        <v>#N/A</v>
      </c>
      <c r="D118" s="265">
        <v>45942</v>
      </c>
      <c r="L118" s="187"/>
      <c r="N118" s="4"/>
      <c r="R118" s="318">
        <f t="shared" si="64"/>
        <v>0</v>
      </c>
      <c r="S118" s="273">
        <f t="shared" si="65"/>
        <v>0</v>
      </c>
      <c r="T118" s="269">
        <v>0</v>
      </c>
      <c r="U118" s="295">
        <f t="shared" si="66"/>
        <v>0</v>
      </c>
      <c r="Z118" s="292">
        <f t="shared" si="50"/>
        <v>0</v>
      </c>
      <c r="AF118" s="416">
        <f t="shared" si="43"/>
        <v>0</v>
      </c>
      <c r="AH118" s="314">
        <f t="shared" si="44"/>
        <v>0</v>
      </c>
      <c r="AI118" s="312">
        <f t="shared" si="45"/>
        <v>0</v>
      </c>
      <c r="AJ118" s="313">
        <f t="shared" si="69"/>
        <v>0</v>
      </c>
      <c r="AL118" s="309">
        <f t="shared" si="67"/>
        <v>0</v>
      </c>
      <c r="AM118" s="309">
        <f t="shared" ca="1" si="47"/>
        <v>0</v>
      </c>
      <c r="AO118" s="11"/>
      <c r="AP118" s="361" t="str">
        <f t="shared" ca="1" si="49"/>
        <v/>
      </c>
      <c r="AQ118" s="11">
        <f ca="1">IF(D118&gt;TODAY()-1,"",SUM($AM$6:AM118))</f>
        <v>1217632.2100000002</v>
      </c>
      <c r="AR118" s="11">
        <f ca="1">IF(AM118&lt;&gt;"", SUMIFS($AM$8:AM118, $BC$8:BC118, BC118), "")</f>
        <v>0</v>
      </c>
      <c r="AU118" s="124" t="str">
        <f t="shared" ca="1" si="51"/>
        <v>LINK</v>
      </c>
      <c r="AW118" s="125" t="s">
        <v>664</v>
      </c>
      <c r="AX118" t="str">
        <f t="shared" si="60"/>
        <v>25</v>
      </c>
      <c r="AY118" t="str">
        <f t="shared" si="68"/>
        <v>10</v>
      </c>
      <c r="AZ118" s="98">
        <f t="shared" si="61"/>
        <v>12</v>
      </c>
      <c r="BA118" t="str">
        <f t="shared" si="62"/>
        <v>4</v>
      </c>
      <c r="BB118" t="str">
        <f t="shared" si="58"/>
        <v>https://www.coreplan.io/app/ddh1-drilling/speewah-mining-speewah-fluorite-project-strike/plods/6174-251012D</v>
      </c>
      <c r="BC118" t="str">
        <f t="shared" si="63"/>
        <v>2025-10</v>
      </c>
    </row>
    <row r="119" spans="1:55">
      <c r="A119" s="510" t="e">
        <f>VLOOKUP(E119,'Tenement Lookup'!A:BH,60,FALSE)</f>
        <v>#N/A</v>
      </c>
      <c r="D119" s="265">
        <v>45943</v>
      </c>
      <c r="L119" s="187"/>
      <c r="N119" s="4"/>
      <c r="R119" s="318">
        <f t="shared" si="64"/>
        <v>0</v>
      </c>
      <c r="S119" s="273">
        <f t="shared" si="65"/>
        <v>0</v>
      </c>
      <c r="T119" s="269">
        <v>0</v>
      </c>
      <c r="U119" s="295">
        <f t="shared" si="66"/>
        <v>0</v>
      </c>
      <c r="Z119" s="292">
        <f t="shared" si="50"/>
        <v>0</v>
      </c>
      <c r="AF119" s="416">
        <f t="shared" si="43"/>
        <v>0</v>
      </c>
      <c r="AH119" s="314">
        <f t="shared" si="44"/>
        <v>0</v>
      </c>
      <c r="AI119" s="312">
        <f t="shared" si="45"/>
        <v>0</v>
      </c>
      <c r="AJ119" s="313">
        <f t="shared" si="69"/>
        <v>0</v>
      </c>
      <c r="AL119" s="309">
        <f t="shared" si="67"/>
        <v>0</v>
      </c>
      <c r="AM119" s="309">
        <f t="shared" ca="1" si="47"/>
        <v>0</v>
      </c>
      <c r="AO119" s="11"/>
      <c r="AP119" s="361" t="str">
        <f t="shared" ca="1" si="49"/>
        <v/>
      </c>
      <c r="AQ119" s="11">
        <f ca="1">IF(D119&gt;TODAY()-1,"",SUM($AM$6:AM119))</f>
        <v>1217632.2100000002</v>
      </c>
      <c r="AR119" s="11">
        <f ca="1">IF(AM119&lt;&gt;"", SUMIFS($AM$8:AM119, $BC$8:BC119, BC119), "")</f>
        <v>0</v>
      </c>
      <c r="AU119" s="124" t="str">
        <f t="shared" ca="1" si="51"/>
        <v>LINK</v>
      </c>
      <c r="AW119" s="125" t="s">
        <v>664</v>
      </c>
      <c r="AX119" t="str">
        <f t="shared" si="60"/>
        <v>25</v>
      </c>
      <c r="AY119" t="str">
        <f t="shared" si="68"/>
        <v>10</v>
      </c>
      <c r="AZ119" s="98">
        <f t="shared" si="61"/>
        <v>13</v>
      </c>
      <c r="BA119" t="str">
        <f t="shared" si="62"/>
        <v>4</v>
      </c>
      <c r="BB119" t="str">
        <f t="shared" si="58"/>
        <v>https://www.coreplan.io/app/ddh1-drilling/speewah-mining-speewah-fluorite-project-strike/plods/6174-251013D</v>
      </c>
      <c r="BC119" t="str">
        <f t="shared" si="63"/>
        <v>2025-10</v>
      </c>
    </row>
    <row r="120" spans="1:55">
      <c r="A120" s="510" t="e">
        <f>VLOOKUP(E120,'Tenement Lookup'!A:BH,60,FALSE)</f>
        <v>#N/A</v>
      </c>
      <c r="D120" s="265">
        <v>45944</v>
      </c>
      <c r="L120" s="187"/>
      <c r="N120" s="4"/>
      <c r="R120" s="318">
        <f t="shared" si="64"/>
        <v>0</v>
      </c>
      <c r="S120" s="273">
        <f t="shared" si="65"/>
        <v>0</v>
      </c>
      <c r="T120" s="269">
        <v>0</v>
      </c>
      <c r="U120" s="295">
        <f t="shared" si="66"/>
        <v>0</v>
      </c>
      <c r="Z120" s="292">
        <f t="shared" si="50"/>
        <v>0</v>
      </c>
      <c r="AF120" s="416">
        <f t="shared" si="43"/>
        <v>0</v>
      </c>
      <c r="AH120" s="314">
        <f t="shared" si="44"/>
        <v>0</v>
      </c>
      <c r="AI120" s="312">
        <f t="shared" si="45"/>
        <v>0</v>
      </c>
      <c r="AJ120" s="313">
        <f t="shared" si="69"/>
        <v>0</v>
      </c>
      <c r="AL120" s="309">
        <f t="shared" si="67"/>
        <v>0</v>
      </c>
      <c r="AM120" s="309">
        <f t="shared" ca="1" si="47"/>
        <v>0</v>
      </c>
      <c r="AO120" s="11"/>
      <c r="AP120" s="361" t="str">
        <f t="shared" ca="1" si="49"/>
        <v/>
      </c>
      <c r="AQ120" s="11">
        <f ca="1">IF(D120&gt;TODAY()-1,"",SUM($AM$6:AM120))</f>
        <v>1217632.2100000002</v>
      </c>
      <c r="AR120" s="11">
        <f ca="1">IF(AM120&lt;&gt;"", SUMIFS($AM$8:AM120, $BC$8:BC120, BC120), "")</f>
        <v>0</v>
      </c>
      <c r="AU120" s="124" t="str">
        <f t="shared" ca="1" si="51"/>
        <v>LINK</v>
      </c>
      <c r="AW120" s="125" t="s">
        <v>664</v>
      </c>
      <c r="AX120" t="str">
        <f t="shared" si="60"/>
        <v>25</v>
      </c>
      <c r="AY120" t="str">
        <f t="shared" si="68"/>
        <v>10</v>
      </c>
      <c r="AZ120" s="98">
        <f t="shared" si="61"/>
        <v>14</v>
      </c>
      <c r="BA120" t="str">
        <f t="shared" si="62"/>
        <v>4</v>
      </c>
      <c r="BB120" t="str">
        <f t="shared" si="58"/>
        <v>https://www.coreplan.io/app/ddh1-drilling/speewah-mining-speewah-fluorite-project-strike/plods/6174-251014D</v>
      </c>
      <c r="BC120" t="str">
        <f t="shared" si="63"/>
        <v>2025-10</v>
      </c>
    </row>
    <row r="121" spans="1:55">
      <c r="A121" s="510" t="e">
        <f>VLOOKUP(E121,'Tenement Lookup'!A:BH,60,FALSE)</f>
        <v>#N/A</v>
      </c>
      <c r="D121" s="265">
        <v>45945</v>
      </c>
      <c r="L121" s="187"/>
      <c r="N121" s="4"/>
      <c r="R121" s="318">
        <f t="shared" si="64"/>
        <v>0</v>
      </c>
      <c r="S121" s="273">
        <f t="shared" si="65"/>
        <v>0</v>
      </c>
      <c r="T121" s="269">
        <v>0</v>
      </c>
      <c r="U121" s="295">
        <f t="shared" si="66"/>
        <v>0</v>
      </c>
      <c r="Z121" s="292">
        <f t="shared" si="50"/>
        <v>0</v>
      </c>
      <c r="AF121" s="416">
        <f t="shared" si="43"/>
        <v>0</v>
      </c>
      <c r="AH121" s="314">
        <f t="shared" si="44"/>
        <v>0</v>
      </c>
      <c r="AI121" s="312">
        <f t="shared" si="45"/>
        <v>0</v>
      </c>
      <c r="AJ121" s="313">
        <f t="shared" si="69"/>
        <v>0</v>
      </c>
      <c r="AL121" s="309">
        <f t="shared" si="67"/>
        <v>0</v>
      </c>
      <c r="AM121" s="309">
        <f t="shared" ca="1" si="47"/>
        <v>0</v>
      </c>
      <c r="AO121" s="11"/>
      <c r="AP121" s="361" t="str">
        <f t="shared" ca="1" si="49"/>
        <v/>
      </c>
      <c r="AQ121" s="11">
        <f ca="1">IF(D121&gt;TODAY()-1,"",SUM($AM$6:AM121))</f>
        <v>1217632.2100000002</v>
      </c>
      <c r="AR121" s="11">
        <f ca="1">IF(AM121&lt;&gt;"", SUMIFS($AM$8:AM121, $BC$8:BC121, BC121), "")</f>
        <v>0</v>
      </c>
      <c r="AU121" s="124" t="str">
        <f t="shared" ca="1" si="51"/>
        <v>LINK</v>
      </c>
      <c r="AW121" s="125" t="s">
        <v>664</v>
      </c>
      <c r="AX121" t="str">
        <f t="shared" si="60"/>
        <v>25</v>
      </c>
      <c r="AY121" t="str">
        <f t="shared" si="68"/>
        <v>10</v>
      </c>
      <c r="AZ121" s="98">
        <f t="shared" si="61"/>
        <v>15</v>
      </c>
      <c r="BA121" t="str">
        <f t="shared" si="62"/>
        <v>4</v>
      </c>
      <c r="BB121" t="str">
        <f t="shared" si="58"/>
        <v>https://www.coreplan.io/app/ddh1-drilling/speewah-mining-speewah-fluorite-project-strike/plods/6174-251015D</v>
      </c>
      <c r="BC121" t="str">
        <f t="shared" si="63"/>
        <v>2025-10</v>
      </c>
    </row>
    <row r="122" spans="1:55">
      <c r="A122" s="510" t="e">
        <f>VLOOKUP(E122,'Tenement Lookup'!A:BH,60,FALSE)</f>
        <v>#N/A</v>
      </c>
      <c r="D122" s="265">
        <v>45946</v>
      </c>
      <c r="L122" s="187"/>
      <c r="N122" s="4"/>
      <c r="R122" s="318">
        <f t="shared" si="64"/>
        <v>0</v>
      </c>
      <c r="S122" s="273">
        <f t="shared" si="65"/>
        <v>0</v>
      </c>
      <c r="T122" s="269">
        <v>0</v>
      </c>
      <c r="U122" s="295">
        <f t="shared" si="66"/>
        <v>0</v>
      </c>
      <c r="Z122" s="292">
        <f t="shared" si="50"/>
        <v>0</v>
      </c>
      <c r="AF122" s="416">
        <f t="shared" si="43"/>
        <v>0</v>
      </c>
      <c r="AH122" s="314">
        <f t="shared" si="44"/>
        <v>0</v>
      </c>
      <c r="AI122" s="312">
        <f t="shared" si="45"/>
        <v>0</v>
      </c>
      <c r="AJ122" s="313">
        <f t="shared" si="69"/>
        <v>0</v>
      </c>
      <c r="AL122" s="309">
        <f t="shared" si="67"/>
        <v>0</v>
      </c>
      <c r="AM122" s="309">
        <f t="shared" ca="1" si="47"/>
        <v>0</v>
      </c>
      <c r="AO122" s="11"/>
      <c r="AP122" s="361" t="str">
        <f t="shared" ca="1" si="49"/>
        <v/>
      </c>
      <c r="AQ122" s="11">
        <f ca="1">IF(D122&gt;TODAY()-1,"",SUM($AM$6:AM122))</f>
        <v>1217632.2100000002</v>
      </c>
      <c r="AR122" s="11">
        <f ca="1">IF(AM122&lt;&gt;"", SUMIFS($AM$8:AM122, $BC$8:BC122, BC122), "")</f>
        <v>0</v>
      </c>
      <c r="AU122" s="124" t="str">
        <f t="shared" ca="1" si="51"/>
        <v>LINK</v>
      </c>
      <c r="AW122" s="125" t="s">
        <v>664</v>
      </c>
      <c r="AX122" t="str">
        <f t="shared" si="60"/>
        <v>25</v>
      </c>
      <c r="AY122" t="str">
        <f t="shared" si="68"/>
        <v>10</v>
      </c>
      <c r="AZ122" s="98">
        <f t="shared" si="61"/>
        <v>16</v>
      </c>
      <c r="BA122" t="str">
        <f t="shared" si="62"/>
        <v>4</v>
      </c>
      <c r="BB122" t="str">
        <f t="shared" si="58"/>
        <v>https://www.coreplan.io/app/ddh1-drilling/speewah-mining-speewah-fluorite-project-strike/plods/6174-251016D</v>
      </c>
      <c r="BC122" t="str">
        <f t="shared" si="63"/>
        <v>2025-10</v>
      </c>
    </row>
    <row r="123" spans="1:55">
      <c r="A123" s="510" t="e">
        <f>VLOOKUP(E123,'Tenement Lookup'!A:BH,60,FALSE)</f>
        <v>#N/A</v>
      </c>
      <c r="D123" s="265">
        <v>45947</v>
      </c>
      <c r="L123" s="187"/>
      <c r="N123" s="4"/>
      <c r="R123" s="318">
        <f t="shared" si="64"/>
        <v>0</v>
      </c>
      <c r="S123" s="273">
        <f t="shared" si="65"/>
        <v>0</v>
      </c>
      <c r="T123" s="269">
        <v>0</v>
      </c>
      <c r="U123" s="295">
        <f t="shared" si="66"/>
        <v>0</v>
      </c>
      <c r="Z123" s="292">
        <f t="shared" si="50"/>
        <v>0</v>
      </c>
      <c r="AF123" s="416">
        <f t="shared" si="43"/>
        <v>0</v>
      </c>
      <c r="AH123" s="314">
        <f t="shared" si="44"/>
        <v>0</v>
      </c>
      <c r="AI123" s="312">
        <f t="shared" si="45"/>
        <v>0</v>
      </c>
      <c r="AJ123" s="313">
        <f t="shared" si="69"/>
        <v>0</v>
      </c>
      <c r="AL123" s="309">
        <f t="shared" si="67"/>
        <v>0</v>
      </c>
      <c r="AM123" s="309">
        <f t="shared" ca="1" si="47"/>
        <v>0</v>
      </c>
      <c r="AO123" s="11"/>
      <c r="AP123" s="361" t="str">
        <f t="shared" ca="1" si="49"/>
        <v/>
      </c>
      <c r="AQ123" s="11">
        <f ca="1">IF(D123&gt;TODAY()-1,"",SUM($AM$6:AM123))</f>
        <v>1217632.2100000002</v>
      </c>
      <c r="AR123" s="11">
        <f ca="1">IF(AM123&lt;&gt;"", SUMIFS($AM$8:AM123, $BC$8:BC123, BC123), "")</f>
        <v>0</v>
      </c>
      <c r="AU123" s="124" t="str">
        <f t="shared" ca="1" si="51"/>
        <v>LINK</v>
      </c>
      <c r="AW123" s="125" t="s">
        <v>664</v>
      </c>
      <c r="AX123" t="str">
        <f t="shared" si="60"/>
        <v>25</v>
      </c>
      <c r="AY123" t="str">
        <f t="shared" si="68"/>
        <v>10</v>
      </c>
      <c r="AZ123" s="98">
        <f t="shared" si="61"/>
        <v>17</v>
      </c>
      <c r="BA123" t="str">
        <f t="shared" si="62"/>
        <v>4</v>
      </c>
      <c r="BB123" t="str">
        <f t="shared" si="58"/>
        <v>https://www.coreplan.io/app/ddh1-drilling/speewah-mining-speewah-fluorite-project-strike/plods/6174-251017D</v>
      </c>
      <c r="BC123" t="str">
        <f t="shared" si="63"/>
        <v>2025-10</v>
      </c>
    </row>
    <row r="124" spans="1:55">
      <c r="A124" s="510" t="e">
        <f>VLOOKUP(E124,'Tenement Lookup'!A:BH,60,FALSE)</f>
        <v>#N/A</v>
      </c>
      <c r="D124" s="265">
        <v>45948</v>
      </c>
      <c r="L124" s="187"/>
      <c r="N124" s="4"/>
      <c r="R124" s="318">
        <f t="shared" si="64"/>
        <v>0</v>
      </c>
      <c r="S124" s="273">
        <f t="shared" si="65"/>
        <v>0</v>
      </c>
      <c r="T124" s="269">
        <v>0</v>
      </c>
      <c r="U124" s="295">
        <f t="shared" si="66"/>
        <v>0</v>
      </c>
      <c r="Z124" s="292">
        <f t="shared" si="50"/>
        <v>0</v>
      </c>
      <c r="AF124" s="416">
        <f t="shared" si="43"/>
        <v>0</v>
      </c>
      <c r="AH124" s="314">
        <f t="shared" si="44"/>
        <v>0</v>
      </c>
      <c r="AI124" s="312">
        <f t="shared" si="45"/>
        <v>0</v>
      </c>
      <c r="AJ124" s="313">
        <f t="shared" si="69"/>
        <v>0</v>
      </c>
      <c r="AL124" s="309">
        <f t="shared" si="67"/>
        <v>0</v>
      </c>
      <c r="AM124" s="309">
        <f t="shared" ca="1" si="47"/>
        <v>0</v>
      </c>
      <c r="AO124" s="11"/>
      <c r="AP124" s="361" t="str">
        <f t="shared" ca="1" si="49"/>
        <v/>
      </c>
      <c r="AQ124" s="11">
        <f ca="1">IF(D124&gt;TODAY()-1,"",SUM($AM$6:AM124))</f>
        <v>1217632.2100000002</v>
      </c>
      <c r="AR124" s="11">
        <f ca="1">IF(AM124&lt;&gt;"", SUMIFS($AM$8:AM124, $BC$8:BC124, BC124), "")</f>
        <v>0</v>
      </c>
      <c r="AU124" s="124" t="str">
        <f t="shared" ca="1" si="51"/>
        <v>LINK</v>
      </c>
      <c r="AW124" s="125" t="s">
        <v>664</v>
      </c>
      <c r="AX124" t="str">
        <f t="shared" si="60"/>
        <v>25</v>
      </c>
      <c r="AY124" t="str">
        <f t="shared" si="68"/>
        <v>10</v>
      </c>
      <c r="AZ124" s="98">
        <f t="shared" si="61"/>
        <v>18</v>
      </c>
      <c r="BA124" t="str">
        <f t="shared" si="62"/>
        <v>4</v>
      </c>
      <c r="BB124" t="str">
        <f t="shared" si="58"/>
        <v>https://www.coreplan.io/app/ddh1-drilling/speewah-mining-speewah-fluorite-project-strike/plods/6174-251018D</v>
      </c>
      <c r="BC124" t="str">
        <f t="shared" si="63"/>
        <v>2025-10</v>
      </c>
    </row>
    <row r="125" spans="1:55">
      <c r="A125" s="510" t="e">
        <f>VLOOKUP(E125,'Tenement Lookup'!A:BH,60,FALSE)</f>
        <v>#N/A</v>
      </c>
      <c r="D125" s="265">
        <v>45949</v>
      </c>
      <c r="L125" s="187"/>
      <c r="N125" s="4"/>
      <c r="R125" s="318">
        <f t="shared" si="64"/>
        <v>0</v>
      </c>
      <c r="S125" s="273">
        <f t="shared" si="65"/>
        <v>0</v>
      </c>
      <c r="T125" s="269">
        <v>0</v>
      </c>
      <c r="U125" s="295">
        <f t="shared" si="66"/>
        <v>0</v>
      </c>
      <c r="Z125" s="292">
        <f t="shared" si="50"/>
        <v>0</v>
      </c>
      <c r="AF125" s="416">
        <f t="shared" si="43"/>
        <v>0</v>
      </c>
      <c r="AH125" s="314">
        <f t="shared" si="44"/>
        <v>0</v>
      </c>
      <c r="AI125" s="312">
        <f t="shared" si="45"/>
        <v>0</v>
      </c>
      <c r="AJ125" s="313">
        <f t="shared" si="69"/>
        <v>0</v>
      </c>
      <c r="AL125" s="309">
        <f t="shared" si="67"/>
        <v>0</v>
      </c>
      <c r="AM125" s="309">
        <f t="shared" ca="1" si="47"/>
        <v>0</v>
      </c>
      <c r="AO125" s="11"/>
      <c r="AP125" s="361" t="str">
        <f t="shared" ca="1" si="49"/>
        <v/>
      </c>
      <c r="AQ125" s="11">
        <f ca="1">IF(D125&gt;TODAY()-1,"",SUM($AM$6:AM125))</f>
        <v>1217632.2100000002</v>
      </c>
      <c r="AR125" s="11">
        <f ca="1">IF(AM125&lt;&gt;"", SUMIFS($AM$8:AM125, $BC$8:BC125, BC125), "")</f>
        <v>0</v>
      </c>
      <c r="AU125" s="124" t="str">
        <f t="shared" ca="1" si="51"/>
        <v>LINK</v>
      </c>
      <c r="AW125" s="125" t="s">
        <v>664</v>
      </c>
      <c r="AX125" t="str">
        <f t="shared" si="60"/>
        <v>25</v>
      </c>
      <c r="AY125" t="str">
        <f t="shared" si="68"/>
        <v>10</v>
      </c>
      <c r="AZ125" s="98">
        <f t="shared" si="61"/>
        <v>19</v>
      </c>
      <c r="BA125" t="str">
        <f t="shared" si="62"/>
        <v>4</v>
      </c>
      <c r="BB125" t="str">
        <f t="shared" si="58"/>
        <v>https://www.coreplan.io/app/ddh1-drilling/speewah-mining-speewah-fluorite-project-strike/plods/6174-251019D</v>
      </c>
      <c r="BC125" t="str">
        <f t="shared" si="63"/>
        <v>2025-10</v>
      </c>
    </row>
    <row r="126" spans="1:55">
      <c r="A126" s="510" t="e">
        <f>VLOOKUP(E126,'Tenement Lookup'!A:BH,60,FALSE)</f>
        <v>#N/A</v>
      </c>
      <c r="D126" s="265">
        <v>45950</v>
      </c>
      <c r="L126" s="187"/>
      <c r="N126" s="4"/>
      <c r="R126" s="318">
        <f t="shared" si="64"/>
        <v>0</v>
      </c>
      <c r="S126" s="273">
        <f t="shared" si="65"/>
        <v>0</v>
      </c>
      <c r="T126" s="269">
        <v>0</v>
      </c>
      <c r="U126" s="295">
        <f t="shared" si="66"/>
        <v>0</v>
      </c>
      <c r="Z126" s="292">
        <f t="shared" si="50"/>
        <v>0</v>
      </c>
      <c r="AF126" s="416">
        <f t="shared" si="43"/>
        <v>0</v>
      </c>
      <c r="AH126" s="314">
        <f t="shared" si="44"/>
        <v>0</v>
      </c>
      <c r="AI126" s="312">
        <f t="shared" si="45"/>
        <v>0</v>
      </c>
      <c r="AJ126" s="313">
        <f t="shared" si="69"/>
        <v>0</v>
      </c>
      <c r="AL126" s="309">
        <f t="shared" si="67"/>
        <v>0</v>
      </c>
      <c r="AM126" s="309">
        <f t="shared" ca="1" si="47"/>
        <v>0</v>
      </c>
      <c r="AO126" s="11"/>
      <c r="AP126" s="361" t="str">
        <f t="shared" ca="1" si="49"/>
        <v/>
      </c>
      <c r="AQ126" s="11">
        <f ca="1">IF(D126&gt;TODAY()-1,"",SUM($AM$6:AM126))</f>
        <v>1217632.2100000002</v>
      </c>
      <c r="AR126" s="11">
        <f ca="1">IF(AM126&lt;&gt;"", SUMIFS($AM$8:AM126, $BC$8:BC126, BC126), "")</f>
        <v>0</v>
      </c>
      <c r="AU126" s="124" t="str">
        <f t="shared" ca="1" si="51"/>
        <v>LINK</v>
      </c>
      <c r="AW126" s="125" t="s">
        <v>664</v>
      </c>
      <c r="AX126" t="str">
        <f t="shared" si="60"/>
        <v>25</v>
      </c>
      <c r="AY126" t="str">
        <f t="shared" si="68"/>
        <v>10</v>
      </c>
      <c r="AZ126" s="98">
        <f t="shared" si="61"/>
        <v>20</v>
      </c>
      <c r="BA126" t="str">
        <f t="shared" si="62"/>
        <v>4</v>
      </c>
      <c r="BB126" t="str">
        <f t="shared" si="58"/>
        <v>https://www.coreplan.io/app/ddh1-drilling/speewah-mining-speewah-fluorite-project-strike/plods/6174-251020D</v>
      </c>
      <c r="BC126" t="str">
        <f t="shared" si="63"/>
        <v>2025-10</v>
      </c>
    </row>
    <row r="127" spans="1:55">
      <c r="A127" s="510" t="e">
        <f>VLOOKUP(E127,'Tenement Lookup'!A:BH,60,FALSE)</f>
        <v>#N/A</v>
      </c>
      <c r="D127" s="265">
        <v>45951</v>
      </c>
      <c r="L127" s="187"/>
      <c r="N127" s="4"/>
      <c r="R127" s="318">
        <f t="shared" si="64"/>
        <v>0</v>
      </c>
      <c r="S127" s="273">
        <f t="shared" si="65"/>
        <v>0</v>
      </c>
      <c r="T127" s="269">
        <v>0</v>
      </c>
      <c r="U127" s="295">
        <f t="shared" si="66"/>
        <v>0</v>
      </c>
      <c r="Z127" s="292">
        <f t="shared" si="50"/>
        <v>0</v>
      </c>
      <c r="AF127" s="416">
        <f t="shared" si="43"/>
        <v>0</v>
      </c>
      <c r="AH127" s="314">
        <f t="shared" si="44"/>
        <v>0</v>
      </c>
      <c r="AI127" s="312">
        <f t="shared" si="45"/>
        <v>0</v>
      </c>
      <c r="AJ127" s="313">
        <f t="shared" si="69"/>
        <v>0</v>
      </c>
      <c r="AL127" s="309">
        <f t="shared" si="67"/>
        <v>0</v>
      </c>
      <c r="AM127" s="309">
        <f t="shared" ca="1" si="47"/>
        <v>0</v>
      </c>
      <c r="AO127" s="11"/>
      <c r="AP127" s="361" t="str">
        <f t="shared" ca="1" si="49"/>
        <v/>
      </c>
      <c r="AQ127" s="11">
        <f ca="1">IF(D127&gt;TODAY()-1,"",SUM($AM$6:AM127))</f>
        <v>1217632.2100000002</v>
      </c>
      <c r="AR127" s="11">
        <f ca="1">IF(AM127&lt;&gt;"", SUMIFS($AM$8:AM127, $BC$8:BC127, BC127), "")</f>
        <v>0</v>
      </c>
      <c r="AU127" s="124" t="str">
        <f t="shared" ca="1" si="51"/>
        <v>LINK</v>
      </c>
      <c r="AW127" s="125" t="s">
        <v>664</v>
      </c>
      <c r="AX127" t="str">
        <f t="shared" si="60"/>
        <v>25</v>
      </c>
      <c r="AY127" t="str">
        <f t="shared" si="68"/>
        <v>10</v>
      </c>
      <c r="AZ127" s="98">
        <f t="shared" si="61"/>
        <v>21</v>
      </c>
      <c r="BA127" t="str">
        <f t="shared" si="62"/>
        <v>4</v>
      </c>
      <c r="BB127" t="str">
        <f t="shared" si="58"/>
        <v>https://www.coreplan.io/app/ddh1-drilling/speewah-mining-speewah-fluorite-project-strike/plods/6174-251021D</v>
      </c>
      <c r="BC127" t="str">
        <f t="shared" si="63"/>
        <v>2025-10</v>
      </c>
    </row>
    <row r="128" spans="1:55">
      <c r="A128" s="510" t="e">
        <f>VLOOKUP(E128,'Tenement Lookup'!A:BH,60,FALSE)</f>
        <v>#N/A</v>
      </c>
      <c r="D128" s="265">
        <v>45952</v>
      </c>
      <c r="L128" s="187"/>
      <c r="N128" s="4"/>
      <c r="R128" s="318">
        <f t="shared" si="64"/>
        <v>0</v>
      </c>
      <c r="S128" s="273">
        <f t="shared" si="65"/>
        <v>0</v>
      </c>
      <c r="T128" s="269">
        <v>0</v>
      </c>
      <c r="U128" s="295">
        <f t="shared" si="66"/>
        <v>0</v>
      </c>
      <c r="Z128" s="292">
        <f t="shared" si="50"/>
        <v>0</v>
      </c>
      <c r="AF128" s="416">
        <f t="shared" si="43"/>
        <v>0</v>
      </c>
      <c r="AH128" s="314">
        <f t="shared" si="44"/>
        <v>0</v>
      </c>
      <c r="AI128" s="312">
        <f t="shared" si="45"/>
        <v>0</v>
      </c>
      <c r="AJ128" s="313">
        <f t="shared" si="69"/>
        <v>0</v>
      </c>
      <c r="AL128" s="309">
        <f t="shared" si="67"/>
        <v>0</v>
      </c>
      <c r="AM128" s="309">
        <f t="shared" ca="1" si="47"/>
        <v>0</v>
      </c>
      <c r="AO128" s="11"/>
      <c r="AP128" s="361" t="str">
        <f t="shared" ca="1" si="49"/>
        <v/>
      </c>
      <c r="AQ128" s="11">
        <f ca="1">IF(D128&gt;TODAY()-1,"",SUM($AM$6:AM128))</f>
        <v>1217632.2100000002</v>
      </c>
      <c r="AR128" s="11">
        <f ca="1">IF(AM128&lt;&gt;"", SUMIFS($AM$8:AM128, $BC$8:BC128, BC128), "")</f>
        <v>0</v>
      </c>
      <c r="AU128" s="124" t="str">
        <f t="shared" ca="1" si="51"/>
        <v>LINK</v>
      </c>
      <c r="AW128" s="125" t="s">
        <v>664</v>
      </c>
      <c r="AX128" t="str">
        <f t="shared" si="60"/>
        <v>25</v>
      </c>
      <c r="AY128" t="str">
        <f t="shared" si="68"/>
        <v>10</v>
      </c>
      <c r="AZ128" s="98">
        <f t="shared" si="61"/>
        <v>22</v>
      </c>
      <c r="BA128" t="str">
        <f t="shared" si="62"/>
        <v>4</v>
      </c>
      <c r="BB128" t="str">
        <f t="shared" si="58"/>
        <v>https://www.coreplan.io/app/ddh1-drilling/speewah-mining-speewah-fluorite-project-strike/plods/6174-251022D</v>
      </c>
      <c r="BC128" t="str">
        <f t="shared" si="63"/>
        <v>2025-10</v>
      </c>
    </row>
    <row r="129" spans="1:55">
      <c r="A129" s="510" t="e">
        <f>VLOOKUP(E129,'Tenement Lookup'!A:BH,60,FALSE)</f>
        <v>#N/A</v>
      </c>
      <c r="D129" s="265">
        <v>45953</v>
      </c>
      <c r="L129" s="187"/>
      <c r="N129" s="4"/>
      <c r="R129" s="318">
        <f t="shared" si="64"/>
        <v>0</v>
      </c>
      <c r="S129" s="273">
        <f t="shared" si="65"/>
        <v>0</v>
      </c>
      <c r="T129" s="269">
        <v>0</v>
      </c>
      <c r="U129" s="295">
        <f t="shared" si="66"/>
        <v>0</v>
      </c>
      <c r="Z129" s="292">
        <f t="shared" si="50"/>
        <v>0</v>
      </c>
      <c r="AF129" s="416">
        <f t="shared" si="43"/>
        <v>0</v>
      </c>
      <c r="AH129" s="314">
        <f t="shared" si="44"/>
        <v>0</v>
      </c>
      <c r="AI129" s="312">
        <f t="shared" si="45"/>
        <v>0</v>
      </c>
      <c r="AJ129" s="313">
        <f t="shared" si="69"/>
        <v>0</v>
      </c>
      <c r="AL129" s="309">
        <f t="shared" si="67"/>
        <v>0</v>
      </c>
      <c r="AM129" s="309">
        <f t="shared" ca="1" si="47"/>
        <v>0</v>
      </c>
      <c r="AO129" s="11"/>
      <c r="AP129" s="361" t="str">
        <f t="shared" ca="1" si="49"/>
        <v/>
      </c>
      <c r="AQ129" s="11">
        <f ca="1">IF(D129&gt;TODAY()-1,"",SUM($AM$6:AM129))</f>
        <v>1217632.2100000002</v>
      </c>
      <c r="AR129" s="11">
        <f ca="1">IF(AM129&lt;&gt;"", SUMIFS($AM$8:AM129, $BC$8:BC129, BC129), "")</f>
        <v>0</v>
      </c>
      <c r="AU129" s="124" t="str">
        <f t="shared" ca="1" si="51"/>
        <v>LINK</v>
      </c>
      <c r="AW129" s="125" t="s">
        <v>664</v>
      </c>
      <c r="AX129" t="str">
        <f t="shared" si="60"/>
        <v>25</v>
      </c>
      <c r="AY129" t="str">
        <f t="shared" si="68"/>
        <v>10</v>
      </c>
      <c r="AZ129" s="98">
        <f t="shared" si="61"/>
        <v>23</v>
      </c>
      <c r="BA129" t="str">
        <f t="shared" si="62"/>
        <v>4</v>
      </c>
      <c r="BB129" t="str">
        <f t="shared" si="58"/>
        <v>https://www.coreplan.io/app/ddh1-drilling/speewah-mining-speewah-fluorite-project-strike/plods/6174-251023D</v>
      </c>
      <c r="BC129" t="str">
        <f t="shared" si="63"/>
        <v>2025-10</v>
      </c>
    </row>
    <row r="130" spans="1:55">
      <c r="A130" s="510" t="e">
        <f>VLOOKUP(E130,'Tenement Lookup'!A:BH,60,FALSE)</f>
        <v>#N/A</v>
      </c>
      <c r="D130" s="265">
        <v>45954</v>
      </c>
      <c r="L130" s="187"/>
      <c r="N130" s="4"/>
      <c r="R130" s="318">
        <f t="shared" si="64"/>
        <v>0</v>
      </c>
      <c r="S130" s="273">
        <f t="shared" si="65"/>
        <v>0</v>
      </c>
      <c r="T130" s="269">
        <v>0</v>
      </c>
      <c r="U130" s="295">
        <f t="shared" si="66"/>
        <v>0</v>
      </c>
      <c r="Z130" s="292">
        <f t="shared" si="50"/>
        <v>0</v>
      </c>
      <c r="AF130" s="416">
        <f t="shared" si="43"/>
        <v>0</v>
      </c>
      <c r="AH130" s="314">
        <f t="shared" si="44"/>
        <v>0</v>
      </c>
      <c r="AI130" s="312">
        <f t="shared" si="45"/>
        <v>0</v>
      </c>
      <c r="AJ130" s="313">
        <f t="shared" si="69"/>
        <v>0</v>
      </c>
      <c r="AL130" s="309">
        <f t="shared" si="67"/>
        <v>0</v>
      </c>
      <c r="AM130" s="309">
        <f t="shared" ca="1" si="47"/>
        <v>0</v>
      </c>
      <c r="AO130" s="11"/>
      <c r="AP130" s="361" t="str">
        <f t="shared" ca="1" si="49"/>
        <v/>
      </c>
      <c r="AQ130" s="11">
        <f ca="1">IF(D130&gt;TODAY()-1,"",SUM($AM$6:AM130))</f>
        <v>1217632.2100000002</v>
      </c>
      <c r="AR130" s="11">
        <f ca="1">IF(AM130&lt;&gt;"", SUMIFS($AM$8:AM130, $BC$8:BC130, BC130), "")</f>
        <v>0</v>
      </c>
      <c r="AU130" s="124" t="str">
        <f t="shared" ca="1" si="51"/>
        <v>LINK</v>
      </c>
      <c r="AW130" s="125" t="s">
        <v>664</v>
      </c>
      <c r="AX130" t="str">
        <f t="shared" si="60"/>
        <v>25</v>
      </c>
      <c r="AY130" t="str">
        <f t="shared" si="68"/>
        <v>10</v>
      </c>
      <c r="AZ130" s="98">
        <f t="shared" si="61"/>
        <v>24</v>
      </c>
      <c r="BA130" t="str">
        <f t="shared" si="62"/>
        <v>4</v>
      </c>
      <c r="BB130" t="str">
        <f t="shared" si="58"/>
        <v>https://www.coreplan.io/app/ddh1-drilling/speewah-mining-speewah-fluorite-project-strike/plods/6174-251024D</v>
      </c>
      <c r="BC130" t="str">
        <f t="shared" si="63"/>
        <v>2025-10</v>
      </c>
    </row>
    <row r="131" spans="1:55">
      <c r="A131" s="510" t="e">
        <f>VLOOKUP(E131,'Tenement Lookup'!A:BH,60,FALSE)</f>
        <v>#N/A</v>
      </c>
      <c r="D131" s="265">
        <v>45955</v>
      </c>
      <c r="L131" s="187"/>
      <c r="N131" s="4"/>
      <c r="R131" s="318">
        <f t="shared" si="64"/>
        <v>0</v>
      </c>
      <c r="S131" s="273">
        <f t="shared" si="65"/>
        <v>0</v>
      </c>
      <c r="T131" s="269">
        <v>0</v>
      </c>
      <c r="U131" s="295">
        <f t="shared" si="66"/>
        <v>0</v>
      </c>
      <c r="Z131" s="292">
        <f t="shared" si="50"/>
        <v>0</v>
      </c>
      <c r="AF131" s="416">
        <f t="shared" si="43"/>
        <v>0</v>
      </c>
      <c r="AH131" s="314">
        <f t="shared" si="44"/>
        <v>0</v>
      </c>
      <c r="AI131" s="312">
        <f t="shared" si="45"/>
        <v>0</v>
      </c>
      <c r="AJ131" s="313">
        <f t="shared" si="69"/>
        <v>0</v>
      </c>
      <c r="AL131" s="309">
        <f t="shared" si="67"/>
        <v>0</v>
      </c>
      <c r="AM131" s="309">
        <f t="shared" ca="1" si="47"/>
        <v>0</v>
      </c>
      <c r="AO131" s="11"/>
      <c r="AP131" s="361" t="str">
        <f t="shared" ca="1" si="49"/>
        <v/>
      </c>
      <c r="AQ131" s="11">
        <f ca="1">IF(D131&gt;TODAY()-1,"",SUM($AM$6:AM131))</f>
        <v>1217632.2100000002</v>
      </c>
      <c r="AR131" s="11">
        <f ca="1">IF(AM131&lt;&gt;"", SUMIFS($AM$8:AM131, $BC$8:BC131, BC131), "")</f>
        <v>0</v>
      </c>
      <c r="AU131" s="124" t="str">
        <f t="shared" ca="1" si="51"/>
        <v>LINK</v>
      </c>
      <c r="AW131" s="125" t="s">
        <v>664</v>
      </c>
      <c r="AX131" t="str">
        <f t="shared" si="60"/>
        <v>25</v>
      </c>
      <c r="AY131" t="str">
        <f t="shared" si="68"/>
        <v>10</v>
      </c>
      <c r="AZ131" s="98">
        <f t="shared" si="61"/>
        <v>25</v>
      </c>
      <c r="BA131" t="str">
        <f t="shared" si="62"/>
        <v>4</v>
      </c>
      <c r="BB131" t="str">
        <f t="shared" si="58"/>
        <v>https://www.coreplan.io/app/ddh1-drilling/speewah-mining-speewah-fluorite-project-strike/plods/6174-251025D</v>
      </c>
      <c r="BC131" t="str">
        <f t="shared" si="63"/>
        <v>2025-10</v>
      </c>
    </row>
    <row r="132" spans="1:55">
      <c r="A132" s="510" t="e">
        <f>VLOOKUP(E132,'Tenement Lookup'!A:BH,60,FALSE)</f>
        <v>#N/A</v>
      </c>
      <c r="D132" s="265">
        <v>45956</v>
      </c>
      <c r="L132" s="187"/>
      <c r="N132" s="4"/>
      <c r="R132" s="318">
        <f t="shared" si="64"/>
        <v>0</v>
      </c>
      <c r="S132" s="273">
        <f t="shared" si="65"/>
        <v>0</v>
      </c>
      <c r="T132" s="269">
        <v>0</v>
      </c>
      <c r="U132" s="295">
        <f t="shared" si="66"/>
        <v>0</v>
      </c>
      <c r="Z132" s="292">
        <f t="shared" si="50"/>
        <v>0</v>
      </c>
      <c r="AF132" s="416">
        <f t="shared" si="43"/>
        <v>0</v>
      </c>
      <c r="AH132" s="314">
        <f t="shared" si="44"/>
        <v>0</v>
      </c>
      <c r="AI132" s="312">
        <f t="shared" si="45"/>
        <v>0</v>
      </c>
      <c r="AJ132" s="313">
        <f t="shared" si="69"/>
        <v>0</v>
      </c>
      <c r="AL132" s="309">
        <f t="shared" ref="AL132:AL163" si="70">AK132-K132</f>
        <v>0</v>
      </c>
      <c r="AM132" s="309">
        <f t="shared" ca="1" si="47"/>
        <v>0</v>
      </c>
      <c r="AO132" s="11"/>
      <c r="AP132" s="361" t="str">
        <f t="shared" ca="1" si="49"/>
        <v/>
      </c>
      <c r="AQ132" s="11">
        <f ca="1">IF(D132&gt;TODAY()-1,"",SUM($AM$6:AM132))</f>
        <v>1217632.2100000002</v>
      </c>
      <c r="AR132" s="11">
        <f ca="1">IF(AM132&lt;&gt;"", SUMIFS($AM$8:AM132, $BC$8:BC132, BC132), "")</f>
        <v>0</v>
      </c>
      <c r="AU132" s="124" t="str">
        <f t="shared" ca="1" si="51"/>
        <v>LINK</v>
      </c>
      <c r="AW132" s="125" t="s">
        <v>664</v>
      </c>
      <c r="AX132" t="str">
        <f t="shared" si="60"/>
        <v>25</v>
      </c>
      <c r="AY132" t="str">
        <f t="shared" si="68"/>
        <v>10</v>
      </c>
      <c r="AZ132" s="98">
        <f t="shared" si="61"/>
        <v>26</v>
      </c>
      <c r="BA132" t="str">
        <f t="shared" si="62"/>
        <v>4</v>
      </c>
      <c r="BB132" t="str">
        <f t="shared" si="58"/>
        <v>https://www.coreplan.io/app/ddh1-drilling/speewah-mining-speewah-fluorite-project-strike/plods/6174-251026D</v>
      </c>
      <c r="BC132" t="str">
        <f t="shared" si="63"/>
        <v>2025-10</v>
      </c>
    </row>
    <row r="133" spans="1:55">
      <c r="A133" s="510" t="e">
        <f>VLOOKUP(E133,'Tenement Lookup'!A:BH,60,FALSE)</f>
        <v>#N/A</v>
      </c>
      <c r="D133" s="265">
        <v>45957</v>
      </c>
      <c r="L133" s="187"/>
      <c r="N133" s="4"/>
      <c r="R133" s="318">
        <f t="shared" si="64"/>
        <v>0</v>
      </c>
      <c r="S133" s="273">
        <f t="shared" si="65"/>
        <v>0</v>
      </c>
      <c r="T133" s="269">
        <v>0</v>
      </c>
      <c r="U133" s="295">
        <f t="shared" si="66"/>
        <v>0</v>
      </c>
      <c r="Z133" s="292">
        <f t="shared" si="50"/>
        <v>0</v>
      </c>
      <c r="AF133" s="416">
        <f t="shared" si="43"/>
        <v>0</v>
      </c>
      <c r="AH133" s="314">
        <f t="shared" si="44"/>
        <v>0</v>
      </c>
      <c r="AI133" s="312">
        <f t="shared" si="45"/>
        <v>0</v>
      </c>
      <c r="AJ133" s="313">
        <f t="shared" si="69"/>
        <v>0</v>
      </c>
      <c r="AL133" s="309">
        <f t="shared" si="70"/>
        <v>0</v>
      </c>
      <c r="AM133" s="309">
        <f t="shared" ca="1" si="47"/>
        <v>0</v>
      </c>
      <c r="AO133" s="11"/>
      <c r="AP133" s="361" t="str">
        <f t="shared" ca="1" si="49"/>
        <v/>
      </c>
      <c r="AQ133" s="11">
        <f ca="1">IF(D133&gt;TODAY()-1,"",SUM($AM$6:AM133))</f>
        <v>1217632.2100000002</v>
      </c>
      <c r="AR133" s="11">
        <f ca="1">IF(AM133&lt;&gt;"", SUMIFS($AM$8:AM133, $BC$8:BC133, BC133), "")</f>
        <v>0</v>
      </c>
      <c r="AU133" s="124" t="str">
        <f t="shared" ca="1" si="51"/>
        <v>LINK</v>
      </c>
      <c r="AW133" s="125" t="s">
        <v>664</v>
      </c>
      <c r="AX133" t="str">
        <f t="shared" si="60"/>
        <v>25</v>
      </c>
      <c r="AY133" t="str">
        <f t="shared" si="68"/>
        <v>10</v>
      </c>
      <c r="AZ133" s="98">
        <f t="shared" si="61"/>
        <v>27</v>
      </c>
      <c r="BA133" t="str">
        <f t="shared" si="62"/>
        <v>4</v>
      </c>
      <c r="BB133" t="str">
        <f t="shared" si="58"/>
        <v>https://www.coreplan.io/app/ddh1-drilling/speewah-mining-speewah-fluorite-project-strike/plods/6174-251027D</v>
      </c>
      <c r="BC133" t="str">
        <f t="shared" si="63"/>
        <v>2025-10</v>
      </c>
    </row>
    <row r="134" spans="1:55">
      <c r="A134" s="510" t="e">
        <f>VLOOKUP(E134,'Tenement Lookup'!A:BH,60,FALSE)</f>
        <v>#N/A</v>
      </c>
      <c r="D134" s="265">
        <v>45958</v>
      </c>
      <c r="L134" s="187"/>
      <c r="N134" s="4"/>
      <c r="R134" s="318">
        <f t="shared" si="64"/>
        <v>0</v>
      </c>
      <c r="S134" s="273">
        <f t="shared" si="65"/>
        <v>0</v>
      </c>
      <c r="T134" s="269">
        <v>0</v>
      </c>
      <c r="U134" s="295">
        <f t="shared" si="66"/>
        <v>0</v>
      </c>
      <c r="Z134" s="292">
        <f t="shared" si="50"/>
        <v>0</v>
      </c>
      <c r="AF134" s="416">
        <f t="shared" ref="AF134:AF197" si="71">SUM(Z134:AE134)</f>
        <v>0</v>
      </c>
      <c r="AH134" s="314">
        <f t="shared" ref="AH134:AH197" si="72">SUMPRODUCT(X134:Y134,$X$3:$Y$3)</f>
        <v>0</v>
      </c>
      <c r="AI134" s="312">
        <f t="shared" ref="AI134:AI197" si="73">SUMPRODUCT(V134:W134,$V$3:$W$3)</f>
        <v>0</v>
      </c>
      <c r="AJ134" s="313">
        <f t="shared" si="69"/>
        <v>0</v>
      </c>
      <c r="AL134" s="309">
        <f t="shared" si="70"/>
        <v>0</v>
      </c>
      <c r="AM134" s="309">
        <f t="shared" ref="AM134:AM197" ca="1" si="74">IF(D134&gt;TODAY()-1,"",AI134+AH134+K134+U134+AJ134+AL134)</f>
        <v>0</v>
      </c>
      <c r="AO134" s="11"/>
      <c r="AP134" s="361" t="str">
        <f t="shared" ref="AP134:AP197" ca="1" si="75">IFERROR((AM134-AO134)/AM134,"")</f>
        <v/>
      </c>
      <c r="AQ134" s="11">
        <f ca="1">IF(D134&gt;TODAY()-1,"",SUM($AM$6:AM134))</f>
        <v>1217632.2100000002</v>
      </c>
      <c r="AR134" s="11">
        <f ca="1">IF(AM134&lt;&gt;"", SUMIFS($AM$8:AM134, $BC$8:BC134, BC134), "")</f>
        <v>0</v>
      </c>
      <c r="AU134" s="124" t="str">
        <f t="shared" ca="1" si="51"/>
        <v>LINK</v>
      </c>
      <c r="AW134" s="125" t="s">
        <v>664</v>
      </c>
      <c r="AX134" t="str">
        <f t="shared" si="60"/>
        <v>25</v>
      </c>
      <c r="AY134" t="str">
        <f t="shared" si="68"/>
        <v>10</v>
      </c>
      <c r="AZ134" s="98">
        <f t="shared" si="61"/>
        <v>28</v>
      </c>
      <c r="BA134" t="str">
        <f t="shared" si="62"/>
        <v>4</v>
      </c>
      <c r="BB134" t="str">
        <f t="shared" si="58"/>
        <v>https://www.coreplan.io/app/ddh1-drilling/speewah-mining-speewah-fluorite-project-strike/plods/6174-251028D</v>
      </c>
      <c r="BC134" t="str">
        <f t="shared" si="63"/>
        <v>2025-10</v>
      </c>
    </row>
    <row r="135" spans="1:55">
      <c r="A135" s="510" t="e">
        <f>VLOOKUP(E135,'Tenement Lookup'!A:BH,60,FALSE)</f>
        <v>#N/A</v>
      </c>
      <c r="D135" s="265">
        <v>45959</v>
      </c>
      <c r="L135" s="187"/>
      <c r="N135" s="4"/>
      <c r="R135" s="318">
        <f t="shared" si="64"/>
        <v>0</v>
      </c>
      <c r="S135" s="273">
        <f t="shared" si="65"/>
        <v>0</v>
      </c>
      <c r="T135" s="269">
        <v>0</v>
      </c>
      <c r="U135" s="295">
        <f t="shared" si="66"/>
        <v>0</v>
      </c>
      <c r="Z135" s="292">
        <f t="shared" ref="Z135:Z198" si="76">T135</f>
        <v>0</v>
      </c>
      <c r="AF135" s="416">
        <f t="shared" si="71"/>
        <v>0</v>
      </c>
      <c r="AH135" s="314">
        <f t="shared" si="72"/>
        <v>0</v>
      </c>
      <c r="AI135" s="312">
        <f t="shared" si="73"/>
        <v>0</v>
      </c>
      <c r="AJ135" s="313">
        <f t="shared" si="69"/>
        <v>0</v>
      </c>
      <c r="AL135" s="309">
        <f t="shared" si="70"/>
        <v>0</v>
      </c>
      <c r="AM135" s="309">
        <f t="shared" ca="1" si="74"/>
        <v>0</v>
      </c>
      <c r="AO135" s="11"/>
      <c r="AP135" s="361" t="str">
        <f t="shared" ca="1" si="75"/>
        <v/>
      </c>
      <c r="AQ135" s="11">
        <f ca="1">IF(D135&gt;TODAY()-1,"",SUM($AM$6:AM135))</f>
        <v>1217632.2100000002</v>
      </c>
      <c r="AR135" s="11">
        <f ca="1">IF(AM135&lt;&gt;"", SUMIFS($AM$8:AM135, $BC$8:BC135, BC135), "")</f>
        <v>0</v>
      </c>
      <c r="AU135" s="124" t="str">
        <f t="shared" ca="1" si="51"/>
        <v>LINK</v>
      </c>
      <c r="AW135" s="125" t="s">
        <v>664</v>
      </c>
      <c r="AX135" t="str">
        <f t="shared" si="60"/>
        <v>25</v>
      </c>
      <c r="AY135" t="str">
        <f t="shared" si="68"/>
        <v>10</v>
      </c>
      <c r="AZ135" s="98">
        <f t="shared" si="61"/>
        <v>29</v>
      </c>
      <c r="BA135" t="str">
        <f t="shared" si="62"/>
        <v>4</v>
      </c>
      <c r="BB135" t="str">
        <f t="shared" si="58"/>
        <v>https://www.coreplan.io/app/ddh1-drilling/speewah-mining-speewah-fluorite-project-strike/plods/6174-251029D</v>
      </c>
      <c r="BC135" t="str">
        <f t="shared" si="63"/>
        <v>2025-10</v>
      </c>
    </row>
    <row r="136" spans="1:55">
      <c r="A136" s="510" t="e">
        <f>VLOOKUP(E136,'Tenement Lookup'!A:BH,60,FALSE)</f>
        <v>#N/A</v>
      </c>
      <c r="D136" s="265">
        <v>45960</v>
      </c>
      <c r="L136" s="187"/>
      <c r="N136" s="4"/>
      <c r="R136" s="318">
        <f t="shared" si="64"/>
        <v>0</v>
      </c>
      <c r="S136" s="273">
        <f t="shared" si="65"/>
        <v>0</v>
      </c>
      <c r="T136" s="269">
        <v>0</v>
      </c>
      <c r="U136" s="295">
        <f t="shared" si="66"/>
        <v>0</v>
      </c>
      <c r="Z136" s="292">
        <f t="shared" si="76"/>
        <v>0</v>
      </c>
      <c r="AF136" s="416">
        <f t="shared" si="71"/>
        <v>0</v>
      </c>
      <c r="AH136" s="314">
        <f t="shared" si="72"/>
        <v>0</v>
      </c>
      <c r="AI136" s="312">
        <f t="shared" si="73"/>
        <v>0</v>
      </c>
      <c r="AJ136" s="313">
        <f t="shared" si="69"/>
        <v>0</v>
      </c>
      <c r="AL136" s="309">
        <f t="shared" si="70"/>
        <v>0</v>
      </c>
      <c r="AM136" s="309">
        <f t="shared" ca="1" si="74"/>
        <v>0</v>
      </c>
      <c r="AO136" s="11"/>
      <c r="AP136" s="361" t="str">
        <f t="shared" ca="1" si="75"/>
        <v/>
      </c>
      <c r="AQ136" s="11">
        <f ca="1">IF(D136&gt;TODAY()-1,"",SUM($AM$6:AM136))</f>
        <v>1217632.2100000002</v>
      </c>
      <c r="AR136" s="11">
        <f ca="1">IF(AM136&lt;&gt;"", SUMIFS($AM$8:AM136, $BC$8:BC136, BC136), "")</f>
        <v>0</v>
      </c>
      <c r="AU136" s="124" t="str">
        <f t="shared" ref="AU136:AU199" ca="1" si="77">IF(D136&lt;TODAY(),HYPERLINK(BB136,"LINK"),"")</f>
        <v>LINK</v>
      </c>
      <c r="AX136" t="str">
        <f t="shared" si="60"/>
        <v>25</v>
      </c>
      <c r="AY136" t="str">
        <f t="shared" si="68"/>
        <v>10</v>
      </c>
      <c r="AZ136" s="98">
        <f t="shared" si="61"/>
        <v>30</v>
      </c>
      <c r="BA136" t="str">
        <f t="shared" si="62"/>
        <v>4</v>
      </c>
      <c r="BB136" t="str">
        <f t="shared" si="58"/>
        <v>-251030D</v>
      </c>
      <c r="BC136" t="str">
        <f t="shared" si="63"/>
        <v>2025-10</v>
      </c>
    </row>
    <row r="137" spans="1:55">
      <c r="A137" s="510" t="e">
        <f>VLOOKUP(E137,'Tenement Lookup'!A:BH,60,FALSE)</f>
        <v>#N/A</v>
      </c>
      <c r="D137" s="265">
        <v>45961</v>
      </c>
      <c r="L137" s="187"/>
      <c r="N137" s="4"/>
      <c r="R137" s="318">
        <f t="shared" si="64"/>
        <v>0</v>
      </c>
      <c r="S137" s="273">
        <f t="shared" si="65"/>
        <v>0</v>
      </c>
      <c r="T137" s="269">
        <v>0</v>
      </c>
      <c r="U137" s="295">
        <f t="shared" si="66"/>
        <v>0</v>
      </c>
      <c r="Z137" s="292">
        <f t="shared" si="76"/>
        <v>0</v>
      </c>
      <c r="AF137" s="416">
        <f t="shared" si="71"/>
        <v>0</v>
      </c>
      <c r="AH137" s="314">
        <f t="shared" si="72"/>
        <v>0</v>
      </c>
      <c r="AI137" s="312">
        <f t="shared" si="73"/>
        <v>0</v>
      </c>
      <c r="AJ137" s="313">
        <f t="shared" si="69"/>
        <v>0</v>
      </c>
      <c r="AL137" s="309">
        <f t="shared" si="70"/>
        <v>0</v>
      </c>
      <c r="AM137" s="309">
        <f t="shared" ca="1" si="74"/>
        <v>0</v>
      </c>
      <c r="AO137" s="11"/>
      <c r="AP137" s="361" t="str">
        <f t="shared" ca="1" si="75"/>
        <v/>
      </c>
      <c r="AQ137" s="11">
        <f ca="1">IF(D137&gt;TODAY()-1,"",SUM($AM$6:AM137))</f>
        <v>1217632.2100000002</v>
      </c>
      <c r="AR137" s="11">
        <f ca="1">IF(AM137&lt;&gt;"", SUMIFS($AM$8:AM137, $BC$8:BC137, BC137), "")</f>
        <v>0</v>
      </c>
      <c r="AU137" s="124" t="str">
        <f t="shared" ca="1" si="77"/>
        <v>LINK</v>
      </c>
      <c r="AX137" t="str">
        <f t="shared" si="60"/>
        <v>25</v>
      </c>
      <c r="AY137" t="str">
        <f t="shared" si="68"/>
        <v>10</v>
      </c>
      <c r="AZ137" s="98">
        <f t="shared" si="61"/>
        <v>31</v>
      </c>
      <c r="BA137" t="str">
        <f t="shared" si="62"/>
        <v>4</v>
      </c>
      <c r="BB137" t="str">
        <f t="shared" ref="BB137" si="78">CONCATENATE(AW137,"-",AX137,AY137,AZ137,"D")</f>
        <v>-251031D</v>
      </c>
      <c r="BC137" t="str">
        <f t="shared" si="63"/>
        <v>2025-10</v>
      </c>
    </row>
    <row r="138" spans="1:55">
      <c r="A138" s="510" t="e">
        <f>VLOOKUP(E138,'Tenement Lookup'!A:BH,60,FALSE)</f>
        <v>#N/A</v>
      </c>
      <c r="D138" s="265">
        <v>45962</v>
      </c>
      <c r="L138" s="187"/>
      <c r="N138" s="4"/>
      <c r="R138" s="318">
        <f t="shared" si="64"/>
        <v>0</v>
      </c>
      <c r="S138" s="273">
        <f t="shared" si="65"/>
        <v>0</v>
      </c>
      <c r="T138" s="269">
        <v>0</v>
      </c>
      <c r="U138" s="295">
        <f t="shared" si="66"/>
        <v>0</v>
      </c>
      <c r="Z138" s="292">
        <f t="shared" si="76"/>
        <v>0</v>
      </c>
      <c r="AF138" s="416">
        <f t="shared" si="71"/>
        <v>0</v>
      </c>
      <c r="AH138" s="314">
        <f t="shared" si="72"/>
        <v>0</v>
      </c>
      <c r="AI138" s="312">
        <f t="shared" si="73"/>
        <v>0</v>
      </c>
      <c r="AJ138" s="313">
        <f t="shared" si="69"/>
        <v>0</v>
      </c>
      <c r="AL138" s="309">
        <f t="shared" si="70"/>
        <v>0</v>
      </c>
      <c r="AM138" s="309">
        <f t="shared" ca="1" si="74"/>
        <v>0</v>
      </c>
      <c r="AO138" s="11"/>
      <c r="AP138" s="361" t="str">
        <f t="shared" ca="1" si="75"/>
        <v/>
      </c>
      <c r="AQ138" s="11">
        <f ca="1">IF(D138&gt;TODAY()-1,"",SUM($AM$6:AM138))</f>
        <v>1217632.2100000002</v>
      </c>
      <c r="AR138" s="11">
        <f ca="1">IF(AM138&lt;&gt;"", SUMIFS($AM$8:AM138, $BC$8:BC138, BC138), "")</f>
        <v>0</v>
      </c>
      <c r="AU138" s="124" t="str">
        <f t="shared" ca="1" si="77"/>
        <v>LINK</v>
      </c>
    </row>
    <row r="139" spans="1:55">
      <c r="A139" s="510" t="e">
        <f>VLOOKUP(E139,'Tenement Lookup'!A:BH,60,FALSE)</f>
        <v>#N/A</v>
      </c>
      <c r="D139" s="265">
        <v>45963</v>
      </c>
      <c r="L139" s="187"/>
      <c r="N139" s="4"/>
      <c r="R139" s="318">
        <f t="shared" si="64"/>
        <v>0</v>
      </c>
      <c r="S139" s="273">
        <f t="shared" si="65"/>
        <v>0</v>
      </c>
      <c r="T139" s="269">
        <v>0</v>
      </c>
      <c r="U139" s="295">
        <f t="shared" si="66"/>
        <v>0</v>
      </c>
      <c r="Z139" s="292">
        <f t="shared" si="76"/>
        <v>0</v>
      </c>
      <c r="AF139" s="416">
        <f t="shared" si="71"/>
        <v>0</v>
      </c>
      <c r="AH139" s="314">
        <f t="shared" si="72"/>
        <v>0</v>
      </c>
      <c r="AI139" s="312">
        <f t="shared" si="73"/>
        <v>0</v>
      </c>
      <c r="AJ139" s="313">
        <f t="shared" si="69"/>
        <v>0</v>
      </c>
      <c r="AL139" s="309">
        <f t="shared" si="70"/>
        <v>0</v>
      </c>
      <c r="AM139" s="309">
        <f t="shared" ca="1" si="74"/>
        <v>0</v>
      </c>
      <c r="AO139" s="11"/>
      <c r="AP139" s="361" t="str">
        <f t="shared" ca="1" si="75"/>
        <v/>
      </c>
      <c r="AQ139" s="11">
        <f ca="1">IF(D139&gt;TODAY()-1,"",SUM($AM$6:AM139))</f>
        <v>1217632.2100000002</v>
      </c>
      <c r="AR139" s="11">
        <f ca="1">IF(AM139&lt;&gt;"", SUMIFS($AM$8:AM139, $BC$8:BC139, BC139), "")</f>
        <v>0</v>
      </c>
      <c r="AU139" s="124" t="str">
        <f t="shared" ca="1" si="77"/>
        <v>LINK</v>
      </c>
    </row>
    <row r="140" spans="1:55">
      <c r="A140" s="510" t="e">
        <f>VLOOKUP(E140,'Tenement Lookup'!A:BH,60,FALSE)</f>
        <v>#N/A</v>
      </c>
      <c r="D140" s="265">
        <v>45964</v>
      </c>
      <c r="L140" s="187"/>
      <c r="N140" s="4"/>
      <c r="R140" s="318">
        <f t="shared" si="64"/>
        <v>0</v>
      </c>
      <c r="S140" s="273">
        <f t="shared" si="65"/>
        <v>0</v>
      </c>
      <c r="T140" s="269">
        <v>0</v>
      </c>
      <c r="U140" s="295">
        <f t="shared" si="66"/>
        <v>0</v>
      </c>
      <c r="Z140" s="292">
        <f t="shared" si="76"/>
        <v>0</v>
      </c>
      <c r="AF140" s="416">
        <f t="shared" si="71"/>
        <v>0</v>
      </c>
      <c r="AH140" s="314">
        <f t="shared" si="72"/>
        <v>0</v>
      </c>
      <c r="AI140" s="312">
        <f t="shared" si="73"/>
        <v>0</v>
      </c>
      <c r="AJ140" s="313">
        <f t="shared" si="69"/>
        <v>0</v>
      </c>
      <c r="AL140" s="309">
        <f t="shared" si="70"/>
        <v>0</v>
      </c>
      <c r="AM140" s="309">
        <f t="shared" ca="1" si="74"/>
        <v>0</v>
      </c>
      <c r="AO140" s="11"/>
      <c r="AP140" s="361" t="str">
        <f t="shared" ca="1" si="75"/>
        <v/>
      </c>
      <c r="AQ140" s="11">
        <f ca="1">IF(D140&gt;TODAY()-1,"",SUM($AM$6:AM140))</f>
        <v>1217632.2100000002</v>
      </c>
      <c r="AR140" s="11">
        <f ca="1">IF(AM140&lt;&gt;"", SUMIFS($AM$8:AM140, $BC$8:BC140, BC140), "")</f>
        <v>0</v>
      </c>
      <c r="AU140" s="124" t="str">
        <f t="shared" ca="1" si="77"/>
        <v>LINK</v>
      </c>
    </row>
    <row r="141" spans="1:55">
      <c r="A141" s="510" t="e">
        <f>VLOOKUP(E141,'Tenement Lookup'!A:BH,60,FALSE)</f>
        <v>#N/A</v>
      </c>
      <c r="D141" s="265">
        <v>45965</v>
      </c>
      <c r="L141" s="187"/>
      <c r="N141" s="4"/>
      <c r="R141" s="318">
        <f t="shared" si="64"/>
        <v>0</v>
      </c>
      <c r="S141" s="273">
        <f t="shared" si="65"/>
        <v>0</v>
      </c>
      <c r="T141" s="269">
        <v>0</v>
      </c>
      <c r="U141" s="295">
        <f t="shared" si="66"/>
        <v>0</v>
      </c>
      <c r="Z141" s="292">
        <f t="shared" si="76"/>
        <v>0</v>
      </c>
      <c r="AF141" s="416">
        <f t="shared" si="71"/>
        <v>0</v>
      </c>
      <c r="AH141" s="314">
        <f t="shared" si="72"/>
        <v>0</v>
      </c>
      <c r="AI141" s="312">
        <f t="shared" si="73"/>
        <v>0</v>
      </c>
      <c r="AJ141" s="313">
        <f t="shared" si="69"/>
        <v>0</v>
      </c>
      <c r="AL141" s="309">
        <f t="shared" si="70"/>
        <v>0</v>
      </c>
      <c r="AM141" s="309">
        <f t="shared" ca="1" si="74"/>
        <v>0</v>
      </c>
      <c r="AO141" s="11"/>
      <c r="AP141" s="361" t="str">
        <f t="shared" ca="1" si="75"/>
        <v/>
      </c>
      <c r="AQ141" s="11">
        <f ca="1">IF(D141&gt;TODAY()-1,"",SUM($AM$6:AM141))</f>
        <v>1217632.2100000002</v>
      </c>
      <c r="AR141" s="11">
        <f ca="1">IF(AM141&lt;&gt;"", SUMIFS($AM$8:AM141, $BC$8:BC141, BC141), "")</f>
        <v>0</v>
      </c>
      <c r="AU141" s="124" t="str">
        <f t="shared" ca="1" si="77"/>
        <v>LINK</v>
      </c>
    </row>
    <row r="142" spans="1:55">
      <c r="A142" s="510" t="e">
        <f>VLOOKUP(E142,'Tenement Lookup'!A:BH,60,FALSE)</f>
        <v>#N/A</v>
      </c>
      <c r="D142" s="265">
        <v>45966</v>
      </c>
      <c r="L142" s="187"/>
      <c r="N142" s="4"/>
      <c r="R142" s="318">
        <f t="shared" si="64"/>
        <v>0</v>
      </c>
      <c r="S142" s="273">
        <f t="shared" si="65"/>
        <v>0</v>
      </c>
      <c r="T142" s="269">
        <v>0</v>
      </c>
      <c r="U142" s="295">
        <f t="shared" si="66"/>
        <v>0</v>
      </c>
      <c r="Z142" s="292">
        <f t="shared" si="76"/>
        <v>0</v>
      </c>
      <c r="AF142" s="416">
        <f t="shared" si="71"/>
        <v>0</v>
      </c>
      <c r="AH142" s="314">
        <f t="shared" si="72"/>
        <v>0</v>
      </c>
      <c r="AI142" s="312">
        <f t="shared" si="73"/>
        <v>0</v>
      </c>
      <c r="AJ142" s="313">
        <f t="shared" si="69"/>
        <v>0</v>
      </c>
      <c r="AL142" s="309">
        <f t="shared" si="70"/>
        <v>0</v>
      </c>
      <c r="AM142" s="309">
        <f t="shared" ca="1" si="74"/>
        <v>0</v>
      </c>
      <c r="AO142" s="11"/>
      <c r="AP142" s="361" t="str">
        <f t="shared" ca="1" si="75"/>
        <v/>
      </c>
      <c r="AQ142" s="11">
        <f ca="1">IF(D142&gt;TODAY()-1,"",SUM($AM$6:AM142))</f>
        <v>1217632.2100000002</v>
      </c>
      <c r="AR142" s="11">
        <f ca="1">IF(AM142&lt;&gt;"", SUMIFS($AM$8:AM142, $BC$8:BC142, BC142), "")</f>
        <v>0</v>
      </c>
      <c r="AU142" s="124" t="str">
        <f t="shared" ca="1" si="77"/>
        <v>LINK</v>
      </c>
    </row>
    <row r="143" spans="1:55">
      <c r="A143" s="510" t="e">
        <f>VLOOKUP(E143,'Tenement Lookup'!A:BH,60,FALSE)</f>
        <v>#N/A</v>
      </c>
      <c r="D143" s="265">
        <v>45967</v>
      </c>
      <c r="L143" s="187"/>
      <c r="N143" s="4"/>
      <c r="R143" s="318">
        <f t="shared" si="64"/>
        <v>0</v>
      </c>
      <c r="S143" s="273">
        <f t="shared" si="65"/>
        <v>0</v>
      </c>
      <c r="T143" s="269">
        <v>0</v>
      </c>
      <c r="U143" s="295">
        <f t="shared" si="66"/>
        <v>0</v>
      </c>
      <c r="Z143" s="292">
        <f t="shared" si="76"/>
        <v>0</v>
      </c>
      <c r="AF143" s="416">
        <f t="shared" si="71"/>
        <v>0</v>
      </c>
      <c r="AH143" s="314">
        <f t="shared" si="72"/>
        <v>0</v>
      </c>
      <c r="AI143" s="312">
        <f t="shared" si="73"/>
        <v>0</v>
      </c>
      <c r="AJ143" s="313">
        <f t="shared" si="69"/>
        <v>0</v>
      </c>
      <c r="AL143" s="309">
        <f t="shared" si="70"/>
        <v>0</v>
      </c>
      <c r="AM143" s="309">
        <f t="shared" ca="1" si="74"/>
        <v>0</v>
      </c>
      <c r="AO143" s="11"/>
      <c r="AP143" s="361" t="str">
        <f t="shared" ca="1" si="75"/>
        <v/>
      </c>
      <c r="AQ143" s="11">
        <f ca="1">IF(D143&gt;TODAY()-1,"",SUM($AM$6:AM143))</f>
        <v>1217632.2100000002</v>
      </c>
      <c r="AR143" s="11">
        <f ca="1">IF(AM143&lt;&gt;"", SUMIFS($AM$8:AM143, $BC$8:BC143, BC143), "")</f>
        <v>0</v>
      </c>
      <c r="AU143" s="124" t="str">
        <f t="shared" ca="1" si="77"/>
        <v>LINK</v>
      </c>
    </row>
    <row r="144" spans="1:55">
      <c r="A144" s="510" t="e">
        <f>VLOOKUP(E144,'Tenement Lookup'!A:BH,60,FALSE)</f>
        <v>#N/A</v>
      </c>
      <c r="D144" s="265">
        <v>45968</v>
      </c>
      <c r="L144" s="187"/>
      <c r="N144" s="4"/>
      <c r="R144" s="318">
        <f t="shared" si="64"/>
        <v>0</v>
      </c>
      <c r="S144" s="273">
        <f t="shared" si="65"/>
        <v>0</v>
      </c>
      <c r="T144" s="269">
        <v>0</v>
      </c>
      <c r="U144" s="295">
        <f t="shared" si="66"/>
        <v>0</v>
      </c>
      <c r="Z144" s="292">
        <f t="shared" si="76"/>
        <v>0</v>
      </c>
      <c r="AF144" s="416">
        <f t="shared" si="71"/>
        <v>0</v>
      </c>
      <c r="AH144" s="314">
        <f t="shared" si="72"/>
        <v>0</v>
      </c>
      <c r="AI144" s="312">
        <f t="shared" si="73"/>
        <v>0</v>
      </c>
      <c r="AJ144" s="313">
        <f t="shared" si="69"/>
        <v>0</v>
      </c>
      <c r="AL144" s="309">
        <f t="shared" si="70"/>
        <v>0</v>
      </c>
      <c r="AM144" s="309">
        <f t="shared" ca="1" si="74"/>
        <v>0</v>
      </c>
      <c r="AO144" s="11"/>
      <c r="AP144" s="361" t="str">
        <f t="shared" ca="1" si="75"/>
        <v/>
      </c>
      <c r="AQ144" s="11">
        <f ca="1">IF(D144&gt;TODAY()-1,"",SUM($AM$6:AM144))</f>
        <v>1217632.2100000002</v>
      </c>
      <c r="AR144" s="11">
        <f ca="1">IF(AM144&lt;&gt;"", SUMIFS($AM$8:AM144, $BC$8:BC144, BC144), "")</f>
        <v>0</v>
      </c>
      <c r="AU144" s="124" t="str">
        <f t="shared" ca="1" si="77"/>
        <v>LINK</v>
      </c>
    </row>
    <row r="145" spans="1:47">
      <c r="A145" s="510" t="e">
        <f>VLOOKUP(E145,'Tenement Lookup'!A:BH,60,FALSE)</f>
        <v>#N/A</v>
      </c>
      <c r="D145" s="265">
        <v>45969</v>
      </c>
      <c r="L145" s="187"/>
      <c r="N145" s="4"/>
      <c r="R145" s="318">
        <f t="shared" si="64"/>
        <v>0</v>
      </c>
      <c r="S145" s="273">
        <f t="shared" si="65"/>
        <v>0</v>
      </c>
      <c r="T145" s="269">
        <v>0</v>
      </c>
      <c r="U145" s="295">
        <f t="shared" si="66"/>
        <v>0</v>
      </c>
      <c r="Z145" s="292">
        <f t="shared" si="76"/>
        <v>0</v>
      </c>
      <c r="AF145" s="416">
        <f t="shared" si="71"/>
        <v>0</v>
      </c>
      <c r="AH145" s="314">
        <f t="shared" si="72"/>
        <v>0</v>
      </c>
      <c r="AI145" s="312">
        <f t="shared" si="73"/>
        <v>0</v>
      </c>
      <c r="AJ145" s="313">
        <f t="shared" si="69"/>
        <v>0</v>
      </c>
      <c r="AL145" s="309">
        <f t="shared" si="70"/>
        <v>0</v>
      </c>
      <c r="AM145" s="309">
        <f t="shared" ca="1" si="74"/>
        <v>0</v>
      </c>
      <c r="AO145" s="11"/>
      <c r="AP145" s="361" t="str">
        <f t="shared" ca="1" si="75"/>
        <v/>
      </c>
      <c r="AQ145" s="11">
        <f ca="1">IF(D145&gt;TODAY()-1,"",SUM($AM$6:AM145))</f>
        <v>1217632.2100000002</v>
      </c>
      <c r="AR145" s="11">
        <f ca="1">IF(AM145&lt;&gt;"", SUMIFS($AM$8:AM145, $BC$8:BC145, BC145), "")</f>
        <v>0</v>
      </c>
      <c r="AU145" s="124" t="str">
        <f t="shared" ca="1" si="77"/>
        <v>LINK</v>
      </c>
    </row>
    <row r="146" spans="1:47">
      <c r="A146" s="510" t="e">
        <f>VLOOKUP(E146,'Tenement Lookup'!A:BH,60,FALSE)</f>
        <v>#N/A</v>
      </c>
      <c r="D146" s="265">
        <v>45970</v>
      </c>
      <c r="L146" s="187"/>
      <c r="N146" s="4"/>
      <c r="R146" s="318">
        <f t="shared" si="64"/>
        <v>0</v>
      </c>
      <c r="S146" s="273">
        <f t="shared" si="65"/>
        <v>0</v>
      </c>
      <c r="T146" s="269">
        <v>0</v>
      </c>
      <c r="U146" s="295">
        <f t="shared" si="66"/>
        <v>0</v>
      </c>
      <c r="Z146" s="292">
        <f t="shared" si="76"/>
        <v>0</v>
      </c>
      <c r="AF146" s="416">
        <f t="shared" si="71"/>
        <v>0</v>
      </c>
      <c r="AH146" s="314">
        <f t="shared" si="72"/>
        <v>0</v>
      </c>
      <c r="AI146" s="312">
        <f t="shared" si="73"/>
        <v>0</v>
      </c>
      <c r="AJ146" s="313">
        <f t="shared" si="69"/>
        <v>0</v>
      </c>
      <c r="AL146" s="309">
        <f t="shared" si="70"/>
        <v>0</v>
      </c>
      <c r="AM146" s="309">
        <f t="shared" ca="1" si="74"/>
        <v>0</v>
      </c>
      <c r="AO146" s="11"/>
      <c r="AP146" s="361" t="str">
        <f t="shared" ca="1" si="75"/>
        <v/>
      </c>
      <c r="AQ146" s="11">
        <f ca="1">IF(D146&gt;TODAY()-1,"",SUM($AM$6:AM146))</f>
        <v>1217632.2100000002</v>
      </c>
      <c r="AR146" s="11">
        <f ca="1">IF(AM146&lt;&gt;"", SUMIFS($AM$8:AM146, $BC$8:BC146, BC146), "")</f>
        <v>0</v>
      </c>
      <c r="AU146" s="124" t="str">
        <f t="shared" ca="1" si="77"/>
        <v>LINK</v>
      </c>
    </row>
    <row r="147" spans="1:47">
      <c r="A147" s="510" t="e">
        <f>VLOOKUP(E147,'Tenement Lookup'!A:BH,60,FALSE)</f>
        <v>#N/A</v>
      </c>
      <c r="D147" s="265">
        <v>45971</v>
      </c>
      <c r="L147" s="187"/>
      <c r="N147" s="4"/>
      <c r="R147" s="318">
        <f t="shared" si="64"/>
        <v>0</v>
      </c>
      <c r="S147" s="273">
        <f t="shared" si="65"/>
        <v>0</v>
      </c>
      <c r="T147" s="269">
        <v>0</v>
      </c>
      <c r="U147" s="295">
        <f t="shared" si="66"/>
        <v>0</v>
      </c>
      <c r="Z147" s="292">
        <f t="shared" si="76"/>
        <v>0</v>
      </c>
      <c r="AF147" s="416">
        <f t="shared" si="71"/>
        <v>0</v>
      </c>
      <c r="AH147" s="314">
        <f t="shared" si="72"/>
        <v>0</v>
      </c>
      <c r="AI147" s="312">
        <f t="shared" si="73"/>
        <v>0</v>
      </c>
      <c r="AJ147" s="313">
        <f t="shared" ref="AJ147:AJ178" si="79">SUMPRODUCT(AA147:AE147,$AA$3:$AE$3)</f>
        <v>0</v>
      </c>
      <c r="AL147" s="309">
        <f t="shared" si="70"/>
        <v>0</v>
      </c>
      <c r="AM147" s="309">
        <f t="shared" ca="1" si="74"/>
        <v>0</v>
      </c>
      <c r="AO147" s="11"/>
      <c r="AP147" s="361" t="str">
        <f t="shared" ca="1" si="75"/>
        <v/>
      </c>
      <c r="AQ147" s="11">
        <f ca="1">IF(D147&gt;TODAY()-1,"",SUM($AM$6:AM147))</f>
        <v>1217632.2100000002</v>
      </c>
      <c r="AR147" s="11">
        <f ca="1">IF(AM147&lt;&gt;"", SUMIFS($AM$8:AM147, $BC$8:BC147, BC147), "")</f>
        <v>0</v>
      </c>
      <c r="AU147" s="124" t="str">
        <f t="shared" ca="1" si="77"/>
        <v>LINK</v>
      </c>
    </row>
    <row r="148" spans="1:47">
      <c r="A148" s="510" t="e">
        <f>VLOOKUP(E148,'Tenement Lookup'!A:BH,60,FALSE)</f>
        <v>#N/A</v>
      </c>
      <c r="D148" s="265">
        <v>45972</v>
      </c>
      <c r="L148" s="187"/>
      <c r="N148" s="4"/>
      <c r="R148" s="318">
        <f t="shared" si="64"/>
        <v>0</v>
      </c>
      <c r="S148" s="273">
        <f t="shared" si="65"/>
        <v>0</v>
      </c>
      <c r="T148" s="269">
        <v>0</v>
      </c>
      <c r="U148" s="295">
        <f t="shared" si="66"/>
        <v>0</v>
      </c>
      <c r="Z148" s="292">
        <f t="shared" si="76"/>
        <v>0</v>
      </c>
      <c r="AF148" s="416">
        <f t="shared" si="71"/>
        <v>0</v>
      </c>
      <c r="AH148" s="314">
        <f t="shared" si="72"/>
        <v>0</v>
      </c>
      <c r="AI148" s="312">
        <f t="shared" si="73"/>
        <v>0</v>
      </c>
      <c r="AJ148" s="313">
        <f t="shared" si="79"/>
        <v>0</v>
      </c>
      <c r="AL148" s="309">
        <f t="shared" si="70"/>
        <v>0</v>
      </c>
      <c r="AM148" s="309">
        <f t="shared" ca="1" si="74"/>
        <v>0</v>
      </c>
      <c r="AO148" s="11"/>
      <c r="AP148" s="361" t="str">
        <f t="shared" ca="1" si="75"/>
        <v/>
      </c>
      <c r="AQ148" s="11">
        <f ca="1">IF(D148&gt;TODAY()-1,"",SUM($AM$6:AM148))</f>
        <v>1217632.2100000002</v>
      </c>
      <c r="AR148" s="11">
        <f ca="1">IF(AM148&lt;&gt;"", SUMIFS($AM$8:AM148, $BC$8:BC148, BC148), "")</f>
        <v>0</v>
      </c>
      <c r="AU148" s="124" t="str">
        <f t="shared" ca="1" si="77"/>
        <v>LINK</v>
      </c>
    </row>
    <row r="149" spans="1:47">
      <c r="A149" s="510" t="e">
        <f>VLOOKUP(E149,'Tenement Lookup'!A:BH,60,FALSE)</f>
        <v>#N/A</v>
      </c>
      <c r="D149" s="265">
        <v>45973</v>
      </c>
      <c r="L149" s="187"/>
      <c r="N149" s="4"/>
      <c r="R149" s="318">
        <f t="shared" si="64"/>
        <v>0</v>
      </c>
      <c r="S149" s="273">
        <f t="shared" si="65"/>
        <v>0</v>
      </c>
      <c r="T149" s="269">
        <v>0</v>
      </c>
      <c r="U149" s="295">
        <f t="shared" si="66"/>
        <v>0</v>
      </c>
      <c r="Z149" s="292">
        <f t="shared" si="76"/>
        <v>0</v>
      </c>
      <c r="AF149" s="416">
        <f t="shared" si="71"/>
        <v>0</v>
      </c>
      <c r="AH149" s="314">
        <f t="shared" si="72"/>
        <v>0</v>
      </c>
      <c r="AI149" s="312">
        <f t="shared" si="73"/>
        <v>0</v>
      </c>
      <c r="AJ149" s="313">
        <f t="shared" si="79"/>
        <v>0</v>
      </c>
      <c r="AL149" s="309">
        <f t="shared" si="70"/>
        <v>0</v>
      </c>
      <c r="AM149" s="309">
        <f t="shared" ca="1" si="74"/>
        <v>0</v>
      </c>
      <c r="AO149" s="11"/>
      <c r="AP149" s="361" t="str">
        <f t="shared" ca="1" si="75"/>
        <v/>
      </c>
      <c r="AQ149" s="11">
        <f ca="1">IF(D149&gt;TODAY()-1,"",SUM($AM$6:AM149))</f>
        <v>1217632.2100000002</v>
      </c>
      <c r="AR149" s="11">
        <f ca="1">IF(AM149&lt;&gt;"", SUMIFS($AM$8:AM149, $BC$8:BC149, BC149), "")</f>
        <v>0</v>
      </c>
      <c r="AU149" s="124" t="str">
        <f t="shared" ca="1" si="77"/>
        <v>LINK</v>
      </c>
    </row>
    <row r="150" spans="1:47">
      <c r="A150" s="510" t="e">
        <f>VLOOKUP(E150,'Tenement Lookup'!A:BH,60,FALSE)</f>
        <v>#N/A</v>
      </c>
      <c r="D150" s="265">
        <v>45974</v>
      </c>
      <c r="L150" s="187"/>
      <c r="N150" s="4"/>
      <c r="R150" s="318">
        <f t="shared" si="64"/>
        <v>0</v>
      </c>
      <c r="S150" s="273">
        <f t="shared" si="65"/>
        <v>0</v>
      </c>
      <c r="T150" s="269">
        <v>0</v>
      </c>
      <c r="U150" s="295">
        <f t="shared" si="66"/>
        <v>0</v>
      </c>
      <c r="Z150" s="292">
        <f t="shared" si="76"/>
        <v>0</v>
      </c>
      <c r="AF150" s="416">
        <f t="shared" si="71"/>
        <v>0</v>
      </c>
      <c r="AH150" s="314">
        <f t="shared" si="72"/>
        <v>0</v>
      </c>
      <c r="AI150" s="312">
        <f t="shared" si="73"/>
        <v>0</v>
      </c>
      <c r="AJ150" s="313">
        <f t="shared" si="79"/>
        <v>0</v>
      </c>
      <c r="AL150" s="309">
        <f t="shared" si="70"/>
        <v>0</v>
      </c>
      <c r="AM150" s="309">
        <f t="shared" ca="1" si="74"/>
        <v>0</v>
      </c>
      <c r="AO150" s="11"/>
      <c r="AP150" s="361" t="str">
        <f t="shared" ca="1" si="75"/>
        <v/>
      </c>
      <c r="AQ150" s="11">
        <f ca="1">IF(D150&gt;TODAY()-1,"",SUM($AM$6:AM150))</f>
        <v>1217632.2100000002</v>
      </c>
      <c r="AR150" s="11">
        <f ca="1">IF(AM150&lt;&gt;"", SUMIFS($AM$8:AM150, $BC$8:BC150, BC150), "")</f>
        <v>0</v>
      </c>
      <c r="AU150" s="124" t="str">
        <f t="shared" ca="1" si="77"/>
        <v>LINK</v>
      </c>
    </row>
    <row r="151" spans="1:47">
      <c r="A151" s="510" t="e">
        <f>VLOOKUP(E151,'Tenement Lookup'!A:BH,60,FALSE)</f>
        <v>#N/A</v>
      </c>
      <c r="D151" s="265">
        <v>45975</v>
      </c>
      <c r="L151" s="187"/>
      <c r="N151" s="4"/>
      <c r="R151" s="318">
        <f t="shared" si="64"/>
        <v>0</v>
      </c>
      <c r="S151" s="273">
        <f t="shared" si="65"/>
        <v>0</v>
      </c>
      <c r="T151" s="269">
        <v>0</v>
      </c>
      <c r="U151" s="295">
        <f t="shared" si="66"/>
        <v>0</v>
      </c>
      <c r="Z151" s="292">
        <f t="shared" si="76"/>
        <v>0</v>
      </c>
      <c r="AF151" s="416">
        <f t="shared" si="71"/>
        <v>0</v>
      </c>
      <c r="AH151" s="314">
        <f t="shared" si="72"/>
        <v>0</v>
      </c>
      <c r="AI151" s="312">
        <f t="shared" si="73"/>
        <v>0</v>
      </c>
      <c r="AJ151" s="313">
        <f t="shared" si="79"/>
        <v>0</v>
      </c>
      <c r="AL151" s="309">
        <f t="shared" si="70"/>
        <v>0</v>
      </c>
      <c r="AM151" s="309">
        <f t="shared" ca="1" si="74"/>
        <v>0</v>
      </c>
      <c r="AO151" s="11"/>
      <c r="AP151" s="361" t="str">
        <f t="shared" ca="1" si="75"/>
        <v/>
      </c>
      <c r="AQ151" s="11">
        <f ca="1">IF(D151&gt;TODAY()-1,"",SUM($AM$6:AM151))</f>
        <v>1217632.2100000002</v>
      </c>
      <c r="AR151" s="11">
        <f ca="1">IF(AM151&lt;&gt;"", SUMIFS($AM$8:AM151, $BC$8:BC151, BC151), "")</f>
        <v>0</v>
      </c>
      <c r="AU151" s="124" t="str">
        <f t="shared" ca="1" si="77"/>
        <v>LINK</v>
      </c>
    </row>
    <row r="152" spans="1:47">
      <c r="A152" s="510" t="e">
        <f>VLOOKUP(E152,'Tenement Lookup'!A:BH,60,FALSE)</f>
        <v>#N/A</v>
      </c>
      <c r="D152" s="265">
        <v>45976</v>
      </c>
      <c r="L152" s="187"/>
      <c r="N152" s="4"/>
      <c r="R152" s="318">
        <f t="shared" si="64"/>
        <v>0</v>
      </c>
      <c r="S152" s="273">
        <f t="shared" si="65"/>
        <v>0</v>
      </c>
      <c r="T152" s="269">
        <v>0</v>
      </c>
      <c r="U152" s="295">
        <f t="shared" si="66"/>
        <v>0</v>
      </c>
      <c r="Z152" s="292">
        <f t="shared" si="76"/>
        <v>0</v>
      </c>
      <c r="AF152" s="416">
        <f t="shared" si="71"/>
        <v>0</v>
      </c>
      <c r="AH152" s="314">
        <f t="shared" si="72"/>
        <v>0</v>
      </c>
      <c r="AI152" s="312">
        <f t="shared" si="73"/>
        <v>0</v>
      </c>
      <c r="AJ152" s="313">
        <f t="shared" si="79"/>
        <v>0</v>
      </c>
      <c r="AL152" s="309">
        <f t="shared" si="70"/>
        <v>0</v>
      </c>
      <c r="AM152" s="309">
        <f t="shared" ca="1" si="74"/>
        <v>0</v>
      </c>
      <c r="AO152" s="11"/>
      <c r="AP152" s="361" t="str">
        <f t="shared" ca="1" si="75"/>
        <v/>
      </c>
      <c r="AQ152" s="11">
        <f ca="1">IF(D152&gt;TODAY()-1,"",SUM($AM$6:AM152))</f>
        <v>1217632.2100000002</v>
      </c>
      <c r="AR152" s="11">
        <f ca="1">IF(AM152&lt;&gt;"", SUMIFS($AM$8:AM152, $BC$8:BC152, BC152), "")</f>
        <v>0</v>
      </c>
      <c r="AU152" s="124" t="str">
        <f t="shared" ca="1" si="77"/>
        <v>LINK</v>
      </c>
    </row>
    <row r="153" spans="1:47">
      <c r="A153" s="510" t="e">
        <f>VLOOKUP(E153,'Tenement Lookup'!A:BH,60,FALSE)</f>
        <v>#N/A</v>
      </c>
      <c r="D153" s="265">
        <v>45977</v>
      </c>
      <c r="L153" s="187"/>
      <c r="N153" s="4"/>
      <c r="R153" s="318">
        <f t="shared" si="64"/>
        <v>0</v>
      </c>
      <c r="S153" s="273">
        <f t="shared" si="65"/>
        <v>0</v>
      </c>
      <c r="T153" s="269">
        <v>0</v>
      </c>
      <c r="U153" s="295">
        <f t="shared" si="66"/>
        <v>0</v>
      </c>
      <c r="Z153" s="292">
        <f t="shared" si="76"/>
        <v>0</v>
      </c>
      <c r="AF153" s="416">
        <f t="shared" si="71"/>
        <v>0</v>
      </c>
      <c r="AH153" s="314">
        <f t="shared" si="72"/>
        <v>0</v>
      </c>
      <c r="AI153" s="312">
        <f t="shared" si="73"/>
        <v>0</v>
      </c>
      <c r="AJ153" s="313">
        <f t="shared" si="79"/>
        <v>0</v>
      </c>
      <c r="AL153" s="309">
        <f t="shared" si="70"/>
        <v>0</v>
      </c>
      <c r="AM153" s="309">
        <f t="shared" ca="1" si="74"/>
        <v>0</v>
      </c>
      <c r="AO153" s="11"/>
      <c r="AP153" s="361" t="str">
        <f t="shared" ca="1" si="75"/>
        <v/>
      </c>
      <c r="AQ153" s="11">
        <f ca="1">IF(D153&gt;TODAY()-1,"",SUM($AM$6:AM153))</f>
        <v>1217632.2100000002</v>
      </c>
      <c r="AR153" s="11">
        <f ca="1">IF(AM153&lt;&gt;"", SUMIFS($AM$8:AM153, $BC$8:BC153, BC153), "")</f>
        <v>0</v>
      </c>
      <c r="AU153" s="124" t="str">
        <f t="shared" ca="1" si="77"/>
        <v>LINK</v>
      </c>
    </row>
    <row r="154" spans="1:47">
      <c r="A154" s="510" t="e">
        <f>VLOOKUP(E154,'Tenement Lookup'!A:BH,60,FALSE)</f>
        <v>#N/A</v>
      </c>
      <c r="D154" s="265">
        <v>45978</v>
      </c>
      <c r="L154" s="187"/>
      <c r="N154" s="4"/>
      <c r="R154" s="318">
        <f t="shared" si="64"/>
        <v>0</v>
      </c>
      <c r="S154" s="273">
        <f t="shared" si="65"/>
        <v>0</v>
      </c>
      <c r="T154" s="269">
        <v>0</v>
      </c>
      <c r="U154" s="295">
        <f t="shared" si="66"/>
        <v>0</v>
      </c>
      <c r="Z154" s="292">
        <f t="shared" si="76"/>
        <v>0</v>
      </c>
      <c r="AF154" s="416">
        <f t="shared" si="71"/>
        <v>0</v>
      </c>
      <c r="AH154" s="314">
        <f t="shared" si="72"/>
        <v>0</v>
      </c>
      <c r="AI154" s="312">
        <f t="shared" si="73"/>
        <v>0</v>
      </c>
      <c r="AJ154" s="313">
        <f t="shared" si="79"/>
        <v>0</v>
      </c>
      <c r="AL154" s="309">
        <f t="shared" si="70"/>
        <v>0</v>
      </c>
      <c r="AM154" s="309">
        <f t="shared" ca="1" si="74"/>
        <v>0</v>
      </c>
      <c r="AO154" s="11"/>
      <c r="AP154" s="361" t="str">
        <f t="shared" ca="1" si="75"/>
        <v/>
      </c>
      <c r="AQ154" s="11">
        <f ca="1">IF(D154&gt;TODAY()-1,"",SUM($AM$6:AM154))</f>
        <v>1217632.2100000002</v>
      </c>
      <c r="AR154" s="11">
        <f ca="1">IF(AM154&lt;&gt;"", SUMIFS($AM$8:AM154, $BC$8:BC154, BC154), "")</f>
        <v>0</v>
      </c>
      <c r="AU154" s="124" t="str">
        <f t="shared" ca="1" si="77"/>
        <v>LINK</v>
      </c>
    </row>
    <row r="155" spans="1:47">
      <c r="A155" s="510" t="e">
        <f>VLOOKUP(E155,'Tenement Lookup'!A:BH,60,FALSE)</f>
        <v>#N/A</v>
      </c>
      <c r="D155" s="265">
        <v>45979</v>
      </c>
      <c r="L155" s="187"/>
      <c r="N155" s="4"/>
      <c r="R155" s="318">
        <f t="shared" si="64"/>
        <v>0</v>
      </c>
      <c r="S155" s="273">
        <f t="shared" si="65"/>
        <v>0</v>
      </c>
      <c r="T155" s="269">
        <v>0</v>
      </c>
      <c r="U155" s="295">
        <f t="shared" si="66"/>
        <v>0</v>
      </c>
      <c r="Z155" s="292">
        <f t="shared" si="76"/>
        <v>0</v>
      </c>
      <c r="AF155" s="416">
        <f t="shared" si="71"/>
        <v>0</v>
      </c>
      <c r="AH155" s="314">
        <f t="shared" si="72"/>
        <v>0</v>
      </c>
      <c r="AI155" s="312">
        <f t="shared" si="73"/>
        <v>0</v>
      </c>
      <c r="AJ155" s="313">
        <f t="shared" si="79"/>
        <v>0</v>
      </c>
      <c r="AL155" s="309">
        <f t="shared" si="70"/>
        <v>0</v>
      </c>
      <c r="AM155" s="309">
        <f t="shared" ca="1" si="74"/>
        <v>0</v>
      </c>
      <c r="AO155" s="11"/>
      <c r="AP155" s="361" t="str">
        <f t="shared" ca="1" si="75"/>
        <v/>
      </c>
      <c r="AQ155" s="11">
        <f ca="1">IF(D155&gt;TODAY()-1,"",SUM($AM$6:AM155))</f>
        <v>1217632.2100000002</v>
      </c>
      <c r="AR155" s="11">
        <f ca="1">IF(AM155&lt;&gt;"", SUMIFS($AM$8:AM155, $BC$8:BC155, BC155), "")</f>
        <v>0</v>
      </c>
      <c r="AU155" s="124" t="str">
        <f t="shared" ca="1" si="77"/>
        <v>LINK</v>
      </c>
    </row>
    <row r="156" spans="1:47">
      <c r="A156" s="510" t="e">
        <f>VLOOKUP(E156,'Tenement Lookup'!A:BH,60,FALSE)</f>
        <v>#N/A</v>
      </c>
      <c r="D156" s="265">
        <v>45980</v>
      </c>
      <c r="L156" s="187"/>
      <c r="N156" s="4"/>
      <c r="R156" s="318">
        <f t="shared" si="64"/>
        <v>0</v>
      </c>
      <c r="S156" s="273">
        <f t="shared" si="65"/>
        <v>0</v>
      </c>
      <c r="T156" s="269">
        <v>0</v>
      </c>
      <c r="U156" s="295">
        <f t="shared" si="66"/>
        <v>0</v>
      </c>
      <c r="Z156" s="292">
        <f t="shared" si="76"/>
        <v>0</v>
      </c>
      <c r="AF156" s="416">
        <f t="shared" si="71"/>
        <v>0</v>
      </c>
      <c r="AH156" s="314">
        <f t="shared" si="72"/>
        <v>0</v>
      </c>
      <c r="AI156" s="312">
        <f t="shared" si="73"/>
        <v>0</v>
      </c>
      <c r="AJ156" s="313">
        <f t="shared" si="79"/>
        <v>0</v>
      </c>
      <c r="AL156" s="309">
        <f t="shared" si="70"/>
        <v>0</v>
      </c>
      <c r="AM156" s="309">
        <f t="shared" ca="1" si="74"/>
        <v>0</v>
      </c>
      <c r="AO156" s="11"/>
      <c r="AP156" s="361" t="str">
        <f t="shared" ca="1" si="75"/>
        <v/>
      </c>
      <c r="AQ156" s="11">
        <f ca="1">IF(D156&gt;TODAY()-1,"",SUM($AM$6:AM156))</f>
        <v>1217632.2100000002</v>
      </c>
      <c r="AR156" s="11">
        <f ca="1">IF(AM156&lt;&gt;"", SUMIFS($AM$8:AM156, $BC$8:BC156, BC156), "")</f>
        <v>0</v>
      </c>
      <c r="AU156" s="124" t="str">
        <f t="shared" ca="1" si="77"/>
        <v>LINK</v>
      </c>
    </row>
    <row r="157" spans="1:47">
      <c r="A157" s="510" t="e">
        <f>VLOOKUP(E157,'Tenement Lookup'!A:BH,60,FALSE)</f>
        <v>#N/A</v>
      </c>
      <c r="D157" s="265">
        <v>45981</v>
      </c>
      <c r="L157" s="187"/>
      <c r="N157" s="4"/>
      <c r="R157" s="318">
        <f t="shared" si="64"/>
        <v>0</v>
      </c>
      <c r="S157" s="273">
        <f t="shared" si="65"/>
        <v>0</v>
      </c>
      <c r="T157" s="269">
        <v>0</v>
      </c>
      <c r="U157" s="295">
        <f t="shared" si="66"/>
        <v>0</v>
      </c>
      <c r="Z157" s="292">
        <f t="shared" si="76"/>
        <v>0</v>
      </c>
      <c r="AF157" s="416">
        <f t="shared" si="71"/>
        <v>0</v>
      </c>
      <c r="AH157" s="314">
        <f t="shared" si="72"/>
        <v>0</v>
      </c>
      <c r="AI157" s="312">
        <f t="shared" si="73"/>
        <v>0</v>
      </c>
      <c r="AJ157" s="313">
        <f t="shared" si="79"/>
        <v>0</v>
      </c>
      <c r="AL157" s="309">
        <f t="shared" si="70"/>
        <v>0</v>
      </c>
      <c r="AM157" s="309">
        <f t="shared" ca="1" si="74"/>
        <v>0</v>
      </c>
      <c r="AO157" s="11"/>
      <c r="AP157" s="361" t="str">
        <f t="shared" ca="1" si="75"/>
        <v/>
      </c>
      <c r="AQ157" s="11">
        <f ca="1">IF(D157&gt;TODAY()-1,"",SUM($AM$6:AM157))</f>
        <v>1217632.2100000002</v>
      </c>
      <c r="AR157" s="11">
        <f ca="1">IF(AM157&lt;&gt;"", SUMIFS($AM$8:AM157, $BC$8:BC157, BC157), "")</f>
        <v>0</v>
      </c>
      <c r="AU157" s="124" t="str">
        <f t="shared" ca="1" si="77"/>
        <v>LINK</v>
      </c>
    </row>
    <row r="158" spans="1:47">
      <c r="A158" s="510" t="e">
        <f>VLOOKUP(E158,'Tenement Lookup'!A:BH,60,FALSE)</f>
        <v>#N/A</v>
      </c>
      <c r="D158" s="265">
        <v>45982</v>
      </c>
      <c r="L158" s="187"/>
      <c r="N158" s="4"/>
      <c r="R158" s="318">
        <f t="shared" si="64"/>
        <v>0</v>
      </c>
      <c r="S158" s="273">
        <f t="shared" si="65"/>
        <v>0</v>
      </c>
      <c r="T158" s="269">
        <v>0</v>
      </c>
      <c r="U158" s="295">
        <f t="shared" si="66"/>
        <v>0</v>
      </c>
      <c r="Z158" s="292">
        <f t="shared" si="76"/>
        <v>0</v>
      </c>
      <c r="AF158" s="416">
        <f t="shared" si="71"/>
        <v>0</v>
      </c>
      <c r="AH158" s="314">
        <f t="shared" si="72"/>
        <v>0</v>
      </c>
      <c r="AI158" s="312">
        <f t="shared" si="73"/>
        <v>0</v>
      </c>
      <c r="AJ158" s="313">
        <f t="shared" si="79"/>
        <v>0</v>
      </c>
      <c r="AL158" s="309">
        <f t="shared" si="70"/>
        <v>0</v>
      </c>
      <c r="AM158" s="309">
        <f t="shared" ca="1" si="74"/>
        <v>0</v>
      </c>
      <c r="AO158" s="11"/>
      <c r="AP158" s="361" t="str">
        <f t="shared" ca="1" si="75"/>
        <v/>
      </c>
      <c r="AQ158" s="11">
        <f ca="1">IF(D158&gt;TODAY()-1,"",SUM($AM$6:AM158))</f>
        <v>1217632.2100000002</v>
      </c>
      <c r="AR158" s="11">
        <f ca="1">IF(AM158&lt;&gt;"", SUMIFS($AM$8:AM158, $BC$8:BC158, BC158), "")</f>
        <v>0</v>
      </c>
      <c r="AU158" s="124" t="str">
        <f t="shared" ca="1" si="77"/>
        <v>LINK</v>
      </c>
    </row>
    <row r="159" spans="1:47">
      <c r="A159" s="510" t="e">
        <f>VLOOKUP(E159,'Tenement Lookup'!A:BH,60,FALSE)</f>
        <v>#N/A</v>
      </c>
      <c r="D159" s="265">
        <v>45983</v>
      </c>
      <c r="L159" s="187"/>
      <c r="N159" s="4"/>
      <c r="R159" s="318">
        <f t="shared" si="64"/>
        <v>0</v>
      </c>
      <c r="S159" s="273">
        <f t="shared" si="65"/>
        <v>0</v>
      </c>
      <c r="T159" s="269">
        <v>0</v>
      </c>
      <c r="U159" s="295">
        <f t="shared" si="66"/>
        <v>0</v>
      </c>
      <c r="Z159" s="292">
        <f t="shared" si="76"/>
        <v>0</v>
      </c>
      <c r="AF159" s="416">
        <f t="shared" si="71"/>
        <v>0</v>
      </c>
      <c r="AH159" s="314">
        <f t="shared" si="72"/>
        <v>0</v>
      </c>
      <c r="AI159" s="312">
        <f t="shared" si="73"/>
        <v>0</v>
      </c>
      <c r="AJ159" s="313">
        <f t="shared" si="79"/>
        <v>0</v>
      </c>
      <c r="AL159" s="309">
        <f t="shared" si="70"/>
        <v>0</v>
      </c>
      <c r="AM159" s="309">
        <f t="shared" ca="1" si="74"/>
        <v>0</v>
      </c>
      <c r="AO159" s="11"/>
      <c r="AP159" s="361" t="str">
        <f t="shared" ca="1" si="75"/>
        <v/>
      </c>
      <c r="AQ159" s="11">
        <f ca="1">IF(D159&gt;TODAY()-1,"",SUM($AM$6:AM159))</f>
        <v>1217632.2100000002</v>
      </c>
      <c r="AR159" s="11">
        <f ca="1">IF(AM159&lt;&gt;"", SUMIFS($AM$8:AM159, $BC$8:BC159, BC159), "")</f>
        <v>0</v>
      </c>
      <c r="AU159" s="124" t="str">
        <f t="shared" ca="1" si="77"/>
        <v>LINK</v>
      </c>
    </row>
    <row r="160" spans="1:47">
      <c r="A160" s="510" t="e">
        <f>VLOOKUP(E160,'Tenement Lookup'!A:BH,60,FALSE)</f>
        <v>#N/A</v>
      </c>
      <c r="D160" s="265">
        <v>45984</v>
      </c>
      <c r="L160" s="187"/>
      <c r="N160" s="4"/>
      <c r="R160" s="318">
        <f t="shared" si="64"/>
        <v>0</v>
      </c>
      <c r="S160" s="273">
        <f t="shared" si="65"/>
        <v>0</v>
      </c>
      <c r="T160" s="269">
        <v>0</v>
      </c>
      <c r="U160" s="295">
        <f t="shared" si="66"/>
        <v>0</v>
      </c>
      <c r="Z160" s="292">
        <f t="shared" si="76"/>
        <v>0</v>
      </c>
      <c r="AF160" s="416">
        <f t="shared" si="71"/>
        <v>0</v>
      </c>
      <c r="AH160" s="314">
        <f t="shared" si="72"/>
        <v>0</v>
      </c>
      <c r="AI160" s="312">
        <f t="shared" si="73"/>
        <v>0</v>
      </c>
      <c r="AJ160" s="313">
        <f t="shared" si="79"/>
        <v>0</v>
      </c>
      <c r="AL160" s="309">
        <f t="shared" si="70"/>
        <v>0</v>
      </c>
      <c r="AM160" s="309">
        <f t="shared" ca="1" si="74"/>
        <v>0</v>
      </c>
      <c r="AO160" s="11"/>
      <c r="AP160" s="361" t="str">
        <f t="shared" ca="1" si="75"/>
        <v/>
      </c>
      <c r="AQ160" s="11">
        <f ca="1">IF(D160&gt;TODAY()-1,"",SUM($AM$6:AM160))</f>
        <v>1217632.2100000002</v>
      </c>
      <c r="AR160" s="11">
        <f ca="1">IF(AM160&lt;&gt;"", SUMIFS($AM$8:AM160, $BC$8:BC160, BC160), "")</f>
        <v>0</v>
      </c>
      <c r="AU160" s="124" t="str">
        <f t="shared" ca="1" si="77"/>
        <v>LINK</v>
      </c>
    </row>
    <row r="161" spans="1:47">
      <c r="A161" s="510" t="e">
        <f>VLOOKUP(E161,'Tenement Lookup'!A:BH,60,FALSE)</f>
        <v>#N/A</v>
      </c>
      <c r="D161" s="265">
        <v>45985</v>
      </c>
      <c r="L161" s="187"/>
      <c r="N161" s="4"/>
      <c r="R161" s="318">
        <f t="shared" si="64"/>
        <v>0</v>
      </c>
      <c r="S161" s="273">
        <f t="shared" si="65"/>
        <v>0</v>
      </c>
      <c r="T161" s="269">
        <v>0</v>
      </c>
      <c r="U161" s="295">
        <f t="shared" si="66"/>
        <v>0</v>
      </c>
      <c r="Z161" s="292">
        <f t="shared" si="76"/>
        <v>0</v>
      </c>
      <c r="AF161" s="416">
        <f t="shared" si="71"/>
        <v>0</v>
      </c>
      <c r="AH161" s="314">
        <f t="shared" si="72"/>
        <v>0</v>
      </c>
      <c r="AI161" s="312">
        <f t="shared" si="73"/>
        <v>0</v>
      </c>
      <c r="AJ161" s="313">
        <f t="shared" si="79"/>
        <v>0</v>
      </c>
      <c r="AL161" s="309">
        <f t="shared" si="70"/>
        <v>0</v>
      </c>
      <c r="AM161" s="309">
        <f t="shared" ca="1" si="74"/>
        <v>0</v>
      </c>
      <c r="AO161" s="11"/>
      <c r="AP161" s="361" t="str">
        <f t="shared" ca="1" si="75"/>
        <v/>
      </c>
      <c r="AQ161" s="11">
        <f ca="1">IF(D161&gt;TODAY()-1,"",SUM($AM$6:AM161))</f>
        <v>1217632.2100000002</v>
      </c>
      <c r="AR161" s="11">
        <f ca="1">IF(AM161&lt;&gt;"", SUMIFS($AM$8:AM161, $BC$8:BC161, BC161), "")</f>
        <v>0</v>
      </c>
      <c r="AU161" s="124" t="str">
        <f t="shared" ca="1" si="77"/>
        <v>LINK</v>
      </c>
    </row>
    <row r="162" spans="1:47">
      <c r="A162" s="510" t="e">
        <f>VLOOKUP(E162,'Tenement Lookup'!A:BH,60,FALSE)</f>
        <v>#N/A</v>
      </c>
      <c r="D162" s="265">
        <v>45986</v>
      </c>
      <c r="L162" s="187"/>
      <c r="N162" s="4"/>
      <c r="R162" s="318">
        <f t="shared" si="64"/>
        <v>0</v>
      </c>
      <c r="S162" s="273">
        <f t="shared" si="65"/>
        <v>0</v>
      </c>
      <c r="T162" s="269">
        <v>0</v>
      </c>
      <c r="U162" s="295">
        <f t="shared" si="66"/>
        <v>0</v>
      </c>
      <c r="Z162" s="292">
        <f t="shared" si="76"/>
        <v>0</v>
      </c>
      <c r="AF162" s="416">
        <f t="shared" si="71"/>
        <v>0</v>
      </c>
      <c r="AH162" s="314">
        <f t="shared" si="72"/>
        <v>0</v>
      </c>
      <c r="AI162" s="312">
        <f t="shared" si="73"/>
        <v>0</v>
      </c>
      <c r="AJ162" s="313">
        <f t="shared" si="79"/>
        <v>0</v>
      </c>
      <c r="AL162" s="309">
        <f t="shared" si="70"/>
        <v>0</v>
      </c>
      <c r="AM162" s="309">
        <f t="shared" ca="1" si="74"/>
        <v>0</v>
      </c>
      <c r="AO162" s="11"/>
      <c r="AP162" s="361" t="str">
        <f t="shared" ca="1" si="75"/>
        <v/>
      </c>
      <c r="AQ162" s="11">
        <f ca="1">IF(D162&gt;TODAY()-1,"",SUM($AM$6:AM162))</f>
        <v>1217632.2100000002</v>
      </c>
      <c r="AR162" s="11">
        <f ca="1">IF(AM162&lt;&gt;"", SUMIFS($AM$8:AM162, $BC$8:BC162, BC162), "")</f>
        <v>0</v>
      </c>
      <c r="AU162" s="124" t="str">
        <f t="shared" ca="1" si="77"/>
        <v>LINK</v>
      </c>
    </row>
    <row r="163" spans="1:47">
      <c r="A163" s="510" t="e">
        <f>VLOOKUP(E163,'Tenement Lookup'!A:BH,60,FALSE)</f>
        <v>#N/A</v>
      </c>
      <c r="D163" s="265">
        <v>45987</v>
      </c>
      <c r="L163" s="187"/>
      <c r="N163" s="4"/>
      <c r="R163" s="318">
        <f t="shared" si="64"/>
        <v>0</v>
      </c>
      <c r="S163" s="273">
        <f t="shared" si="65"/>
        <v>0</v>
      </c>
      <c r="T163" s="269">
        <v>0</v>
      </c>
      <c r="U163" s="295">
        <f t="shared" si="66"/>
        <v>0</v>
      </c>
      <c r="Z163" s="292">
        <f t="shared" si="76"/>
        <v>0</v>
      </c>
      <c r="AF163" s="416">
        <f t="shared" si="71"/>
        <v>0</v>
      </c>
      <c r="AH163" s="314">
        <f t="shared" si="72"/>
        <v>0</v>
      </c>
      <c r="AI163" s="312">
        <f t="shared" si="73"/>
        <v>0</v>
      </c>
      <c r="AJ163" s="313">
        <f t="shared" si="79"/>
        <v>0</v>
      </c>
      <c r="AL163" s="309">
        <f t="shared" si="70"/>
        <v>0</v>
      </c>
      <c r="AM163" s="309">
        <f t="shared" ca="1" si="74"/>
        <v>0</v>
      </c>
      <c r="AO163" s="11"/>
      <c r="AP163" s="361" t="str">
        <f t="shared" ca="1" si="75"/>
        <v/>
      </c>
      <c r="AQ163" s="11">
        <f ca="1">IF(D163&gt;TODAY()-1,"",SUM($AM$6:AM163))</f>
        <v>1217632.2100000002</v>
      </c>
      <c r="AR163" s="11">
        <f ca="1">IF(AM163&lt;&gt;"", SUMIFS($AM$8:AM163, $BC$8:BC163, BC163), "")</f>
        <v>0</v>
      </c>
      <c r="AU163" s="124" t="str">
        <f t="shared" ca="1" si="77"/>
        <v>LINK</v>
      </c>
    </row>
    <row r="164" spans="1:47">
      <c r="A164" s="510" t="e">
        <f>VLOOKUP(E164,'Tenement Lookup'!A:BH,60,FALSE)</f>
        <v>#N/A</v>
      </c>
      <c r="D164" s="265">
        <v>45988</v>
      </c>
      <c r="L164" s="187"/>
      <c r="N164" s="4"/>
      <c r="R164" s="318">
        <f t="shared" si="64"/>
        <v>0</v>
      </c>
      <c r="S164" s="273">
        <f t="shared" si="65"/>
        <v>0</v>
      </c>
      <c r="T164" s="269">
        <v>0</v>
      </c>
      <c r="U164" s="295">
        <f t="shared" si="66"/>
        <v>0</v>
      </c>
      <c r="Z164" s="292">
        <f t="shared" si="76"/>
        <v>0</v>
      </c>
      <c r="AF164" s="416">
        <f t="shared" si="71"/>
        <v>0</v>
      </c>
      <c r="AH164" s="314">
        <f t="shared" si="72"/>
        <v>0</v>
      </c>
      <c r="AI164" s="312">
        <f t="shared" si="73"/>
        <v>0</v>
      </c>
      <c r="AJ164" s="313">
        <f t="shared" si="79"/>
        <v>0</v>
      </c>
      <c r="AL164" s="309">
        <f t="shared" ref="AL164:AL195" si="80">AK164-K164</f>
        <v>0</v>
      </c>
      <c r="AM164" s="309">
        <f t="shared" ca="1" si="74"/>
        <v>0</v>
      </c>
      <c r="AO164" s="11"/>
      <c r="AP164" s="361" t="str">
        <f t="shared" ca="1" si="75"/>
        <v/>
      </c>
      <c r="AQ164" s="11">
        <f ca="1">IF(D164&gt;TODAY()-1,"",SUM($AM$6:AM164))</f>
        <v>1217632.2100000002</v>
      </c>
      <c r="AR164" s="11">
        <f ca="1">IF(AM164&lt;&gt;"", SUMIFS($AM$8:AM164, $BC$8:BC164, BC164), "")</f>
        <v>0</v>
      </c>
      <c r="AU164" s="124" t="str">
        <f t="shared" ca="1" si="77"/>
        <v>LINK</v>
      </c>
    </row>
    <row r="165" spans="1:47">
      <c r="A165" s="510" t="e">
        <f>VLOOKUP(E165,'Tenement Lookup'!A:BH,60,FALSE)</f>
        <v>#N/A</v>
      </c>
      <c r="D165" s="265">
        <v>45989</v>
      </c>
      <c r="L165" s="187"/>
      <c r="N165" s="4"/>
      <c r="R165" s="318">
        <f t="shared" si="64"/>
        <v>0</v>
      </c>
      <c r="S165" s="273">
        <f t="shared" si="65"/>
        <v>0</v>
      </c>
      <c r="T165" s="269">
        <v>0</v>
      </c>
      <c r="U165" s="295">
        <f t="shared" si="66"/>
        <v>0</v>
      </c>
      <c r="Z165" s="292">
        <f t="shared" si="76"/>
        <v>0</v>
      </c>
      <c r="AF165" s="416">
        <f t="shared" si="71"/>
        <v>0</v>
      </c>
      <c r="AH165" s="314">
        <f t="shared" si="72"/>
        <v>0</v>
      </c>
      <c r="AI165" s="312">
        <f t="shared" si="73"/>
        <v>0</v>
      </c>
      <c r="AJ165" s="313">
        <f t="shared" si="79"/>
        <v>0</v>
      </c>
      <c r="AL165" s="309">
        <f t="shared" si="80"/>
        <v>0</v>
      </c>
      <c r="AM165" s="309">
        <f t="shared" ca="1" si="74"/>
        <v>0</v>
      </c>
      <c r="AO165" s="11"/>
      <c r="AP165" s="361" t="str">
        <f t="shared" ca="1" si="75"/>
        <v/>
      </c>
      <c r="AQ165" s="11">
        <f ca="1">IF(D165&gt;TODAY()-1,"",SUM($AM$6:AM165))</f>
        <v>1217632.2100000002</v>
      </c>
      <c r="AR165" s="11">
        <f ca="1">IF(AM165&lt;&gt;"", SUMIFS($AM$8:AM165, $BC$8:BC165, BC165), "")</f>
        <v>0</v>
      </c>
      <c r="AU165" s="124" t="str">
        <f t="shared" ca="1" si="77"/>
        <v>LINK</v>
      </c>
    </row>
    <row r="166" spans="1:47">
      <c r="A166" s="510" t="e">
        <f>VLOOKUP(E166,'Tenement Lookup'!A:BH,60,FALSE)</f>
        <v>#N/A</v>
      </c>
      <c r="D166" s="265">
        <v>45990</v>
      </c>
      <c r="L166" s="187"/>
      <c r="N166" s="4"/>
      <c r="R166" s="318">
        <f t="shared" si="64"/>
        <v>0</v>
      </c>
      <c r="S166" s="273">
        <f t="shared" si="65"/>
        <v>0</v>
      </c>
      <c r="T166" s="269">
        <v>0</v>
      </c>
      <c r="U166" s="295">
        <f t="shared" si="66"/>
        <v>0</v>
      </c>
      <c r="Z166" s="292">
        <f t="shared" si="76"/>
        <v>0</v>
      </c>
      <c r="AF166" s="416">
        <f t="shared" si="71"/>
        <v>0</v>
      </c>
      <c r="AH166" s="314">
        <f t="shared" si="72"/>
        <v>0</v>
      </c>
      <c r="AI166" s="312">
        <f t="shared" si="73"/>
        <v>0</v>
      </c>
      <c r="AJ166" s="313">
        <f t="shared" si="79"/>
        <v>0</v>
      </c>
      <c r="AL166" s="309">
        <f t="shared" si="80"/>
        <v>0</v>
      </c>
      <c r="AM166" s="309">
        <f t="shared" ca="1" si="74"/>
        <v>0</v>
      </c>
      <c r="AO166" s="11"/>
      <c r="AP166" s="361" t="str">
        <f t="shared" ca="1" si="75"/>
        <v/>
      </c>
      <c r="AQ166" s="11">
        <f ca="1">IF(D166&gt;TODAY()-1,"",SUM($AM$6:AM166))</f>
        <v>1217632.2100000002</v>
      </c>
      <c r="AR166" s="11">
        <f ca="1">IF(AM166&lt;&gt;"", SUMIFS($AM$8:AM166, $BC$8:BC166, BC166), "")</f>
        <v>0</v>
      </c>
      <c r="AU166" s="124" t="str">
        <f t="shared" ca="1" si="77"/>
        <v>LINK</v>
      </c>
    </row>
    <row r="167" spans="1:47">
      <c r="A167" s="510" t="e">
        <f>VLOOKUP(E167,'Tenement Lookup'!A:BH,60,FALSE)</f>
        <v>#N/A</v>
      </c>
      <c r="D167" s="265">
        <v>45991</v>
      </c>
      <c r="L167" s="187"/>
      <c r="N167" s="4"/>
      <c r="R167" s="318">
        <f t="shared" si="64"/>
        <v>0</v>
      </c>
      <c r="S167" s="273">
        <f t="shared" si="65"/>
        <v>0</v>
      </c>
      <c r="T167" s="269">
        <v>0</v>
      </c>
      <c r="U167" s="295">
        <f t="shared" si="66"/>
        <v>0</v>
      </c>
      <c r="Z167" s="292">
        <f t="shared" si="76"/>
        <v>0</v>
      </c>
      <c r="AF167" s="416">
        <f t="shared" si="71"/>
        <v>0</v>
      </c>
      <c r="AH167" s="314">
        <f t="shared" si="72"/>
        <v>0</v>
      </c>
      <c r="AI167" s="312">
        <f t="shared" si="73"/>
        <v>0</v>
      </c>
      <c r="AJ167" s="313">
        <f t="shared" si="79"/>
        <v>0</v>
      </c>
      <c r="AL167" s="309">
        <f t="shared" si="80"/>
        <v>0</v>
      </c>
      <c r="AM167" s="309">
        <f t="shared" ca="1" si="74"/>
        <v>0</v>
      </c>
      <c r="AO167" s="11"/>
      <c r="AP167" s="361" t="str">
        <f t="shared" ca="1" si="75"/>
        <v/>
      </c>
      <c r="AQ167" s="11">
        <f ca="1">IF(D167&gt;TODAY()-1,"",SUM($AM$6:AM167))</f>
        <v>1217632.2100000002</v>
      </c>
      <c r="AR167" s="11">
        <f ca="1">IF(AM167&lt;&gt;"", SUMIFS($AM$8:AM167, $BC$8:BC167, BC167), "")</f>
        <v>0</v>
      </c>
      <c r="AU167" s="124" t="str">
        <f t="shared" ca="1" si="77"/>
        <v>LINK</v>
      </c>
    </row>
    <row r="168" spans="1:47">
      <c r="A168" s="510" t="e">
        <f>VLOOKUP(E168,'Tenement Lookup'!A:BH,60,FALSE)</f>
        <v>#N/A</v>
      </c>
      <c r="D168" s="265">
        <v>45992</v>
      </c>
      <c r="L168" s="187"/>
      <c r="N168" s="4"/>
      <c r="R168" s="318">
        <f t="shared" si="64"/>
        <v>0</v>
      </c>
      <c r="S168" s="273">
        <f t="shared" si="65"/>
        <v>0</v>
      </c>
      <c r="T168" s="269">
        <v>0</v>
      </c>
      <c r="U168" s="295">
        <f t="shared" si="66"/>
        <v>0</v>
      </c>
      <c r="Z168" s="292">
        <f t="shared" si="76"/>
        <v>0</v>
      </c>
      <c r="AF168" s="416">
        <f t="shared" si="71"/>
        <v>0</v>
      </c>
      <c r="AH168" s="314">
        <f t="shared" si="72"/>
        <v>0</v>
      </c>
      <c r="AI168" s="312">
        <f t="shared" si="73"/>
        <v>0</v>
      </c>
      <c r="AJ168" s="313">
        <f t="shared" si="79"/>
        <v>0</v>
      </c>
      <c r="AL168" s="309">
        <f t="shared" si="80"/>
        <v>0</v>
      </c>
      <c r="AM168" s="309">
        <f t="shared" ca="1" si="74"/>
        <v>0</v>
      </c>
      <c r="AO168" s="11"/>
      <c r="AP168" s="361" t="str">
        <f t="shared" ca="1" si="75"/>
        <v/>
      </c>
      <c r="AQ168" s="11">
        <f ca="1">IF(D168&gt;TODAY()-1,"",SUM($AM$6:AM168))</f>
        <v>1217632.2100000002</v>
      </c>
      <c r="AR168" s="11">
        <f ca="1">IF(AM168&lt;&gt;"", SUMIFS($AM$8:AM168, $BC$8:BC168, BC168), "")</f>
        <v>0</v>
      </c>
      <c r="AU168" s="124" t="str">
        <f t="shared" ca="1" si="77"/>
        <v>LINK</v>
      </c>
    </row>
    <row r="169" spans="1:47">
      <c r="A169" s="510" t="e">
        <f>VLOOKUP(E169,'Tenement Lookup'!A:BH,60,FALSE)</f>
        <v>#N/A</v>
      </c>
      <c r="D169" s="265">
        <v>45993</v>
      </c>
      <c r="L169" s="187"/>
      <c r="N169" s="4"/>
      <c r="R169" s="318">
        <f t="shared" ref="R169:R232" si="81">L169+M169+N169+O169+P169+Q169</f>
        <v>0</v>
      </c>
      <c r="S169" s="273">
        <f t="shared" si="65"/>
        <v>0</v>
      </c>
      <c r="T169" s="269">
        <v>0</v>
      </c>
      <c r="U169" s="295">
        <f t="shared" ref="U169:U232" si="82">IF(S169&lt;(T169*$T$3),(T169*$T$3),S169)</f>
        <v>0</v>
      </c>
      <c r="Z169" s="292">
        <f t="shared" si="76"/>
        <v>0</v>
      </c>
      <c r="AF169" s="416">
        <f t="shared" si="71"/>
        <v>0</v>
      </c>
      <c r="AH169" s="314">
        <f t="shared" si="72"/>
        <v>0</v>
      </c>
      <c r="AI169" s="312">
        <f t="shared" si="73"/>
        <v>0</v>
      </c>
      <c r="AJ169" s="313">
        <f t="shared" si="79"/>
        <v>0</v>
      </c>
      <c r="AL169" s="309">
        <f t="shared" si="80"/>
        <v>0</v>
      </c>
      <c r="AM169" s="309">
        <f t="shared" ca="1" si="74"/>
        <v>0</v>
      </c>
      <c r="AO169" s="11"/>
      <c r="AP169" s="361" t="str">
        <f t="shared" ca="1" si="75"/>
        <v/>
      </c>
      <c r="AQ169" s="11">
        <f ca="1">IF(D169&gt;TODAY()-1,"",SUM($AM$6:AM169))</f>
        <v>1217632.2100000002</v>
      </c>
      <c r="AR169" s="11">
        <f ca="1">IF(AM169&lt;&gt;"", SUMIFS($AM$8:AM169, $BC$8:BC169, BC169), "")</f>
        <v>0</v>
      </c>
      <c r="AU169" s="124" t="str">
        <f t="shared" ca="1" si="77"/>
        <v>LINK</v>
      </c>
    </row>
    <row r="170" spans="1:47">
      <c r="A170" s="510" t="e">
        <f>VLOOKUP(E170,'Tenement Lookup'!A:BH,60,FALSE)</f>
        <v>#N/A</v>
      </c>
      <c r="D170" s="265">
        <v>45994</v>
      </c>
      <c r="L170" s="187"/>
      <c r="N170" s="4"/>
      <c r="R170" s="318">
        <f t="shared" si="81"/>
        <v>0</v>
      </c>
      <c r="S170" s="273">
        <f t="shared" ref="S170:S233" si="83">(L170*$L$3)+(M170*$M$3)+(N170*$N$3)+(O170*$O$3)+(P170*$P$3)+(Q170*$Q$3)</f>
        <v>0</v>
      </c>
      <c r="T170" s="269">
        <v>0</v>
      </c>
      <c r="U170" s="295">
        <f t="shared" si="82"/>
        <v>0</v>
      </c>
      <c r="Z170" s="292">
        <f t="shared" si="76"/>
        <v>0</v>
      </c>
      <c r="AF170" s="416">
        <f t="shared" si="71"/>
        <v>0</v>
      </c>
      <c r="AH170" s="314">
        <f t="shared" si="72"/>
        <v>0</v>
      </c>
      <c r="AI170" s="312">
        <f t="shared" si="73"/>
        <v>0</v>
      </c>
      <c r="AJ170" s="313">
        <f t="shared" si="79"/>
        <v>0</v>
      </c>
      <c r="AL170" s="309">
        <f t="shared" si="80"/>
        <v>0</v>
      </c>
      <c r="AM170" s="309">
        <f t="shared" ca="1" si="74"/>
        <v>0</v>
      </c>
      <c r="AO170" s="11"/>
      <c r="AP170" s="361" t="str">
        <f t="shared" ca="1" si="75"/>
        <v/>
      </c>
      <c r="AQ170" s="11">
        <f ca="1">IF(D170&gt;TODAY()-1,"",SUM($AM$6:AM170))</f>
        <v>1217632.2100000002</v>
      </c>
      <c r="AR170" s="11">
        <f ca="1">IF(AM170&lt;&gt;"", SUMIFS($AM$8:AM170, $BC$8:BC170, BC170), "")</f>
        <v>0</v>
      </c>
      <c r="AU170" s="124" t="str">
        <f t="shared" ca="1" si="77"/>
        <v>LINK</v>
      </c>
    </row>
    <row r="171" spans="1:47">
      <c r="A171" s="510" t="e">
        <f>VLOOKUP(E171,'Tenement Lookup'!A:BH,60,FALSE)</f>
        <v>#N/A</v>
      </c>
      <c r="D171" s="265">
        <v>45995</v>
      </c>
      <c r="L171" s="187"/>
      <c r="N171" s="4"/>
      <c r="R171" s="318">
        <f t="shared" si="81"/>
        <v>0</v>
      </c>
      <c r="S171" s="273">
        <f t="shared" si="83"/>
        <v>0</v>
      </c>
      <c r="T171" s="269">
        <v>0</v>
      </c>
      <c r="U171" s="295">
        <f t="shared" si="82"/>
        <v>0</v>
      </c>
      <c r="Z171" s="292">
        <f t="shared" si="76"/>
        <v>0</v>
      </c>
      <c r="AF171" s="416">
        <f t="shared" si="71"/>
        <v>0</v>
      </c>
      <c r="AH171" s="314">
        <f t="shared" si="72"/>
        <v>0</v>
      </c>
      <c r="AI171" s="312">
        <f t="shared" si="73"/>
        <v>0</v>
      </c>
      <c r="AJ171" s="313">
        <f t="shared" si="79"/>
        <v>0</v>
      </c>
      <c r="AL171" s="309">
        <f t="shared" si="80"/>
        <v>0</v>
      </c>
      <c r="AM171" s="309">
        <f t="shared" ca="1" si="74"/>
        <v>0</v>
      </c>
      <c r="AO171" s="11"/>
      <c r="AP171" s="361" t="str">
        <f t="shared" ca="1" si="75"/>
        <v/>
      </c>
      <c r="AQ171" s="11">
        <f ca="1">IF(D171&gt;TODAY()-1,"",SUM($AM$6:AM171))</f>
        <v>1217632.2100000002</v>
      </c>
      <c r="AR171" s="11">
        <f ca="1">IF(AM171&lt;&gt;"", SUMIFS($AM$8:AM171, $BC$8:BC171, BC171), "")</f>
        <v>0</v>
      </c>
      <c r="AU171" s="124" t="str">
        <f t="shared" ca="1" si="77"/>
        <v>LINK</v>
      </c>
    </row>
    <row r="172" spans="1:47">
      <c r="A172" s="510" t="e">
        <f>VLOOKUP(E172,'Tenement Lookup'!A:BH,60,FALSE)</f>
        <v>#N/A</v>
      </c>
      <c r="D172" s="265">
        <v>45996</v>
      </c>
      <c r="L172" s="187"/>
      <c r="N172" s="4"/>
      <c r="R172" s="318">
        <f t="shared" si="81"/>
        <v>0</v>
      </c>
      <c r="S172" s="273">
        <f t="shared" si="83"/>
        <v>0</v>
      </c>
      <c r="T172" s="269">
        <v>0</v>
      </c>
      <c r="U172" s="295">
        <f t="shared" si="82"/>
        <v>0</v>
      </c>
      <c r="Z172" s="292">
        <f t="shared" si="76"/>
        <v>0</v>
      </c>
      <c r="AF172" s="416">
        <f t="shared" si="71"/>
        <v>0</v>
      </c>
      <c r="AH172" s="314">
        <f t="shared" si="72"/>
        <v>0</v>
      </c>
      <c r="AI172" s="312">
        <f t="shared" si="73"/>
        <v>0</v>
      </c>
      <c r="AJ172" s="313">
        <f t="shared" si="79"/>
        <v>0</v>
      </c>
      <c r="AL172" s="309">
        <f t="shared" si="80"/>
        <v>0</v>
      </c>
      <c r="AM172" s="309">
        <f t="shared" ca="1" si="74"/>
        <v>0</v>
      </c>
      <c r="AO172" s="11"/>
      <c r="AP172" s="361" t="str">
        <f t="shared" ca="1" si="75"/>
        <v/>
      </c>
      <c r="AQ172" s="11">
        <f ca="1">IF(D172&gt;TODAY()-1,"",SUM($AM$6:AM172))</f>
        <v>1217632.2100000002</v>
      </c>
      <c r="AR172" s="11">
        <f ca="1">IF(AM172&lt;&gt;"", SUMIFS($AM$8:AM172, $BC$8:BC172, BC172), "")</f>
        <v>0</v>
      </c>
      <c r="AU172" s="124" t="str">
        <f t="shared" ca="1" si="77"/>
        <v>LINK</v>
      </c>
    </row>
    <row r="173" spans="1:47">
      <c r="A173" s="510" t="e">
        <f>VLOOKUP(E173,'Tenement Lookup'!A:BH,60,FALSE)</f>
        <v>#N/A</v>
      </c>
      <c r="D173" s="265">
        <v>45997</v>
      </c>
      <c r="L173" s="187"/>
      <c r="N173" s="4"/>
      <c r="R173" s="318">
        <f t="shared" si="81"/>
        <v>0</v>
      </c>
      <c r="S173" s="273">
        <f t="shared" si="83"/>
        <v>0</v>
      </c>
      <c r="T173" s="269">
        <v>0</v>
      </c>
      <c r="U173" s="295">
        <f t="shared" si="82"/>
        <v>0</v>
      </c>
      <c r="Z173" s="292">
        <f t="shared" si="76"/>
        <v>0</v>
      </c>
      <c r="AF173" s="416">
        <f t="shared" si="71"/>
        <v>0</v>
      </c>
      <c r="AH173" s="314">
        <f t="shared" si="72"/>
        <v>0</v>
      </c>
      <c r="AI173" s="312">
        <f t="shared" si="73"/>
        <v>0</v>
      </c>
      <c r="AJ173" s="313">
        <f t="shared" si="79"/>
        <v>0</v>
      </c>
      <c r="AL173" s="309">
        <f t="shared" si="80"/>
        <v>0</v>
      </c>
      <c r="AM173" s="309">
        <f t="shared" ca="1" si="74"/>
        <v>0</v>
      </c>
      <c r="AO173" s="11"/>
      <c r="AP173" s="361" t="str">
        <f t="shared" ca="1" si="75"/>
        <v/>
      </c>
      <c r="AQ173" s="11">
        <f ca="1">IF(D173&gt;TODAY()-1,"",SUM($AM$6:AM173))</f>
        <v>1217632.2100000002</v>
      </c>
      <c r="AR173" s="11">
        <f ca="1">IF(AM173&lt;&gt;"", SUMIFS($AM$8:AM173, $BC$8:BC173, BC173), "")</f>
        <v>0</v>
      </c>
      <c r="AU173" s="124" t="str">
        <f t="shared" ca="1" si="77"/>
        <v>LINK</v>
      </c>
    </row>
    <row r="174" spans="1:47">
      <c r="A174" s="510" t="e">
        <f>VLOOKUP(E174,'Tenement Lookup'!A:BH,60,FALSE)</f>
        <v>#N/A</v>
      </c>
      <c r="D174" s="265">
        <v>45998</v>
      </c>
      <c r="L174" s="187"/>
      <c r="N174" s="4"/>
      <c r="R174" s="318">
        <f t="shared" si="81"/>
        <v>0</v>
      </c>
      <c r="S174" s="273">
        <f t="shared" si="83"/>
        <v>0</v>
      </c>
      <c r="T174" s="269">
        <v>0</v>
      </c>
      <c r="U174" s="295">
        <f t="shared" si="82"/>
        <v>0</v>
      </c>
      <c r="Z174" s="292">
        <f t="shared" si="76"/>
        <v>0</v>
      </c>
      <c r="AF174" s="416">
        <f t="shared" si="71"/>
        <v>0</v>
      </c>
      <c r="AH174" s="314">
        <f t="shared" si="72"/>
        <v>0</v>
      </c>
      <c r="AI174" s="312">
        <f t="shared" si="73"/>
        <v>0</v>
      </c>
      <c r="AJ174" s="313">
        <f t="shared" si="79"/>
        <v>0</v>
      </c>
      <c r="AL174" s="309">
        <f t="shared" si="80"/>
        <v>0</v>
      </c>
      <c r="AM174" s="309">
        <f t="shared" ca="1" si="74"/>
        <v>0</v>
      </c>
      <c r="AO174" s="11"/>
      <c r="AP174" s="361" t="str">
        <f t="shared" ca="1" si="75"/>
        <v/>
      </c>
      <c r="AQ174" s="11">
        <f ca="1">IF(D174&gt;TODAY()-1,"",SUM($AM$6:AM174))</f>
        <v>1217632.2100000002</v>
      </c>
      <c r="AR174" s="11">
        <f ca="1">IF(AM174&lt;&gt;"", SUMIFS($AM$8:AM174, $BC$8:BC174, BC174), "")</f>
        <v>0</v>
      </c>
      <c r="AU174" s="124" t="str">
        <f t="shared" ca="1" si="77"/>
        <v>LINK</v>
      </c>
    </row>
    <row r="175" spans="1:47">
      <c r="A175" s="510" t="e">
        <f>VLOOKUP(E175,'Tenement Lookup'!A:BH,60,FALSE)</f>
        <v>#N/A</v>
      </c>
      <c r="D175" s="265">
        <v>45999</v>
      </c>
      <c r="L175" s="187"/>
      <c r="N175" s="4"/>
      <c r="R175" s="318">
        <f t="shared" si="81"/>
        <v>0</v>
      </c>
      <c r="S175" s="273">
        <f t="shared" si="83"/>
        <v>0</v>
      </c>
      <c r="T175" s="269">
        <v>0</v>
      </c>
      <c r="U175" s="295">
        <f t="shared" si="82"/>
        <v>0</v>
      </c>
      <c r="Z175" s="292">
        <f t="shared" si="76"/>
        <v>0</v>
      </c>
      <c r="AF175" s="416">
        <f t="shared" si="71"/>
        <v>0</v>
      </c>
      <c r="AH175" s="314">
        <f t="shared" si="72"/>
        <v>0</v>
      </c>
      <c r="AI175" s="312">
        <f t="shared" si="73"/>
        <v>0</v>
      </c>
      <c r="AJ175" s="313">
        <f t="shared" si="79"/>
        <v>0</v>
      </c>
      <c r="AL175" s="309">
        <f t="shared" si="80"/>
        <v>0</v>
      </c>
      <c r="AM175" s="309">
        <f t="shared" ca="1" si="74"/>
        <v>0</v>
      </c>
      <c r="AO175" s="11"/>
      <c r="AP175" s="361" t="str">
        <f t="shared" ca="1" si="75"/>
        <v/>
      </c>
      <c r="AQ175" s="11">
        <f ca="1">IF(D175&gt;TODAY()-1,"",SUM($AM$6:AM175))</f>
        <v>1217632.2100000002</v>
      </c>
      <c r="AR175" s="11">
        <f ca="1">IF(AM175&lt;&gt;"", SUMIFS($AM$8:AM175, $BC$8:BC175, BC175), "")</f>
        <v>0</v>
      </c>
      <c r="AU175" s="124" t="str">
        <f t="shared" ca="1" si="77"/>
        <v>LINK</v>
      </c>
    </row>
    <row r="176" spans="1:47">
      <c r="A176" s="510" t="e">
        <f>VLOOKUP(E176,'Tenement Lookup'!A:BH,60,FALSE)</f>
        <v>#N/A</v>
      </c>
      <c r="D176" s="265">
        <v>46000</v>
      </c>
      <c r="L176" s="187"/>
      <c r="N176" s="4"/>
      <c r="R176" s="318">
        <f t="shared" si="81"/>
        <v>0</v>
      </c>
      <c r="S176" s="273">
        <f t="shared" si="83"/>
        <v>0</v>
      </c>
      <c r="T176" s="269">
        <v>0</v>
      </c>
      <c r="U176" s="295">
        <f t="shared" si="82"/>
        <v>0</v>
      </c>
      <c r="Z176" s="292">
        <f t="shared" si="76"/>
        <v>0</v>
      </c>
      <c r="AF176" s="416">
        <f t="shared" si="71"/>
        <v>0</v>
      </c>
      <c r="AH176" s="314">
        <f t="shared" si="72"/>
        <v>0</v>
      </c>
      <c r="AI176" s="312">
        <f t="shared" si="73"/>
        <v>0</v>
      </c>
      <c r="AJ176" s="313">
        <f t="shared" si="79"/>
        <v>0</v>
      </c>
      <c r="AL176" s="309">
        <f t="shared" si="80"/>
        <v>0</v>
      </c>
      <c r="AM176" s="309">
        <f t="shared" ca="1" si="74"/>
        <v>0</v>
      </c>
      <c r="AO176" s="11"/>
      <c r="AP176" s="361" t="str">
        <f t="shared" ca="1" si="75"/>
        <v/>
      </c>
      <c r="AQ176" s="11">
        <f ca="1">IF(D176&gt;TODAY()-1,"",SUM($AM$6:AM176))</f>
        <v>1217632.2100000002</v>
      </c>
      <c r="AR176" s="11">
        <f ca="1">IF(AM176&lt;&gt;"", SUMIFS($AM$8:AM176, $BC$8:BC176, BC176), "")</f>
        <v>0</v>
      </c>
      <c r="AU176" s="124" t="str">
        <f t="shared" ca="1" si="77"/>
        <v>LINK</v>
      </c>
    </row>
    <row r="177" spans="1:47">
      <c r="A177" s="510" t="e">
        <f>VLOOKUP(E177,'Tenement Lookup'!A:BH,60,FALSE)</f>
        <v>#N/A</v>
      </c>
      <c r="D177" s="265">
        <v>46001</v>
      </c>
      <c r="L177" s="187"/>
      <c r="N177" s="4"/>
      <c r="R177" s="318">
        <f t="shared" si="81"/>
        <v>0</v>
      </c>
      <c r="S177" s="273">
        <f t="shared" si="83"/>
        <v>0</v>
      </c>
      <c r="T177" s="269">
        <v>0</v>
      </c>
      <c r="U177" s="295">
        <f t="shared" si="82"/>
        <v>0</v>
      </c>
      <c r="Z177" s="292">
        <f t="shared" si="76"/>
        <v>0</v>
      </c>
      <c r="AF177" s="416">
        <f t="shared" si="71"/>
        <v>0</v>
      </c>
      <c r="AH177" s="314">
        <f t="shared" si="72"/>
        <v>0</v>
      </c>
      <c r="AI177" s="312">
        <f t="shared" si="73"/>
        <v>0</v>
      </c>
      <c r="AJ177" s="313">
        <f t="shared" si="79"/>
        <v>0</v>
      </c>
      <c r="AL177" s="309">
        <f t="shared" si="80"/>
        <v>0</v>
      </c>
      <c r="AM177" s="309">
        <f t="shared" ca="1" si="74"/>
        <v>0</v>
      </c>
      <c r="AO177" s="11"/>
      <c r="AP177" s="361" t="str">
        <f t="shared" ca="1" si="75"/>
        <v/>
      </c>
      <c r="AQ177" s="11">
        <f ca="1">IF(D177&gt;TODAY()-1,"",SUM($AM$6:AM177))</f>
        <v>1217632.2100000002</v>
      </c>
      <c r="AR177" s="11">
        <f ca="1">IF(AM177&lt;&gt;"", SUMIFS($AM$8:AM177, $BC$8:BC177, BC177), "")</f>
        <v>0</v>
      </c>
      <c r="AU177" s="124" t="str">
        <f t="shared" ca="1" si="77"/>
        <v>LINK</v>
      </c>
    </row>
    <row r="178" spans="1:47">
      <c r="A178" s="510" t="e">
        <f>VLOOKUP(E178,'Tenement Lookup'!A:BH,60,FALSE)</f>
        <v>#N/A</v>
      </c>
      <c r="D178" s="265">
        <v>46002</v>
      </c>
      <c r="L178" s="187"/>
      <c r="N178" s="4"/>
      <c r="R178" s="318">
        <f t="shared" si="81"/>
        <v>0</v>
      </c>
      <c r="S178" s="273">
        <f t="shared" si="83"/>
        <v>0</v>
      </c>
      <c r="T178" s="269">
        <v>0</v>
      </c>
      <c r="U178" s="295">
        <f t="shared" si="82"/>
        <v>0</v>
      </c>
      <c r="Z178" s="292">
        <f t="shared" si="76"/>
        <v>0</v>
      </c>
      <c r="AF178" s="416">
        <f t="shared" si="71"/>
        <v>0</v>
      </c>
      <c r="AH178" s="314">
        <f t="shared" si="72"/>
        <v>0</v>
      </c>
      <c r="AI178" s="312">
        <f t="shared" si="73"/>
        <v>0</v>
      </c>
      <c r="AJ178" s="313">
        <f t="shared" si="79"/>
        <v>0</v>
      </c>
      <c r="AL178" s="309">
        <f t="shared" si="80"/>
        <v>0</v>
      </c>
      <c r="AM178" s="309">
        <f t="shared" ca="1" si="74"/>
        <v>0</v>
      </c>
      <c r="AO178" s="11"/>
      <c r="AP178" s="361" t="str">
        <f t="shared" ca="1" si="75"/>
        <v/>
      </c>
      <c r="AQ178" s="11">
        <f ca="1">IF(D178&gt;TODAY()-1,"",SUM($AM$6:AM178))</f>
        <v>1217632.2100000002</v>
      </c>
      <c r="AR178" s="11">
        <f ca="1">IF(AM178&lt;&gt;"", SUMIFS($AM$8:AM178, $BC$8:BC178, BC178), "")</f>
        <v>0</v>
      </c>
      <c r="AU178" s="124" t="str">
        <f t="shared" ca="1" si="77"/>
        <v>LINK</v>
      </c>
    </row>
    <row r="179" spans="1:47">
      <c r="A179" s="510" t="e">
        <f>VLOOKUP(E179,'Tenement Lookup'!A:BH,60,FALSE)</f>
        <v>#N/A</v>
      </c>
      <c r="D179" s="265">
        <v>46003</v>
      </c>
      <c r="L179" s="187"/>
      <c r="N179" s="4"/>
      <c r="R179" s="318">
        <f t="shared" si="81"/>
        <v>0</v>
      </c>
      <c r="S179" s="273">
        <f t="shared" si="83"/>
        <v>0</v>
      </c>
      <c r="T179" s="269">
        <v>0</v>
      </c>
      <c r="U179" s="295">
        <f t="shared" si="82"/>
        <v>0</v>
      </c>
      <c r="Z179" s="292">
        <f t="shared" si="76"/>
        <v>0</v>
      </c>
      <c r="AF179" s="416">
        <f t="shared" si="71"/>
        <v>0</v>
      </c>
      <c r="AH179" s="314">
        <f t="shared" si="72"/>
        <v>0</v>
      </c>
      <c r="AI179" s="312">
        <f t="shared" si="73"/>
        <v>0</v>
      </c>
      <c r="AJ179" s="313">
        <f t="shared" ref="AJ179:AJ210" si="84">SUMPRODUCT(AA179:AE179,$AA$3:$AE$3)</f>
        <v>0</v>
      </c>
      <c r="AL179" s="309">
        <f t="shared" si="80"/>
        <v>0</v>
      </c>
      <c r="AM179" s="309">
        <f t="shared" ca="1" si="74"/>
        <v>0</v>
      </c>
      <c r="AO179" s="11"/>
      <c r="AP179" s="361" t="str">
        <f t="shared" ca="1" si="75"/>
        <v/>
      </c>
      <c r="AQ179" s="11">
        <f ca="1">IF(D179&gt;TODAY()-1,"",SUM($AM$6:AM179))</f>
        <v>1217632.2100000002</v>
      </c>
      <c r="AR179" s="11">
        <f ca="1">IF(AM179&lt;&gt;"", SUMIFS($AM$8:AM179, $BC$8:BC179, BC179), "")</f>
        <v>0</v>
      </c>
      <c r="AU179" s="124" t="str">
        <f t="shared" ca="1" si="77"/>
        <v>LINK</v>
      </c>
    </row>
    <row r="180" spans="1:47">
      <c r="A180" s="510" t="e">
        <f>VLOOKUP(E180,'Tenement Lookup'!A:BH,60,FALSE)</f>
        <v>#N/A</v>
      </c>
      <c r="D180" s="265">
        <v>46004</v>
      </c>
      <c r="L180" s="187"/>
      <c r="N180" s="4"/>
      <c r="R180" s="318">
        <f t="shared" si="81"/>
        <v>0</v>
      </c>
      <c r="S180" s="273">
        <f t="shared" si="83"/>
        <v>0</v>
      </c>
      <c r="T180" s="269">
        <v>0</v>
      </c>
      <c r="U180" s="295">
        <f t="shared" si="82"/>
        <v>0</v>
      </c>
      <c r="Z180" s="292">
        <f t="shared" si="76"/>
        <v>0</v>
      </c>
      <c r="AF180" s="416">
        <f t="shared" si="71"/>
        <v>0</v>
      </c>
      <c r="AH180" s="314">
        <f t="shared" si="72"/>
        <v>0</v>
      </c>
      <c r="AI180" s="312">
        <f t="shared" si="73"/>
        <v>0</v>
      </c>
      <c r="AJ180" s="313">
        <f t="shared" si="84"/>
        <v>0</v>
      </c>
      <c r="AL180" s="309">
        <f t="shared" si="80"/>
        <v>0</v>
      </c>
      <c r="AM180" s="309">
        <f t="shared" ca="1" si="74"/>
        <v>0</v>
      </c>
      <c r="AO180" s="11"/>
      <c r="AP180" s="361" t="str">
        <f t="shared" ca="1" si="75"/>
        <v/>
      </c>
      <c r="AQ180" s="11">
        <f ca="1">IF(D180&gt;TODAY()-1,"",SUM($AM$6:AM180))</f>
        <v>1217632.2100000002</v>
      </c>
      <c r="AR180" s="11">
        <f ca="1">IF(AM180&lt;&gt;"", SUMIFS($AM$8:AM180, $BC$8:BC180, BC180), "")</f>
        <v>0</v>
      </c>
      <c r="AU180" s="124" t="str">
        <f t="shared" ca="1" si="77"/>
        <v>LINK</v>
      </c>
    </row>
    <row r="181" spans="1:47">
      <c r="A181" s="510" t="e">
        <f>VLOOKUP(E181,'Tenement Lookup'!A:BH,60,FALSE)</f>
        <v>#N/A</v>
      </c>
      <c r="D181" s="265">
        <v>46005</v>
      </c>
      <c r="L181" s="187"/>
      <c r="N181" s="4"/>
      <c r="R181" s="318">
        <f t="shared" si="81"/>
        <v>0</v>
      </c>
      <c r="S181" s="273">
        <f t="shared" si="83"/>
        <v>0</v>
      </c>
      <c r="T181" s="269">
        <v>0</v>
      </c>
      <c r="U181" s="295">
        <f t="shared" si="82"/>
        <v>0</v>
      </c>
      <c r="Z181" s="292">
        <f t="shared" si="76"/>
        <v>0</v>
      </c>
      <c r="AF181" s="416">
        <f t="shared" si="71"/>
        <v>0</v>
      </c>
      <c r="AH181" s="314">
        <f t="shared" si="72"/>
        <v>0</v>
      </c>
      <c r="AI181" s="312">
        <f t="shared" si="73"/>
        <v>0</v>
      </c>
      <c r="AJ181" s="313">
        <f t="shared" si="84"/>
        <v>0</v>
      </c>
      <c r="AL181" s="309">
        <f t="shared" si="80"/>
        <v>0</v>
      </c>
      <c r="AM181" s="309">
        <f t="shared" ca="1" si="74"/>
        <v>0</v>
      </c>
      <c r="AO181" s="11"/>
      <c r="AP181" s="361" t="str">
        <f t="shared" ca="1" si="75"/>
        <v/>
      </c>
      <c r="AQ181" s="11">
        <f ca="1">IF(D181&gt;TODAY()-1,"",SUM($AM$6:AM181))</f>
        <v>1217632.2100000002</v>
      </c>
      <c r="AR181" s="11">
        <f ca="1">IF(AM181&lt;&gt;"", SUMIFS($AM$8:AM181, $BC$8:BC181, BC181), "")</f>
        <v>0</v>
      </c>
      <c r="AU181" s="124" t="str">
        <f t="shared" ca="1" si="77"/>
        <v>LINK</v>
      </c>
    </row>
    <row r="182" spans="1:47">
      <c r="A182" s="510" t="e">
        <f>VLOOKUP(E182,'Tenement Lookup'!A:BH,60,FALSE)</f>
        <v>#N/A</v>
      </c>
      <c r="D182" s="265">
        <v>46006</v>
      </c>
      <c r="L182" s="187"/>
      <c r="N182" s="4"/>
      <c r="R182" s="318">
        <f t="shared" si="81"/>
        <v>0</v>
      </c>
      <c r="S182" s="273">
        <f t="shared" si="83"/>
        <v>0</v>
      </c>
      <c r="T182" s="269">
        <v>0</v>
      </c>
      <c r="U182" s="295">
        <f t="shared" si="82"/>
        <v>0</v>
      </c>
      <c r="Z182" s="292">
        <f t="shared" si="76"/>
        <v>0</v>
      </c>
      <c r="AF182" s="416">
        <f t="shared" si="71"/>
        <v>0</v>
      </c>
      <c r="AH182" s="314">
        <f t="shared" si="72"/>
        <v>0</v>
      </c>
      <c r="AI182" s="312">
        <f t="shared" si="73"/>
        <v>0</v>
      </c>
      <c r="AJ182" s="313">
        <f t="shared" si="84"/>
        <v>0</v>
      </c>
      <c r="AL182" s="309">
        <f t="shared" si="80"/>
        <v>0</v>
      </c>
      <c r="AM182" s="309">
        <f t="shared" ca="1" si="74"/>
        <v>0</v>
      </c>
      <c r="AO182" s="11"/>
      <c r="AP182" s="361" t="str">
        <f t="shared" ca="1" si="75"/>
        <v/>
      </c>
      <c r="AQ182" s="11">
        <f ca="1">IF(D182&gt;TODAY()-1,"",SUM($AM$6:AM182))</f>
        <v>1217632.2100000002</v>
      </c>
      <c r="AR182" s="11">
        <f ca="1">IF(AM182&lt;&gt;"", SUMIFS($AM$8:AM182, $BC$8:BC182, BC182), "")</f>
        <v>0</v>
      </c>
      <c r="AU182" s="124" t="str">
        <f t="shared" ca="1" si="77"/>
        <v>LINK</v>
      </c>
    </row>
    <row r="183" spans="1:47">
      <c r="A183" s="510" t="e">
        <f>VLOOKUP(E183,'Tenement Lookup'!A:BH,60,FALSE)</f>
        <v>#N/A</v>
      </c>
      <c r="D183" s="265">
        <v>46007</v>
      </c>
      <c r="L183" s="187"/>
      <c r="N183" s="4"/>
      <c r="R183" s="318">
        <f t="shared" si="81"/>
        <v>0</v>
      </c>
      <c r="S183" s="273">
        <f t="shared" si="83"/>
        <v>0</v>
      </c>
      <c r="T183" s="269">
        <v>0</v>
      </c>
      <c r="U183" s="295">
        <f t="shared" si="82"/>
        <v>0</v>
      </c>
      <c r="Z183" s="292">
        <f t="shared" si="76"/>
        <v>0</v>
      </c>
      <c r="AF183" s="416">
        <f t="shared" si="71"/>
        <v>0</v>
      </c>
      <c r="AH183" s="314">
        <f t="shared" si="72"/>
        <v>0</v>
      </c>
      <c r="AI183" s="312">
        <f t="shared" si="73"/>
        <v>0</v>
      </c>
      <c r="AJ183" s="313">
        <f t="shared" si="84"/>
        <v>0</v>
      </c>
      <c r="AL183" s="309">
        <f t="shared" si="80"/>
        <v>0</v>
      </c>
      <c r="AM183" s="309">
        <f t="shared" ca="1" si="74"/>
        <v>0</v>
      </c>
      <c r="AO183" s="11"/>
      <c r="AP183" s="361" t="str">
        <f t="shared" ca="1" si="75"/>
        <v/>
      </c>
      <c r="AQ183" s="11">
        <f ca="1">IF(D183&gt;TODAY()-1,"",SUM($AM$6:AM183))</f>
        <v>1217632.2100000002</v>
      </c>
      <c r="AR183" s="11">
        <f ca="1">IF(AM183&lt;&gt;"", SUMIFS($AM$8:AM183, $BC$8:BC183, BC183), "")</f>
        <v>0</v>
      </c>
      <c r="AU183" s="124" t="str">
        <f t="shared" ca="1" si="77"/>
        <v>LINK</v>
      </c>
    </row>
    <row r="184" spans="1:47">
      <c r="A184" s="510" t="e">
        <f>VLOOKUP(E184,'Tenement Lookup'!A:BH,60,FALSE)</f>
        <v>#N/A</v>
      </c>
      <c r="D184" s="265">
        <v>46008</v>
      </c>
      <c r="L184" s="187"/>
      <c r="N184" s="4"/>
      <c r="R184" s="318">
        <f t="shared" si="81"/>
        <v>0</v>
      </c>
      <c r="S184" s="273">
        <f t="shared" si="83"/>
        <v>0</v>
      </c>
      <c r="T184" s="269">
        <v>0</v>
      </c>
      <c r="U184" s="295">
        <f t="shared" si="82"/>
        <v>0</v>
      </c>
      <c r="Z184" s="292">
        <f t="shared" si="76"/>
        <v>0</v>
      </c>
      <c r="AF184" s="416">
        <f t="shared" si="71"/>
        <v>0</v>
      </c>
      <c r="AH184" s="314">
        <f t="shared" si="72"/>
        <v>0</v>
      </c>
      <c r="AI184" s="312">
        <f t="shared" si="73"/>
        <v>0</v>
      </c>
      <c r="AJ184" s="313">
        <f t="shared" si="84"/>
        <v>0</v>
      </c>
      <c r="AL184" s="309">
        <f t="shared" si="80"/>
        <v>0</v>
      </c>
      <c r="AM184" s="309">
        <f t="shared" ca="1" si="74"/>
        <v>0</v>
      </c>
      <c r="AO184" s="11"/>
      <c r="AP184" s="361" t="str">
        <f t="shared" ca="1" si="75"/>
        <v/>
      </c>
      <c r="AQ184" s="11">
        <f ca="1">IF(D184&gt;TODAY()-1,"",SUM($AM$6:AM184))</f>
        <v>1217632.2100000002</v>
      </c>
      <c r="AR184" s="11">
        <f ca="1">IF(AM184&lt;&gt;"", SUMIFS($AM$8:AM184, $BC$8:BC184, BC184), "")</f>
        <v>0</v>
      </c>
      <c r="AU184" s="124" t="str">
        <f t="shared" ca="1" si="77"/>
        <v>LINK</v>
      </c>
    </row>
    <row r="185" spans="1:47">
      <c r="A185" s="510" t="e">
        <f>VLOOKUP(E185,'Tenement Lookup'!A:BH,60,FALSE)</f>
        <v>#N/A</v>
      </c>
      <c r="D185" s="265">
        <v>46009</v>
      </c>
      <c r="L185" s="187"/>
      <c r="N185" s="4"/>
      <c r="R185" s="318">
        <f t="shared" si="81"/>
        <v>0</v>
      </c>
      <c r="S185" s="273">
        <f t="shared" si="83"/>
        <v>0</v>
      </c>
      <c r="T185" s="269">
        <v>0</v>
      </c>
      <c r="U185" s="295">
        <f t="shared" si="82"/>
        <v>0</v>
      </c>
      <c r="Z185" s="292">
        <f t="shared" si="76"/>
        <v>0</v>
      </c>
      <c r="AF185" s="416">
        <f t="shared" si="71"/>
        <v>0</v>
      </c>
      <c r="AH185" s="314">
        <f t="shared" si="72"/>
        <v>0</v>
      </c>
      <c r="AI185" s="312">
        <f t="shared" si="73"/>
        <v>0</v>
      </c>
      <c r="AJ185" s="313">
        <f t="shared" si="84"/>
        <v>0</v>
      </c>
      <c r="AL185" s="309">
        <f t="shared" si="80"/>
        <v>0</v>
      </c>
      <c r="AM185" s="309">
        <f t="shared" ca="1" si="74"/>
        <v>0</v>
      </c>
      <c r="AO185" s="11"/>
      <c r="AP185" s="361" t="str">
        <f t="shared" ca="1" si="75"/>
        <v/>
      </c>
      <c r="AQ185" s="11">
        <f ca="1">IF(D185&gt;TODAY()-1,"",SUM($AM$6:AM185))</f>
        <v>1217632.2100000002</v>
      </c>
      <c r="AR185" s="11">
        <f ca="1">IF(AM185&lt;&gt;"", SUMIFS($AM$8:AM185, $BC$8:BC185, BC185), "")</f>
        <v>0</v>
      </c>
      <c r="AU185" s="124" t="str">
        <f t="shared" ca="1" si="77"/>
        <v>LINK</v>
      </c>
    </row>
    <row r="186" spans="1:47">
      <c r="A186" s="510" t="e">
        <f>VLOOKUP(E186,'Tenement Lookup'!A:BH,60,FALSE)</f>
        <v>#N/A</v>
      </c>
      <c r="D186" s="265">
        <v>46010</v>
      </c>
      <c r="L186" s="187"/>
      <c r="N186" s="4"/>
      <c r="R186" s="318">
        <f t="shared" si="81"/>
        <v>0</v>
      </c>
      <c r="S186" s="273">
        <f t="shared" si="83"/>
        <v>0</v>
      </c>
      <c r="T186" s="269">
        <v>0</v>
      </c>
      <c r="U186" s="295">
        <f t="shared" si="82"/>
        <v>0</v>
      </c>
      <c r="Z186" s="292">
        <f t="shared" si="76"/>
        <v>0</v>
      </c>
      <c r="AF186" s="416">
        <f t="shared" si="71"/>
        <v>0</v>
      </c>
      <c r="AH186" s="314">
        <f t="shared" si="72"/>
        <v>0</v>
      </c>
      <c r="AI186" s="312">
        <f t="shared" si="73"/>
        <v>0</v>
      </c>
      <c r="AJ186" s="313">
        <f t="shared" si="84"/>
        <v>0</v>
      </c>
      <c r="AL186" s="309">
        <f t="shared" si="80"/>
        <v>0</v>
      </c>
      <c r="AM186" s="309">
        <f t="shared" ca="1" si="74"/>
        <v>0</v>
      </c>
      <c r="AO186" s="11"/>
      <c r="AP186" s="361" t="str">
        <f t="shared" ca="1" si="75"/>
        <v/>
      </c>
      <c r="AQ186" s="11">
        <f ca="1">IF(D186&gt;TODAY()-1,"",SUM($AM$6:AM186))</f>
        <v>1217632.2100000002</v>
      </c>
      <c r="AR186" s="11">
        <f ca="1">IF(AM186&lt;&gt;"", SUMIFS($AM$8:AM186, $BC$8:BC186, BC186), "")</f>
        <v>0</v>
      </c>
      <c r="AU186" s="124" t="str">
        <f t="shared" ca="1" si="77"/>
        <v>LINK</v>
      </c>
    </row>
    <row r="187" spans="1:47">
      <c r="A187" s="510" t="e">
        <f>VLOOKUP(E187,'Tenement Lookup'!A:BH,60,FALSE)</f>
        <v>#N/A</v>
      </c>
      <c r="D187" s="265">
        <v>46011</v>
      </c>
      <c r="L187" s="187"/>
      <c r="N187" s="4"/>
      <c r="R187" s="318">
        <f t="shared" si="81"/>
        <v>0</v>
      </c>
      <c r="S187" s="273">
        <f t="shared" si="83"/>
        <v>0</v>
      </c>
      <c r="T187" s="269">
        <v>0</v>
      </c>
      <c r="U187" s="295">
        <f t="shared" si="82"/>
        <v>0</v>
      </c>
      <c r="Z187" s="292">
        <f t="shared" si="76"/>
        <v>0</v>
      </c>
      <c r="AF187" s="416">
        <f t="shared" si="71"/>
        <v>0</v>
      </c>
      <c r="AH187" s="314">
        <f t="shared" si="72"/>
        <v>0</v>
      </c>
      <c r="AI187" s="312">
        <f t="shared" si="73"/>
        <v>0</v>
      </c>
      <c r="AJ187" s="313">
        <f t="shared" si="84"/>
        <v>0</v>
      </c>
      <c r="AL187" s="309">
        <f t="shared" si="80"/>
        <v>0</v>
      </c>
      <c r="AM187" s="309">
        <f t="shared" ca="1" si="74"/>
        <v>0</v>
      </c>
      <c r="AO187" s="11"/>
      <c r="AP187" s="361" t="str">
        <f t="shared" ca="1" si="75"/>
        <v/>
      </c>
      <c r="AQ187" s="11">
        <f ca="1">IF(D187&gt;TODAY()-1,"",SUM($AM$6:AM187))</f>
        <v>1217632.2100000002</v>
      </c>
      <c r="AR187" s="11">
        <f ca="1">IF(AM187&lt;&gt;"", SUMIFS($AM$8:AM187, $BC$8:BC187, BC187), "")</f>
        <v>0</v>
      </c>
      <c r="AU187" s="124" t="str">
        <f t="shared" ca="1" si="77"/>
        <v>LINK</v>
      </c>
    </row>
    <row r="188" spans="1:47">
      <c r="A188" s="510" t="e">
        <f>VLOOKUP(E188,'Tenement Lookup'!A:BH,60,FALSE)</f>
        <v>#N/A</v>
      </c>
      <c r="D188" s="265">
        <v>46012</v>
      </c>
      <c r="L188" s="187"/>
      <c r="N188" s="4"/>
      <c r="R188" s="318">
        <f t="shared" si="81"/>
        <v>0</v>
      </c>
      <c r="S188" s="273">
        <f t="shared" si="83"/>
        <v>0</v>
      </c>
      <c r="T188" s="269">
        <v>0</v>
      </c>
      <c r="U188" s="295">
        <f t="shared" si="82"/>
        <v>0</v>
      </c>
      <c r="Z188" s="292">
        <f t="shared" si="76"/>
        <v>0</v>
      </c>
      <c r="AF188" s="416">
        <f t="shared" si="71"/>
        <v>0</v>
      </c>
      <c r="AH188" s="314">
        <f t="shared" si="72"/>
        <v>0</v>
      </c>
      <c r="AI188" s="312">
        <f t="shared" si="73"/>
        <v>0</v>
      </c>
      <c r="AJ188" s="313">
        <f t="shared" si="84"/>
        <v>0</v>
      </c>
      <c r="AL188" s="309">
        <f t="shared" si="80"/>
        <v>0</v>
      </c>
      <c r="AM188" s="309">
        <f t="shared" ca="1" si="74"/>
        <v>0</v>
      </c>
      <c r="AO188" s="11"/>
      <c r="AP188" s="361" t="str">
        <f t="shared" ca="1" si="75"/>
        <v/>
      </c>
      <c r="AQ188" s="11">
        <f ca="1">IF(D188&gt;TODAY()-1,"",SUM($AM$6:AM188))</f>
        <v>1217632.2100000002</v>
      </c>
      <c r="AR188" s="11">
        <f ca="1">IF(AM188&lt;&gt;"", SUMIFS($AM$8:AM188, $BC$8:BC188, BC188), "")</f>
        <v>0</v>
      </c>
      <c r="AU188" s="124" t="str">
        <f t="shared" ca="1" si="77"/>
        <v>LINK</v>
      </c>
    </row>
    <row r="189" spans="1:47">
      <c r="A189" s="510" t="e">
        <f>VLOOKUP(E189,'Tenement Lookup'!A:BH,60,FALSE)</f>
        <v>#N/A</v>
      </c>
      <c r="D189" s="265">
        <v>46013</v>
      </c>
      <c r="L189" s="187"/>
      <c r="N189" s="4"/>
      <c r="R189" s="318">
        <f t="shared" si="81"/>
        <v>0</v>
      </c>
      <c r="S189" s="273">
        <f t="shared" si="83"/>
        <v>0</v>
      </c>
      <c r="T189" s="269">
        <v>0</v>
      </c>
      <c r="U189" s="295">
        <f t="shared" si="82"/>
        <v>0</v>
      </c>
      <c r="Z189" s="292">
        <f t="shared" si="76"/>
        <v>0</v>
      </c>
      <c r="AF189" s="416">
        <f t="shared" si="71"/>
        <v>0</v>
      </c>
      <c r="AH189" s="314">
        <f t="shared" si="72"/>
        <v>0</v>
      </c>
      <c r="AI189" s="312">
        <f t="shared" si="73"/>
        <v>0</v>
      </c>
      <c r="AJ189" s="313">
        <f t="shared" si="84"/>
        <v>0</v>
      </c>
      <c r="AL189" s="309">
        <f t="shared" si="80"/>
        <v>0</v>
      </c>
      <c r="AM189" s="309">
        <f t="shared" ca="1" si="74"/>
        <v>0</v>
      </c>
      <c r="AO189" s="11"/>
      <c r="AP189" s="361" t="str">
        <f t="shared" ca="1" si="75"/>
        <v/>
      </c>
      <c r="AQ189" s="11">
        <f ca="1">IF(D189&gt;TODAY()-1,"",SUM($AM$6:AM189))</f>
        <v>1217632.2100000002</v>
      </c>
      <c r="AR189" s="11">
        <f ca="1">IF(AM189&lt;&gt;"", SUMIFS($AM$8:AM189, $BC$8:BC189, BC189), "")</f>
        <v>0</v>
      </c>
      <c r="AU189" s="124" t="str">
        <f t="shared" ca="1" si="77"/>
        <v>LINK</v>
      </c>
    </row>
    <row r="190" spans="1:47">
      <c r="A190" s="510" t="e">
        <f>VLOOKUP(E190,'Tenement Lookup'!A:BH,60,FALSE)</f>
        <v>#N/A</v>
      </c>
      <c r="D190" s="265">
        <v>46014</v>
      </c>
      <c r="L190" s="187"/>
      <c r="N190" s="4"/>
      <c r="R190" s="318">
        <f t="shared" si="81"/>
        <v>0</v>
      </c>
      <c r="S190" s="273">
        <f t="shared" si="83"/>
        <v>0</v>
      </c>
      <c r="T190" s="269">
        <v>0</v>
      </c>
      <c r="U190" s="295">
        <f t="shared" si="82"/>
        <v>0</v>
      </c>
      <c r="Z190" s="292">
        <f t="shared" si="76"/>
        <v>0</v>
      </c>
      <c r="AF190" s="416">
        <f t="shared" si="71"/>
        <v>0</v>
      </c>
      <c r="AH190" s="314">
        <f t="shared" si="72"/>
        <v>0</v>
      </c>
      <c r="AI190" s="312">
        <f t="shared" si="73"/>
        <v>0</v>
      </c>
      <c r="AJ190" s="313">
        <f t="shared" si="84"/>
        <v>0</v>
      </c>
      <c r="AL190" s="309">
        <f t="shared" si="80"/>
        <v>0</v>
      </c>
      <c r="AM190" s="309">
        <f t="shared" ca="1" si="74"/>
        <v>0</v>
      </c>
      <c r="AO190" s="11"/>
      <c r="AP190" s="361" t="str">
        <f t="shared" ca="1" si="75"/>
        <v/>
      </c>
      <c r="AQ190" s="11">
        <f ca="1">IF(D190&gt;TODAY()-1,"",SUM($AM$6:AM190))</f>
        <v>1217632.2100000002</v>
      </c>
      <c r="AR190" s="11">
        <f ca="1">IF(AM190&lt;&gt;"", SUMIFS($AM$8:AM190, $BC$8:BC190, BC190), "")</f>
        <v>0</v>
      </c>
      <c r="AU190" s="124" t="str">
        <f t="shared" ca="1" si="77"/>
        <v>LINK</v>
      </c>
    </row>
    <row r="191" spans="1:47">
      <c r="A191" s="510" t="e">
        <f>VLOOKUP(E191,'Tenement Lookup'!A:BH,60,FALSE)</f>
        <v>#N/A</v>
      </c>
      <c r="D191" s="265">
        <v>46015</v>
      </c>
      <c r="L191" s="187"/>
      <c r="N191" s="4"/>
      <c r="R191" s="318">
        <f t="shared" si="81"/>
        <v>0</v>
      </c>
      <c r="S191" s="273">
        <f t="shared" si="83"/>
        <v>0</v>
      </c>
      <c r="T191" s="269">
        <v>0</v>
      </c>
      <c r="U191" s="295">
        <f t="shared" si="82"/>
        <v>0</v>
      </c>
      <c r="Z191" s="292">
        <f t="shared" si="76"/>
        <v>0</v>
      </c>
      <c r="AF191" s="416">
        <f t="shared" si="71"/>
        <v>0</v>
      </c>
      <c r="AH191" s="314">
        <f t="shared" si="72"/>
        <v>0</v>
      </c>
      <c r="AI191" s="312">
        <f t="shared" si="73"/>
        <v>0</v>
      </c>
      <c r="AJ191" s="313">
        <f t="shared" si="84"/>
        <v>0</v>
      </c>
      <c r="AL191" s="309">
        <f t="shared" si="80"/>
        <v>0</v>
      </c>
      <c r="AM191" s="309">
        <f t="shared" ca="1" si="74"/>
        <v>0</v>
      </c>
      <c r="AO191" s="11"/>
      <c r="AP191" s="361" t="str">
        <f t="shared" ca="1" si="75"/>
        <v/>
      </c>
      <c r="AQ191" s="11">
        <f ca="1">IF(D191&gt;TODAY()-1,"",SUM($AM$6:AM191))</f>
        <v>1217632.2100000002</v>
      </c>
      <c r="AR191" s="11">
        <f ca="1">IF(AM191&lt;&gt;"", SUMIFS($AM$8:AM191, $BC$8:BC191, BC191), "")</f>
        <v>0</v>
      </c>
      <c r="AU191" s="124" t="str">
        <f t="shared" ca="1" si="77"/>
        <v>LINK</v>
      </c>
    </row>
    <row r="192" spans="1:47">
      <c r="A192" s="510" t="e">
        <f>VLOOKUP(E192,'Tenement Lookup'!A:BH,60,FALSE)</f>
        <v>#N/A</v>
      </c>
      <c r="D192" s="265">
        <v>46016</v>
      </c>
      <c r="L192" s="187"/>
      <c r="N192" s="4"/>
      <c r="R192" s="318">
        <f t="shared" si="81"/>
        <v>0</v>
      </c>
      <c r="S192" s="273">
        <f t="shared" si="83"/>
        <v>0</v>
      </c>
      <c r="T192" s="269">
        <v>0</v>
      </c>
      <c r="U192" s="295">
        <f t="shared" si="82"/>
        <v>0</v>
      </c>
      <c r="Z192" s="292">
        <f t="shared" si="76"/>
        <v>0</v>
      </c>
      <c r="AF192" s="416">
        <f t="shared" si="71"/>
        <v>0</v>
      </c>
      <c r="AH192" s="314">
        <f t="shared" si="72"/>
        <v>0</v>
      </c>
      <c r="AI192" s="312">
        <f t="shared" si="73"/>
        <v>0</v>
      </c>
      <c r="AJ192" s="313">
        <f t="shared" si="84"/>
        <v>0</v>
      </c>
      <c r="AL192" s="309">
        <f t="shared" si="80"/>
        <v>0</v>
      </c>
      <c r="AM192" s="309">
        <f t="shared" ca="1" si="74"/>
        <v>0</v>
      </c>
      <c r="AO192" s="11"/>
      <c r="AP192" s="361" t="str">
        <f t="shared" ca="1" si="75"/>
        <v/>
      </c>
      <c r="AQ192" s="11">
        <f ca="1">IF(D192&gt;TODAY()-1,"",SUM($AM$6:AM192))</f>
        <v>1217632.2100000002</v>
      </c>
      <c r="AR192" s="11">
        <f ca="1">IF(AM192&lt;&gt;"", SUMIFS($AM$8:AM192, $BC$8:BC192, BC192), "")</f>
        <v>0</v>
      </c>
      <c r="AU192" s="124" t="str">
        <f t="shared" ca="1" si="77"/>
        <v>LINK</v>
      </c>
    </row>
    <row r="193" spans="1:47">
      <c r="A193" s="510" t="e">
        <f>VLOOKUP(E193,'Tenement Lookup'!A:BH,60,FALSE)</f>
        <v>#N/A</v>
      </c>
      <c r="D193" s="265">
        <v>46017</v>
      </c>
      <c r="L193" s="187"/>
      <c r="N193" s="4"/>
      <c r="R193" s="318">
        <f t="shared" si="81"/>
        <v>0</v>
      </c>
      <c r="S193" s="273">
        <f t="shared" si="83"/>
        <v>0</v>
      </c>
      <c r="T193" s="269">
        <v>0</v>
      </c>
      <c r="U193" s="295">
        <f t="shared" si="82"/>
        <v>0</v>
      </c>
      <c r="Z193" s="292">
        <f t="shared" si="76"/>
        <v>0</v>
      </c>
      <c r="AF193" s="416">
        <f t="shared" si="71"/>
        <v>0</v>
      </c>
      <c r="AH193" s="314">
        <f t="shared" si="72"/>
        <v>0</v>
      </c>
      <c r="AI193" s="312">
        <f t="shared" si="73"/>
        <v>0</v>
      </c>
      <c r="AJ193" s="313">
        <f t="shared" si="84"/>
        <v>0</v>
      </c>
      <c r="AL193" s="309">
        <f t="shared" si="80"/>
        <v>0</v>
      </c>
      <c r="AM193" s="309">
        <f t="shared" ca="1" si="74"/>
        <v>0</v>
      </c>
      <c r="AO193" s="11"/>
      <c r="AP193" s="361" t="str">
        <f t="shared" ca="1" si="75"/>
        <v/>
      </c>
      <c r="AQ193" s="11">
        <f ca="1">IF(D193&gt;TODAY()-1,"",SUM($AM$6:AM193))</f>
        <v>1217632.2100000002</v>
      </c>
      <c r="AR193" s="11">
        <f ca="1">IF(AM193&lt;&gt;"", SUMIFS($AM$8:AM193, $BC$8:BC193, BC193), "")</f>
        <v>0</v>
      </c>
      <c r="AU193" s="124" t="str">
        <f t="shared" ca="1" si="77"/>
        <v>LINK</v>
      </c>
    </row>
    <row r="194" spans="1:47">
      <c r="A194" s="510" t="e">
        <f>VLOOKUP(E194,'Tenement Lookup'!A:BH,60,FALSE)</f>
        <v>#N/A</v>
      </c>
      <c r="D194" s="265">
        <v>46018</v>
      </c>
      <c r="L194" s="187"/>
      <c r="N194" s="4"/>
      <c r="R194" s="318">
        <f t="shared" si="81"/>
        <v>0</v>
      </c>
      <c r="S194" s="273">
        <f t="shared" si="83"/>
        <v>0</v>
      </c>
      <c r="T194" s="269">
        <v>0</v>
      </c>
      <c r="U194" s="295">
        <f t="shared" si="82"/>
        <v>0</v>
      </c>
      <c r="Z194" s="292">
        <f t="shared" si="76"/>
        <v>0</v>
      </c>
      <c r="AF194" s="416">
        <f t="shared" si="71"/>
        <v>0</v>
      </c>
      <c r="AH194" s="314">
        <f t="shared" si="72"/>
        <v>0</v>
      </c>
      <c r="AI194" s="312">
        <f t="shared" si="73"/>
        <v>0</v>
      </c>
      <c r="AJ194" s="313">
        <f t="shared" si="84"/>
        <v>0</v>
      </c>
      <c r="AL194" s="309">
        <f t="shared" si="80"/>
        <v>0</v>
      </c>
      <c r="AM194" s="309">
        <f t="shared" ca="1" si="74"/>
        <v>0</v>
      </c>
      <c r="AO194" s="11"/>
      <c r="AP194" s="361" t="str">
        <f t="shared" ca="1" si="75"/>
        <v/>
      </c>
      <c r="AQ194" s="11">
        <f ca="1">IF(D194&gt;TODAY()-1,"",SUM($AM$6:AM194))</f>
        <v>1217632.2100000002</v>
      </c>
      <c r="AR194" s="11">
        <f ca="1">IF(AM194&lt;&gt;"", SUMIFS($AM$8:AM194, $BC$8:BC194, BC194), "")</f>
        <v>0</v>
      </c>
      <c r="AU194" s="124" t="str">
        <f t="shared" ca="1" si="77"/>
        <v>LINK</v>
      </c>
    </row>
    <row r="195" spans="1:47">
      <c r="A195" s="510" t="e">
        <f>VLOOKUP(E195,'Tenement Lookup'!A:BH,60,FALSE)</f>
        <v>#N/A</v>
      </c>
      <c r="D195" s="265">
        <v>46019</v>
      </c>
      <c r="L195" s="187"/>
      <c r="N195" s="4"/>
      <c r="R195" s="318">
        <f t="shared" si="81"/>
        <v>0</v>
      </c>
      <c r="S195" s="273">
        <f t="shared" si="83"/>
        <v>0</v>
      </c>
      <c r="T195" s="269">
        <v>0</v>
      </c>
      <c r="U195" s="295">
        <f t="shared" si="82"/>
        <v>0</v>
      </c>
      <c r="Z195" s="292">
        <f t="shared" si="76"/>
        <v>0</v>
      </c>
      <c r="AF195" s="416">
        <f t="shared" si="71"/>
        <v>0</v>
      </c>
      <c r="AH195" s="314">
        <f t="shared" si="72"/>
        <v>0</v>
      </c>
      <c r="AI195" s="312">
        <f t="shared" si="73"/>
        <v>0</v>
      </c>
      <c r="AJ195" s="313">
        <f t="shared" si="84"/>
        <v>0</v>
      </c>
      <c r="AL195" s="309">
        <f t="shared" si="80"/>
        <v>0</v>
      </c>
      <c r="AM195" s="309">
        <f t="shared" ca="1" si="74"/>
        <v>0</v>
      </c>
      <c r="AO195" s="11"/>
      <c r="AP195" s="361" t="str">
        <f t="shared" ca="1" si="75"/>
        <v/>
      </c>
      <c r="AQ195" s="11">
        <f ca="1">IF(D195&gt;TODAY()-1,"",SUM($AM$6:AM195))</f>
        <v>1217632.2100000002</v>
      </c>
      <c r="AR195" s="11">
        <f ca="1">IF(AM195&lt;&gt;"", SUMIFS($AM$8:AM195, $BC$8:BC195, BC195), "")</f>
        <v>0</v>
      </c>
      <c r="AU195" s="124" t="str">
        <f t="shared" ca="1" si="77"/>
        <v>LINK</v>
      </c>
    </row>
    <row r="196" spans="1:47">
      <c r="A196" s="510" t="e">
        <f>VLOOKUP(E196,'Tenement Lookup'!A:BH,60,FALSE)</f>
        <v>#N/A</v>
      </c>
      <c r="D196" s="265">
        <v>46020</v>
      </c>
      <c r="L196" s="187"/>
      <c r="N196" s="4"/>
      <c r="R196" s="318">
        <f t="shared" si="81"/>
        <v>0</v>
      </c>
      <c r="S196" s="273">
        <f t="shared" si="83"/>
        <v>0</v>
      </c>
      <c r="T196" s="269">
        <v>0</v>
      </c>
      <c r="U196" s="295">
        <f t="shared" si="82"/>
        <v>0</v>
      </c>
      <c r="Z196" s="292">
        <f t="shared" si="76"/>
        <v>0</v>
      </c>
      <c r="AF196" s="416">
        <f t="shared" si="71"/>
        <v>0</v>
      </c>
      <c r="AH196" s="314">
        <f t="shared" si="72"/>
        <v>0</v>
      </c>
      <c r="AI196" s="312">
        <f t="shared" si="73"/>
        <v>0</v>
      </c>
      <c r="AJ196" s="313">
        <f t="shared" si="84"/>
        <v>0</v>
      </c>
      <c r="AL196" s="309">
        <f t="shared" ref="AL196:AL227" si="85">AK196-K196</f>
        <v>0</v>
      </c>
      <c r="AM196" s="309">
        <f t="shared" ca="1" si="74"/>
        <v>0</v>
      </c>
      <c r="AO196" s="11"/>
      <c r="AP196" s="361" t="str">
        <f t="shared" ca="1" si="75"/>
        <v/>
      </c>
      <c r="AQ196" s="11">
        <f ca="1">IF(D196&gt;TODAY()-1,"",SUM($AM$6:AM196))</f>
        <v>1217632.2100000002</v>
      </c>
      <c r="AR196" s="11">
        <f ca="1">IF(AM196&lt;&gt;"", SUMIFS($AM$8:AM196, $BC$8:BC196, BC196), "")</f>
        <v>0</v>
      </c>
      <c r="AU196" s="124" t="str">
        <f t="shared" ca="1" si="77"/>
        <v>LINK</v>
      </c>
    </row>
    <row r="197" spans="1:47">
      <c r="A197" s="510" t="e">
        <f>VLOOKUP(E197,'Tenement Lookup'!A:BH,60,FALSE)</f>
        <v>#N/A</v>
      </c>
      <c r="D197" s="265">
        <v>46021</v>
      </c>
      <c r="L197" s="187"/>
      <c r="N197" s="4"/>
      <c r="R197" s="318">
        <f t="shared" si="81"/>
        <v>0</v>
      </c>
      <c r="S197" s="273">
        <f t="shared" si="83"/>
        <v>0</v>
      </c>
      <c r="T197" s="269">
        <v>0</v>
      </c>
      <c r="U197" s="295">
        <f t="shared" si="82"/>
        <v>0</v>
      </c>
      <c r="Z197" s="292">
        <f t="shared" si="76"/>
        <v>0</v>
      </c>
      <c r="AF197" s="416">
        <f t="shared" si="71"/>
        <v>0</v>
      </c>
      <c r="AH197" s="314">
        <f t="shared" si="72"/>
        <v>0</v>
      </c>
      <c r="AI197" s="312">
        <f t="shared" si="73"/>
        <v>0</v>
      </c>
      <c r="AJ197" s="313">
        <f t="shared" si="84"/>
        <v>0</v>
      </c>
      <c r="AL197" s="309">
        <f t="shared" si="85"/>
        <v>0</v>
      </c>
      <c r="AM197" s="309">
        <f t="shared" ca="1" si="74"/>
        <v>0</v>
      </c>
      <c r="AO197" s="11"/>
      <c r="AP197" s="361" t="str">
        <f t="shared" ca="1" si="75"/>
        <v/>
      </c>
      <c r="AQ197" s="11">
        <f ca="1">IF(D197&gt;TODAY()-1,"",SUM($AM$6:AM197))</f>
        <v>1217632.2100000002</v>
      </c>
      <c r="AR197" s="11">
        <f ca="1">IF(AM197&lt;&gt;"", SUMIFS($AM$8:AM197, $BC$8:BC197, BC197), "")</f>
        <v>0</v>
      </c>
      <c r="AU197" s="124" t="str">
        <f t="shared" ca="1" si="77"/>
        <v>LINK</v>
      </c>
    </row>
    <row r="198" spans="1:47">
      <c r="A198" s="510" t="e">
        <f>VLOOKUP(E198,'Tenement Lookup'!A:BH,60,FALSE)</f>
        <v>#N/A</v>
      </c>
      <c r="D198" s="265">
        <v>46022</v>
      </c>
      <c r="L198" s="187"/>
      <c r="N198" s="4"/>
      <c r="R198" s="318">
        <f t="shared" si="81"/>
        <v>0</v>
      </c>
      <c r="S198" s="273">
        <f t="shared" si="83"/>
        <v>0</v>
      </c>
      <c r="T198" s="269">
        <v>0</v>
      </c>
      <c r="U198" s="295">
        <f t="shared" si="82"/>
        <v>0</v>
      </c>
      <c r="Z198" s="292">
        <f t="shared" si="76"/>
        <v>0</v>
      </c>
      <c r="AF198" s="416">
        <f t="shared" ref="AF198:AF261" si="86">SUM(Z198:AE198)</f>
        <v>0</v>
      </c>
      <c r="AH198" s="314">
        <f t="shared" ref="AH198:AH262" si="87">SUMPRODUCT(X198:Y198,$X$3:$Y$3)</f>
        <v>0</v>
      </c>
      <c r="AI198" s="312">
        <f t="shared" ref="AI198:AI262" si="88">SUMPRODUCT(V198:W198,$V$3:$W$3)</f>
        <v>0</v>
      </c>
      <c r="AJ198" s="313">
        <f t="shared" si="84"/>
        <v>0</v>
      </c>
      <c r="AL198" s="309">
        <f t="shared" si="85"/>
        <v>0</v>
      </c>
      <c r="AM198" s="309">
        <f t="shared" ref="AM198:AM261" ca="1" si="89">IF(D198&gt;TODAY()-1,"",AI198+AH198+K198+U198+AJ198+AL198)</f>
        <v>0</v>
      </c>
      <c r="AO198" s="11"/>
      <c r="AP198" s="361" t="str">
        <f t="shared" ref="AP198:AP261" ca="1" si="90">IFERROR((AM198-AO198)/AM198,"")</f>
        <v/>
      </c>
      <c r="AQ198" s="11">
        <f ca="1">IF(D198&gt;TODAY()-1,"",SUM($AM$6:AM198))</f>
        <v>1217632.2100000002</v>
      </c>
      <c r="AR198" s="11">
        <f ca="1">IF(AM198&lt;&gt;"", SUMIFS($AM$8:AM198, $BC$8:BC198, BC198), "")</f>
        <v>0</v>
      </c>
      <c r="AU198" s="124" t="str">
        <f t="shared" ca="1" si="77"/>
        <v>LINK</v>
      </c>
    </row>
    <row r="199" spans="1:47">
      <c r="A199" s="510" t="e">
        <f>VLOOKUP(E199,'Tenement Lookup'!A:BH,60,FALSE)</f>
        <v>#N/A</v>
      </c>
      <c r="D199" s="265">
        <v>46023</v>
      </c>
      <c r="L199" s="187"/>
      <c r="N199" s="4"/>
      <c r="R199" s="318">
        <f t="shared" si="81"/>
        <v>0</v>
      </c>
      <c r="S199" s="273">
        <f t="shared" si="83"/>
        <v>0</v>
      </c>
      <c r="T199" s="269">
        <v>0</v>
      </c>
      <c r="U199" s="295">
        <f t="shared" si="82"/>
        <v>0</v>
      </c>
      <c r="Z199" s="292">
        <f t="shared" ref="Z199:Z262" si="91">T199</f>
        <v>0</v>
      </c>
      <c r="AF199" s="416">
        <f t="shared" si="86"/>
        <v>0</v>
      </c>
      <c r="AH199" s="314">
        <f t="shared" si="87"/>
        <v>0</v>
      </c>
      <c r="AI199" s="312">
        <f t="shared" si="88"/>
        <v>0</v>
      </c>
      <c r="AJ199" s="313">
        <f t="shared" si="84"/>
        <v>0</v>
      </c>
      <c r="AL199" s="309">
        <f t="shared" si="85"/>
        <v>0</v>
      </c>
      <c r="AM199" s="309">
        <f t="shared" ca="1" si="89"/>
        <v>0</v>
      </c>
      <c r="AO199" s="11"/>
      <c r="AP199" s="361" t="str">
        <f t="shared" ca="1" si="90"/>
        <v/>
      </c>
      <c r="AQ199" s="11">
        <f ca="1">IF(D199&gt;TODAY()-1,"",SUM($AM$6:AM199))</f>
        <v>1217632.2100000002</v>
      </c>
      <c r="AR199" s="11">
        <f ca="1">IF(AM199&lt;&gt;"", SUMIFS($AM$8:AM199, $BC$8:BC199, BC199), "")</f>
        <v>0</v>
      </c>
      <c r="AU199" s="124" t="str">
        <f t="shared" ca="1" si="77"/>
        <v>LINK</v>
      </c>
    </row>
    <row r="200" spans="1:47">
      <c r="A200" s="510" t="e">
        <f>VLOOKUP(E200,'Tenement Lookup'!A:BH,60,FALSE)</f>
        <v>#N/A</v>
      </c>
      <c r="D200" s="265">
        <v>46024</v>
      </c>
      <c r="L200" s="187"/>
      <c r="N200" s="4"/>
      <c r="R200" s="318">
        <f t="shared" si="81"/>
        <v>0</v>
      </c>
      <c r="S200" s="273">
        <f t="shared" si="83"/>
        <v>0</v>
      </c>
      <c r="T200" s="269">
        <v>0</v>
      </c>
      <c r="U200" s="295">
        <f t="shared" si="82"/>
        <v>0</v>
      </c>
      <c r="Z200" s="292">
        <f t="shared" si="91"/>
        <v>0</v>
      </c>
      <c r="AF200" s="416">
        <f t="shared" si="86"/>
        <v>0</v>
      </c>
      <c r="AH200" s="314">
        <f t="shared" si="87"/>
        <v>0</v>
      </c>
      <c r="AI200" s="312">
        <f t="shared" si="88"/>
        <v>0</v>
      </c>
      <c r="AJ200" s="313">
        <f t="shared" si="84"/>
        <v>0</v>
      </c>
      <c r="AL200" s="309">
        <f t="shared" si="85"/>
        <v>0</v>
      </c>
      <c r="AM200" s="309">
        <f t="shared" ca="1" si="89"/>
        <v>0</v>
      </c>
      <c r="AO200" s="11"/>
      <c r="AP200" s="361" t="str">
        <f t="shared" ca="1" si="90"/>
        <v/>
      </c>
      <c r="AQ200" s="11">
        <f ca="1">IF(D200&gt;TODAY()-1,"",SUM($AM$6:AM200))</f>
        <v>1217632.2100000002</v>
      </c>
      <c r="AR200" s="11">
        <f ca="1">IF(AM200&lt;&gt;"", SUMIFS($AM$8:AM200, $BC$8:BC200, BC200), "")</f>
        <v>0</v>
      </c>
      <c r="AU200" s="124" t="str">
        <f t="shared" ref="AU200:AU262" ca="1" si="92">IF(D200&lt;TODAY(),HYPERLINK(BB200,"LINK"),"")</f>
        <v>LINK</v>
      </c>
    </row>
    <row r="201" spans="1:47">
      <c r="A201" s="510" t="e">
        <f>VLOOKUP(E201,'Tenement Lookup'!A:BH,60,FALSE)</f>
        <v>#N/A</v>
      </c>
      <c r="D201" s="265">
        <v>46025</v>
      </c>
      <c r="L201" s="187"/>
      <c r="N201" s="4"/>
      <c r="R201" s="318">
        <f t="shared" si="81"/>
        <v>0</v>
      </c>
      <c r="S201" s="273">
        <f t="shared" si="83"/>
        <v>0</v>
      </c>
      <c r="T201" s="269">
        <v>0</v>
      </c>
      <c r="U201" s="295">
        <f t="shared" si="82"/>
        <v>0</v>
      </c>
      <c r="Z201" s="292">
        <f t="shared" si="91"/>
        <v>0</v>
      </c>
      <c r="AF201" s="416">
        <f t="shared" si="86"/>
        <v>0</v>
      </c>
      <c r="AH201" s="314">
        <f t="shared" si="87"/>
        <v>0</v>
      </c>
      <c r="AI201" s="312">
        <f t="shared" si="88"/>
        <v>0</v>
      </c>
      <c r="AJ201" s="313">
        <f t="shared" si="84"/>
        <v>0</v>
      </c>
      <c r="AL201" s="309">
        <f t="shared" si="85"/>
        <v>0</v>
      </c>
      <c r="AM201" s="309">
        <f t="shared" ca="1" si="89"/>
        <v>0</v>
      </c>
      <c r="AO201" s="11"/>
      <c r="AP201" s="361" t="str">
        <f t="shared" ca="1" si="90"/>
        <v/>
      </c>
      <c r="AQ201" s="11">
        <f ca="1">IF(D201&gt;TODAY()-1,"",SUM($AM$6:AM201))</f>
        <v>1217632.2100000002</v>
      </c>
      <c r="AR201" s="11">
        <f ca="1">IF(AM201&lt;&gt;"", SUMIFS($AM$8:AM201, $BC$8:BC201, BC201), "")</f>
        <v>0</v>
      </c>
      <c r="AU201" s="124" t="str">
        <f t="shared" ca="1" si="92"/>
        <v>LINK</v>
      </c>
    </row>
    <row r="202" spans="1:47">
      <c r="A202" s="510" t="e">
        <f>VLOOKUP(E202,'Tenement Lookup'!A:BH,60,FALSE)</f>
        <v>#N/A</v>
      </c>
      <c r="D202" s="265">
        <v>46026</v>
      </c>
      <c r="L202" s="187"/>
      <c r="N202" s="4"/>
      <c r="R202" s="318">
        <f t="shared" si="81"/>
        <v>0</v>
      </c>
      <c r="S202" s="273">
        <f t="shared" si="83"/>
        <v>0</v>
      </c>
      <c r="T202" s="269">
        <v>0</v>
      </c>
      <c r="U202" s="295">
        <f t="shared" si="82"/>
        <v>0</v>
      </c>
      <c r="Z202" s="292">
        <f t="shared" si="91"/>
        <v>0</v>
      </c>
      <c r="AF202" s="416">
        <f t="shared" si="86"/>
        <v>0</v>
      </c>
      <c r="AH202" s="314">
        <f t="shared" si="87"/>
        <v>0</v>
      </c>
      <c r="AI202" s="312">
        <f t="shared" si="88"/>
        <v>0</v>
      </c>
      <c r="AJ202" s="313">
        <f t="shared" si="84"/>
        <v>0</v>
      </c>
      <c r="AL202" s="309">
        <f t="shared" si="85"/>
        <v>0</v>
      </c>
      <c r="AM202" s="309">
        <f t="shared" ca="1" si="89"/>
        <v>0</v>
      </c>
      <c r="AO202" s="11"/>
      <c r="AP202" s="361" t="str">
        <f t="shared" ca="1" si="90"/>
        <v/>
      </c>
      <c r="AQ202" s="11">
        <f ca="1">IF(D202&gt;TODAY()-1,"",SUM($AM$6:AM202))</f>
        <v>1217632.2100000002</v>
      </c>
      <c r="AR202" s="11">
        <f ca="1">IF(AM202&lt;&gt;"", SUMIFS($AM$8:AM202, $BC$8:BC202, BC202), "")</f>
        <v>0</v>
      </c>
      <c r="AU202" s="124" t="str">
        <f t="shared" ca="1" si="92"/>
        <v>LINK</v>
      </c>
    </row>
    <row r="203" spans="1:47">
      <c r="A203" s="510" t="e">
        <f>VLOOKUP(E203,'Tenement Lookup'!A:BH,60,FALSE)</f>
        <v>#N/A</v>
      </c>
      <c r="D203" s="265">
        <v>46027</v>
      </c>
      <c r="L203" s="187"/>
      <c r="N203" s="4"/>
      <c r="R203" s="318">
        <f t="shared" si="81"/>
        <v>0</v>
      </c>
      <c r="S203" s="273">
        <f t="shared" si="83"/>
        <v>0</v>
      </c>
      <c r="T203" s="269">
        <v>0</v>
      </c>
      <c r="U203" s="295">
        <f t="shared" si="82"/>
        <v>0</v>
      </c>
      <c r="Z203" s="292">
        <f t="shared" si="91"/>
        <v>0</v>
      </c>
      <c r="AF203" s="416">
        <f t="shared" si="86"/>
        <v>0</v>
      </c>
      <c r="AH203" s="314">
        <f t="shared" si="87"/>
        <v>0</v>
      </c>
      <c r="AI203" s="312">
        <f t="shared" si="88"/>
        <v>0</v>
      </c>
      <c r="AJ203" s="313">
        <f t="shared" si="84"/>
        <v>0</v>
      </c>
      <c r="AL203" s="309">
        <f t="shared" si="85"/>
        <v>0</v>
      </c>
      <c r="AM203" s="309">
        <f t="shared" ca="1" si="89"/>
        <v>0</v>
      </c>
      <c r="AO203" s="11"/>
      <c r="AP203" s="361" t="str">
        <f t="shared" ca="1" si="90"/>
        <v/>
      </c>
      <c r="AQ203" s="11">
        <f ca="1">IF(D203&gt;TODAY()-1,"",SUM($AM$6:AM203))</f>
        <v>1217632.2100000002</v>
      </c>
      <c r="AR203" s="11">
        <f ca="1">IF(AM203&lt;&gt;"", SUMIFS($AM$8:AM203, $BC$8:BC203, BC203), "")</f>
        <v>0</v>
      </c>
      <c r="AU203" s="124" t="str">
        <f t="shared" ca="1" si="92"/>
        <v>LINK</v>
      </c>
    </row>
    <row r="204" spans="1:47">
      <c r="A204" s="510" t="e">
        <f>VLOOKUP(E204,'Tenement Lookup'!A:BH,60,FALSE)</f>
        <v>#N/A</v>
      </c>
      <c r="D204" s="265">
        <v>46028</v>
      </c>
      <c r="L204" s="187"/>
      <c r="N204" s="4"/>
      <c r="R204" s="318">
        <f t="shared" si="81"/>
        <v>0</v>
      </c>
      <c r="S204" s="273">
        <f t="shared" si="83"/>
        <v>0</v>
      </c>
      <c r="T204" s="269">
        <v>0</v>
      </c>
      <c r="U204" s="295">
        <f t="shared" si="82"/>
        <v>0</v>
      </c>
      <c r="Z204" s="292">
        <f t="shared" si="91"/>
        <v>0</v>
      </c>
      <c r="AF204" s="416">
        <f t="shared" si="86"/>
        <v>0</v>
      </c>
      <c r="AH204" s="314">
        <f t="shared" si="87"/>
        <v>0</v>
      </c>
      <c r="AI204" s="312">
        <f t="shared" si="88"/>
        <v>0</v>
      </c>
      <c r="AJ204" s="313">
        <f t="shared" si="84"/>
        <v>0</v>
      </c>
      <c r="AL204" s="309">
        <f t="shared" si="85"/>
        <v>0</v>
      </c>
      <c r="AM204" s="309">
        <f t="shared" ca="1" si="89"/>
        <v>0</v>
      </c>
      <c r="AO204" s="11"/>
      <c r="AP204" s="361" t="str">
        <f t="shared" ca="1" si="90"/>
        <v/>
      </c>
      <c r="AQ204" s="11">
        <f ca="1">IF(D204&gt;TODAY()-1,"",SUM($AM$6:AM204))</f>
        <v>1217632.2100000002</v>
      </c>
      <c r="AR204" s="11">
        <f ca="1">IF(AM204&lt;&gt;"", SUMIFS($AM$8:AM204, $BC$8:BC204, BC204), "")</f>
        <v>0</v>
      </c>
      <c r="AU204" s="124" t="str">
        <f t="shared" ca="1" si="92"/>
        <v>LINK</v>
      </c>
    </row>
    <row r="205" spans="1:47">
      <c r="A205" s="510" t="e">
        <f>VLOOKUP(E205,'Tenement Lookup'!A:BH,60,FALSE)</f>
        <v>#N/A</v>
      </c>
      <c r="D205" s="265">
        <v>46029</v>
      </c>
      <c r="L205" s="187"/>
      <c r="N205" s="4"/>
      <c r="R205" s="318">
        <f t="shared" si="81"/>
        <v>0</v>
      </c>
      <c r="S205" s="273">
        <f t="shared" si="83"/>
        <v>0</v>
      </c>
      <c r="T205" s="269">
        <v>0</v>
      </c>
      <c r="U205" s="295">
        <f t="shared" si="82"/>
        <v>0</v>
      </c>
      <c r="Z205" s="292">
        <f t="shared" si="91"/>
        <v>0</v>
      </c>
      <c r="AF205" s="416">
        <f t="shared" si="86"/>
        <v>0</v>
      </c>
      <c r="AH205" s="314">
        <f t="shared" si="87"/>
        <v>0</v>
      </c>
      <c r="AI205" s="312">
        <f t="shared" si="88"/>
        <v>0</v>
      </c>
      <c r="AJ205" s="313">
        <f t="shared" si="84"/>
        <v>0</v>
      </c>
      <c r="AL205" s="309">
        <f t="shared" si="85"/>
        <v>0</v>
      </c>
      <c r="AM205" s="309">
        <f t="shared" ca="1" si="89"/>
        <v>0</v>
      </c>
      <c r="AO205" s="11"/>
      <c r="AP205" s="361" t="str">
        <f t="shared" ca="1" si="90"/>
        <v/>
      </c>
      <c r="AQ205" s="11">
        <f ca="1">IF(D205&gt;TODAY()-1,"",SUM($AM$6:AM205))</f>
        <v>1217632.2100000002</v>
      </c>
      <c r="AR205" s="11">
        <f ca="1">IF(AM205&lt;&gt;"", SUMIFS($AM$8:AM205, $BC$8:BC205, BC205), "")</f>
        <v>0</v>
      </c>
      <c r="AU205" s="124" t="str">
        <f t="shared" ca="1" si="92"/>
        <v>LINK</v>
      </c>
    </row>
    <row r="206" spans="1:47">
      <c r="A206" s="510" t="e">
        <f>VLOOKUP(E206,'Tenement Lookup'!A:BH,60,FALSE)</f>
        <v>#N/A</v>
      </c>
      <c r="D206" s="265">
        <v>46030</v>
      </c>
      <c r="L206" s="187"/>
      <c r="N206" s="4"/>
      <c r="R206" s="318">
        <f t="shared" si="81"/>
        <v>0</v>
      </c>
      <c r="S206" s="273">
        <f t="shared" si="83"/>
        <v>0</v>
      </c>
      <c r="T206" s="269">
        <v>0</v>
      </c>
      <c r="U206" s="295">
        <f t="shared" si="82"/>
        <v>0</v>
      </c>
      <c r="Z206" s="292">
        <f t="shared" si="91"/>
        <v>0</v>
      </c>
      <c r="AF206" s="416">
        <f t="shared" si="86"/>
        <v>0</v>
      </c>
      <c r="AH206" s="314">
        <f t="shared" si="87"/>
        <v>0</v>
      </c>
      <c r="AI206" s="312">
        <f t="shared" si="88"/>
        <v>0</v>
      </c>
      <c r="AJ206" s="313">
        <f t="shared" si="84"/>
        <v>0</v>
      </c>
      <c r="AL206" s="309">
        <f t="shared" si="85"/>
        <v>0</v>
      </c>
      <c r="AM206" s="309">
        <f t="shared" ca="1" si="89"/>
        <v>0</v>
      </c>
      <c r="AO206" s="11"/>
      <c r="AP206" s="361" t="str">
        <f t="shared" ca="1" si="90"/>
        <v/>
      </c>
      <c r="AQ206" s="11">
        <f ca="1">IF(D206&gt;TODAY()-1,"",SUM($AM$6:AM206))</f>
        <v>1217632.2100000002</v>
      </c>
      <c r="AR206" s="11">
        <f ca="1">IF(AM206&lt;&gt;"", SUMIFS($AM$8:AM206, $BC$8:BC206, BC206), "")</f>
        <v>0</v>
      </c>
      <c r="AU206" s="124" t="str">
        <f t="shared" ca="1" si="92"/>
        <v>LINK</v>
      </c>
    </row>
    <row r="207" spans="1:47">
      <c r="A207" s="510" t="e">
        <f>VLOOKUP(E207,'Tenement Lookup'!A:BH,60,FALSE)</f>
        <v>#N/A</v>
      </c>
      <c r="D207" s="265">
        <v>46031</v>
      </c>
      <c r="L207" s="187"/>
      <c r="N207" s="4"/>
      <c r="R207" s="318">
        <f t="shared" si="81"/>
        <v>0</v>
      </c>
      <c r="S207" s="273">
        <f t="shared" si="83"/>
        <v>0</v>
      </c>
      <c r="T207" s="269">
        <v>0</v>
      </c>
      <c r="U207" s="295">
        <f t="shared" si="82"/>
        <v>0</v>
      </c>
      <c r="Z207" s="292">
        <f t="shared" si="91"/>
        <v>0</v>
      </c>
      <c r="AF207" s="416">
        <f t="shared" si="86"/>
        <v>0</v>
      </c>
      <c r="AH207" s="314">
        <f t="shared" si="87"/>
        <v>0</v>
      </c>
      <c r="AI207" s="312">
        <f t="shared" si="88"/>
        <v>0</v>
      </c>
      <c r="AJ207" s="313">
        <f t="shared" si="84"/>
        <v>0</v>
      </c>
      <c r="AL207" s="309">
        <f t="shared" si="85"/>
        <v>0</v>
      </c>
      <c r="AM207" s="309">
        <f t="shared" ca="1" si="89"/>
        <v>0</v>
      </c>
      <c r="AO207" s="11"/>
      <c r="AP207" s="361" t="str">
        <f t="shared" ca="1" si="90"/>
        <v/>
      </c>
      <c r="AQ207" s="11">
        <f ca="1">IF(D207&gt;TODAY()-1,"",SUM($AM$6:AM207))</f>
        <v>1217632.2100000002</v>
      </c>
      <c r="AR207" s="11">
        <f ca="1">IF(AM207&lt;&gt;"", SUMIFS($AM$8:AM207, $BC$8:BC207, BC207), "")</f>
        <v>0</v>
      </c>
      <c r="AU207" s="124" t="str">
        <f t="shared" ca="1" si="92"/>
        <v>LINK</v>
      </c>
    </row>
    <row r="208" spans="1:47">
      <c r="A208" s="510" t="e">
        <f>VLOOKUP(E208,'Tenement Lookup'!A:BH,60,FALSE)</f>
        <v>#N/A</v>
      </c>
      <c r="D208" s="265">
        <v>46032</v>
      </c>
      <c r="L208" s="187"/>
      <c r="N208" s="4"/>
      <c r="R208" s="318">
        <f t="shared" si="81"/>
        <v>0</v>
      </c>
      <c r="S208" s="273">
        <f t="shared" si="83"/>
        <v>0</v>
      </c>
      <c r="T208" s="269">
        <v>0</v>
      </c>
      <c r="U208" s="295">
        <f t="shared" si="82"/>
        <v>0</v>
      </c>
      <c r="Z208" s="292">
        <f t="shared" si="91"/>
        <v>0</v>
      </c>
      <c r="AF208" s="416">
        <f t="shared" si="86"/>
        <v>0</v>
      </c>
      <c r="AH208" s="314">
        <f t="shared" si="87"/>
        <v>0</v>
      </c>
      <c r="AI208" s="312">
        <f t="shared" si="88"/>
        <v>0</v>
      </c>
      <c r="AJ208" s="313">
        <f t="shared" si="84"/>
        <v>0</v>
      </c>
      <c r="AL208" s="309">
        <f t="shared" si="85"/>
        <v>0</v>
      </c>
      <c r="AM208" s="309">
        <f t="shared" ca="1" si="89"/>
        <v>0</v>
      </c>
      <c r="AO208" s="11"/>
      <c r="AP208" s="361" t="str">
        <f t="shared" ca="1" si="90"/>
        <v/>
      </c>
      <c r="AQ208" s="11">
        <f ca="1">IF(D208&gt;TODAY()-1,"",SUM($AM$6:AM208))</f>
        <v>1217632.2100000002</v>
      </c>
      <c r="AR208" s="11">
        <f ca="1">IF(AM208&lt;&gt;"", SUMIFS($AM$8:AM208, $BC$8:BC208, BC208), "")</f>
        <v>0</v>
      </c>
      <c r="AU208" s="124" t="str">
        <f t="shared" ca="1" si="92"/>
        <v>LINK</v>
      </c>
    </row>
    <row r="209" spans="1:47">
      <c r="A209" s="510" t="e">
        <f>VLOOKUP(E209,'Tenement Lookup'!A:BH,60,FALSE)</f>
        <v>#N/A</v>
      </c>
      <c r="D209" s="265">
        <v>46033</v>
      </c>
      <c r="L209" s="187"/>
      <c r="N209" s="4"/>
      <c r="R209" s="318">
        <f t="shared" si="81"/>
        <v>0</v>
      </c>
      <c r="S209" s="273">
        <f t="shared" si="83"/>
        <v>0</v>
      </c>
      <c r="T209" s="269">
        <v>0</v>
      </c>
      <c r="U209" s="295">
        <f t="shared" si="82"/>
        <v>0</v>
      </c>
      <c r="Z209" s="292">
        <f t="shared" si="91"/>
        <v>0</v>
      </c>
      <c r="AF209" s="416">
        <f t="shared" si="86"/>
        <v>0</v>
      </c>
      <c r="AH209" s="314">
        <f t="shared" si="87"/>
        <v>0</v>
      </c>
      <c r="AI209" s="312">
        <f t="shared" si="88"/>
        <v>0</v>
      </c>
      <c r="AJ209" s="313">
        <f t="shared" si="84"/>
        <v>0</v>
      </c>
      <c r="AL209" s="309">
        <f t="shared" si="85"/>
        <v>0</v>
      </c>
      <c r="AM209" s="309">
        <f t="shared" ca="1" si="89"/>
        <v>0</v>
      </c>
      <c r="AO209" s="11"/>
      <c r="AP209" s="361" t="str">
        <f t="shared" ca="1" si="90"/>
        <v/>
      </c>
      <c r="AQ209" s="11">
        <f ca="1">IF(D209&gt;TODAY()-1,"",SUM($AM$6:AM209))</f>
        <v>1217632.2100000002</v>
      </c>
      <c r="AR209" s="11">
        <f ca="1">IF(AM209&lt;&gt;"", SUMIFS($AM$8:AM209, $BC$8:BC209, BC209), "")</f>
        <v>0</v>
      </c>
      <c r="AU209" s="124" t="str">
        <f t="shared" ca="1" si="92"/>
        <v>LINK</v>
      </c>
    </row>
    <row r="210" spans="1:47">
      <c r="A210" s="510" t="e">
        <f>VLOOKUP(E210,'Tenement Lookup'!A:BH,60,FALSE)</f>
        <v>#N/A</v>
      </c>
      <c r="D210" s="265">
        <v>46034</v>
      </c>
      <c r="L210" s="187"/>
      <c r="N210" s="4"/>
      <c r="R210" s="318">
        <f t="shared" si="81"/>
        <v>0</v>
      </c>
      <c r="S210" s="273">
        <f t="shared" si="83"/>
        <v>0</v>
      </c>
      <c r="T210" s="269">
        <v>0</v>
      </c>
      <c r="U210" s="295">
        <f t="shared" si="82"/>
        <v>0</v>
      </c>
      <c r="Z210" s="292">
        <f t="shared" si="91"/>
        <v>0</v>
      </c>
      <c r="AF210" s="416">
        <f t="shared" si="86"/>
        <v>0</v>
      </c>
      <c r="AH210" s="314">
        <f t="shared" si="87"/>
        <v>0</v>
      </c>
      <c r="AI210" s="312">
        <f t="shared" si="88"/>
        <v>0</v>
      </c>
      <c r="AJ210" s="313">
        <f t="shared" si="84"/>
        <v>0</v>
      </c>
      <c r="AL210" s="309">
        <f t="shared" si="85"/>
        <v>0</v>
      </c>
      <c r="AM210" s="309">
        <f t="shared" ca="1" si="89"/>
        <v>0</v>
      </c>
      <c r="AO210" s="11"/>
      <c r="AP210" s="361" t="str">
        <f t="shared" ca="1" si="90"/>
        <v/>
      </c>
      <c r="AQ210" s="11">
        <f ca="1">IF(D210&gt;TODAY()-1,"",SUM($AM$6:AM210))</f>
        <v>1217632.2100000002</v>
      </c>
      <c r="AR210" s="11">
        <f ca="1">IF(AM210&lt;&gt;"", SUMIFS($AM$8:AM210, $BC$8:BC210, BC210), "")</f>
        <v>0</v>
      </c>
      <c r="AU210" s="124" t="str">
        <f t="shared" ca="1" si="92"/>
        <v>LINK</v>
      </c>
    </row>
    <row r="211" spans="1:47">
      <c r="A211" s="510" t="e">
        <f>VLOOKUP(E211,'Tenement Lookup'!A:BH,60,FALSE)</f>
        <v>#N/A</v>
      </c>
      <c r="D211" s="265">
        <v>46035</v>
      </c>
      <c r="L211" s="187"/>
      <c r="N211" s="4"/>
      <c r="R211" s="318">
        <f t="shared" si="81"/>
        <v>0</v>
      </c>
      <c r="S211" s="273">
        <f t="shared" si="83"/>
        <v>0</v>
      </c>
      <c r="T211" s="269">
        <v>0</v>
      </c>
      <c r="U211" s="295">
        <f t="shared" si="82"/>
        <v>0</v>
      </c>
      <c r="Z211" s="292">
        <f t="shared" si="91"/>
        <v>0</v>
      </c>
      <c r="AF211" s="416">
        <f t="shared" si="86"/>
        <v>0</v>
      </c>
      <c r="AH211" s="314">
        <f t="shared" si="87"/>
        <v>0</v>
      </c>
      <c r="AI211" s="312">
        <f t="shared" si="88"/>
        <v>0</v>
      </c>
      <c r="AJ211" s="313">
        <f t="shared" ref="AJ211:AJ242" si="93">SUMPRODUCT(AA211:AE211,$AA$3:$AE$3)</f>
        <v>0</v>
      </c>
      <c r="AL211" s="309">
        <f t="shared" si="85"/>
        <v>0</v>
      </c>
      <c r="AM211" s="309">
        <f t="shared" ca="1" si="89"/>
        <v>0</v>
      </c>
      <c r="AO211" s="11"/>
      <c r="AP211" s="361" t="str">
        <f t="shared" ca="1" si="90"/>
        <v/>
      </c>
      <c r="AQ211" s="11">
        <f ca="1">IF(D211&gt;TODAY()-1,"",SUM($AM$6:AM211))</f>
        <v>1217632.2100000002</v>
      </c>
      <c r="AR211" s="11">
        <f ca="1">IF(AM211&lt;&gt;"", SUMIFS($AM$8:AM211, $BC$8:BC211, BC211), "")</f>
        <v>0</v>
      </c>
      <c r="AU211" s="124" t="str">
        <f t="shared" ca="1" si="92"/>
        <v>LINK</v>
      </c>
    </row>
    <row r="212" spans="1:47">
      <c r="A212" s="510" t="e">
        <f>VLOOKUP(E212,'Tenement Lookup'!A:BH,60,FALSE)</f>
        <v>#N/A</v>
      </c>
      <c r="D212" s="265">
        <v>46036</v>
      </c>
      <c r="L212" s="187"/>
      <c r="N212" s="4"/>
      <c r="R212" s="318">
        <f t="shared" si="81"/>
        <v>0</v>
      </c>
      <c r="S212" s="273">
        <f t="shared" si="83"/>
        <v>0</v>
      </c>
      <c r="T212" s="269">
        <v>0</v>
      </c>
      <c r="U212" s="295">
        <f t="shared" si="82"/>
        <v>0</v>
      </c>
      <c r="Z212" s="292">
        <f t="shared" si="91"/>
        <v>0</v>
      </c>
      <c r="AF212" s="416">
        <f t="shared" si="86"/>
        <v>0</v>
      </c>
      <c r="AH212" s="314">
        <f t="shared" si="87"/>
        <v>0</v>
      </c>
      <c r="AI212" s="312">
        <f t="shared" si="88"/>
        <v>0</v>
      </c>
      <c r="AJ212" s="313">
        <f t="shared" si="93"/>
        <v>0</v>
      </c>
      <c r="AL212" s="309">
        <f t="shared" si="85"/>
        <v>0</v>
      </c>
      <c r="AM212" s="309">
        <f t="shared" ca="1" si="89"/>
        <v>0</v>
      </c>
      <c r="AO212" s="11"/>
      <c r="AP212" s="361" t="str">
        <f t="shared" ca="1" si="90"/>
        <v/>
      </c>
      <c r="AQ212" s="11">
        <f ca="1">IF(D212&gt;TODAY()-1,"",SUM($AM$6:AM212))</f>
        <v>1217632.2100000002</v>
      </c>
      <c r="AR212" s="11">
        <f ca="1">IF(AM212&lt;&gt;"", SUMIFS($AM$8:AM212, $BC$8:BC212, BC212), "")</f>
        <v>0</v>
      </c>
      <c r="AU212" s="124" t="str">
        <f t="shared" ca="1" si="92"/>
        <v>LINK</v>
      </c>
    </row>
    <row r="213" spans="1:47">
      <c r="A213" s="510" t="e">
        <f>VLOOKUP(E213,'Tenement Lookup'!A:BH,60,FALSE)</f>
        <v>#N/A</v>
      </c>
      <c r="D213" s="265">
        <v>46037</v>
      </c>
      <c r="L213" s="187"/>
      <c r="N213" s="4"/>
      <c r="R213" s="318">
        <f t="shared" si="81"/>
        <v>0</v>
      </c>
      <c r="S213" s="273">
        <f t="shared" si="83"/>
        <v>0</v>
      </c>
      <c r="T213" s="269">
        <v>0</v>
      </c>
      <c r="U213" s="295">
        <f t="shared" si="82"/>
        <v>0</v>
      </c>
      <c r="Z213" s="292">
        <f t="shared" si="91"/>
        <v>0</v>
      </c>
      <c r="AF213" s="416">
        <f t="shared" si="86"/>
        <v>0</v>
      </c>
      <c r="AH213" s="314">
        <f t="shared" si="87"/>
        <v>0</v>
      </c>
      <c r="AI213" s="312">
        <f t="shared" si="88"/>
        <v>0</v>
      </c>
      <c r="AJ213" s="313">
        <f t="shared" si="93"/>
        <v>0</v>
      </c>
      <c r="AL213" s="309">
        <f t="shared" si="85"/>
        <v>0</v>
      </c>
      <c r="AM213" s="309">
        <f t="shared" ca="1" si="89"/>
        <v>0</v>
      </c>
      <c r="AO213" s="11"/>
      <c r="AP213" s="361" t="str">
        <f t="shared" ca="1" si="90"/>
        <v/>
      </c>
      <c r="AQ213" s="11">
        <f ca="1">IF(D213&gt;TODAY()-1,"",SUM($AM$6:AM213))</f>
        <v>1217632.2100000002</v>
      </c>
      <c r="AR213" s="11">
        <f ca="1">IF(AM213&lt;&gt;"", SUMIFS($AM$8:AM213, $BC$8:BC213, BC213), "")</f>
        <v>0</v>
      </c>
      <c r="AU213" s="124" t="str">
        <f t="shared" ca="1" si="92"/>
        <v>LINK</v>
      </c>
    </row>
    <row r="214" spans="1:47">
      <c r="A214" s="510" t="e">
        <f>VLOOKUP(E214,'Tenement Lookup'!A:BH,60,FALSE)</f>
        <v>#N/A</v>
      </c>
      <c r="D214" s="265">
        <v>46038</v>
      </c>
      <c r="L214" s="187"/>
      <c r="N214" s="4"/>
      <c r="R214" s="318">
        <f t="shared" si="81"/>
        <v>0</v>
      </c>
      <c r="S214" s="273">
        <f t="shared" si="83"/>
        <v>0</v>
      </c>
      <c r="T214" s="269">
        <v>0</v>
      </c>
      <c r="U214" s="295">
        <f t="shared" si="82"/>
        <v>0</v>
      </c>
      <c r="Z214" s="292">
        <f t="shared" si="91"/>
        <v>0</v>
      </c>
      <c r="AF214" s="416">
        <f t="shared" si="86"/>
        <v>0</v>
      </c>
      <c r="AH214" s="314">
        <f t="shared" si="87"/>
        <v>0</v>
      </c>
      <c r="AI214" s="312">
        <f t="shared" si="88"/>
        <v>0</v>
      </c>
      <c r="AJ214" s="313">
        <f t="shared" si="93"/>
        <v>0</v>
      </c>
      <c r="AL214" s="309">
        <f t="shared" si="85"/>
        <v>0</v>
      </c>
      <c r="AM214" s="309">
        <f t="shared" ca="1" si="89"/>
        <v>0</v>
      </c>
      <c r="AO214" s="11"/>
      <c r="AP214" s="361" t="str">
        <f t="shared" ca="1" si="90"/>
        <v/>
      </c>
      <c r="AQ214" s="11">
        <f ca="1">IF(D214&gt;TODAY()-1,"",SUM($AM$6:AM214))</f>
        <v>1217632.2100000002</v>
      </c>
      <c r="AR214" s="11">
        <f ca="1">IF(AM214&lt;&gt;"", SUMIFS($AM$8:AM214, $BC$8:BC214, BC214), "")</f>
        <v>0</v>
      </c>
      <c r="AU214" s="124" t="str">
        <f t="shared" ca="1" si="92"/>
        <v>LINK</v>
      </c>
    </row>
    <row r="215" spans="1:47">
      <c r="A215" s="510" t="e">
        <f>VLOOKUP(E215,'Tenement Lookup'!A:BH,60,FALSE)</f>
        <v>#N/A</v>
      </c>
      <c r="D215" s="265">
        <v>46039</v>
      </c>
      <c r="L215" s="187"/>
      <c r="N215" s="4"/>
      <c r="R215" s="318">
        <f t="shared" si="81"/>
        <v>0</v>
      </c>
      <c r="S215" s="273">
        <f t="shared" si="83"/>
        <v>0</v>
      </c>
      <c r="T215" s="269">
        <v>0</v>
      </c>
      <c r="U215" s="295">
        <f t="shared" si="82"/>
        <v>0</v>
      </c>
      <c r="Z215" s="292">
        <f t="shared" si="91"/>
        <v>0</v>
      </c>
      <c r="AF215" s="416">
        <f t="shared" si="86"/>
        <v>0</v>
      </c>
      <c r="AH215" s="314">
        <f t="shared" si="87"/>
        <v>0</v>
      </c>
      <c r="AI215" s="312">
        <f t="shared" si="88"/>
        <v>0</v>
      </c>
      <c r="AJ215" s="313">
        <f t="shared" si="93"/>
        <v>0</v>
      </c>
      <c r="AL215" s="309">
        <f t="shared" si="85"/>
        <v>0</v>
      </c>
      <c r="AM215" s="309">
        <f t="shared" ca="1" si="89"/>
        <v>0</v>
      </c>
      <c r="AO215" s="11"/>
      <c r="AP215" s="361" t="str">
        <f t="shared" ca="1" si="90"/>
        <v/>
      </c>
      <c r="AQ215" s="11">
        <f ca="1">IF(D215&gt;TODAY()-1,"",SUM($AM$6:AM215))</f>
        <v>1217632.2100000002</v>
      </c>
      <c r="AR215" s="11">
        <f ca="1">IF(AM215&lt;&gt;"", SUMIFS($AM$8:AM215, $BC$8:BC215, BC215), "")</f>
        <v>0</v>
      </c>
      <c r="AU215" s="124" t="str">
        <f t="shared" ca="1" si="92"/>
        <v>LINK</v>
      </c>
    </row>
    <row r="216" spans="1:47">
      <c r="A216" s="510" t="e">
        <f>VLOOKUP(E216,'Tenement Lookup'!A:BH,60,FALSE)</f>
        <v>#N/A</v>
      </c>
      <c r="D216" s="265">
        <v>46040</v>
      </c>
      <c r="L216" s="187"/>
      <c r="N216" s="4"/>
      <c r="R216" s="318">
        <f t="shared" si="81"/>
        <v>0</v>
      </c>
      <c r="S216" s="273">
        <f t="shared" si="83"/>
        <v>0</v>
      </c>
      <c r="T216" s="269">
        <v>0</v>
      </c>
      <c r="U216" s="295">
        <f t="shared" si="82"/>
        <v>0</v>
      </c>
      <c r="Z216" s="292">
        <f t="shared" si="91"/>
        <v>0</v>
      </c>
      <c r="AF216" s="416">
        <f t="shared" si="86"/>
        <v>0</v>
      </c>
      <c r="AH216" s="314">
        <f t="shared" si="87"/>
        <v>0</v>
      </c>
      <c r="AI216" s="312">
        <f t="shared" si="88"/>
        <v>0</v>
      </c>
      <c r="AJ216" s="313">
        <f t="shared" si="93"/>
        <v>0</v>
      </c>
      <c r="AL216" s="309">
        <f t="shared" si="85"/>
        <v>0</v>
      </c>
      <c r="AM216" s="309">
        <f t="shared" ca="1" si="89"/>
        <v>0</v>
      </c>
      <c r="AO216" s="11"/>
      <c r="AP216" s="361" t="str">
        <f t="shared" ca="1" si="90"/>
        <v/>
      </c>
      <c r="AQ216" s="11">
        <f ca="1">IF(D216&gt;TODAY()-1,"",SUM($AM$6:AM216))</f>
        <v>1217632.2100000002</v>
      </c>
      <c r="AR216" s="11">
        <f ca="1">IF(AM216&lt;&gt;"", SUMIFS($AM$8:AM216, $BC$8:BC216, BC216), "")</f>
        <v>0</v>
      </c>
      <c r="AU216" s="124" t="str">
        <f t="shared" ca="1" si="92"/>
        <v>LINK</v>
      </c>
    </row>
    <row r="217" spans="1:47">
      <c r="A217" s="510" t="e">
        <f>VLOOKUP(E217,'Tenement Lookup'!A:BH,60,FALSE)</f>
        <v>#N/A</v>
      </c>
      <c r="D217" s="265">
        <v>46041</v>
      </c>
      <c r="L217" s="187"/>
      <c r="N217" s="4"/>
      <c r="R217" s="318">
        <f t="shared" si="81"/>
        <v>0</v>
      </c>
      <c r="S217" s="273">
        <f t="shared" si="83"/>
        <v>0</v>
      </c>
      <c r="T217" s="269">
        <v>0</v>
      </c>
      <c r="U217" s="295">
        <f t="shared" si="82"/>
        <v>0</v>
      </c>
      <c r="Z217" s="292">
        <f t="shared" si="91"/>
        <v>0</v>
      </c>
      <c r="AF217" s="416">
        <f t="shared" si="86"/>
        <v>0</v>
      </c>
      <c r="AH217" s="314">
        <f t="shared" si="87"/>
        <v>0</v>
      </c>
      <c r="AI217" s="312">
        <f t="shared" si="88"/>
        <v>0</v>
      </c>
      <c r="AJ217" s="313">
        <f t="shared" si="93"/>
        <v>0</v>
      </c>
      <c r="AL217" s="309">
        <f t="shared" si="85"/>
        <v>0</v>
      </c>
      <c r="AM217" s="309">
        <f t="shared" ca="1" si="89"/>
        <v>0</v>
      </c>
      <c r="AO217" s="11"/>
      <c r="AP217" s="361" t="str">
        <f t="shared" ca="1" si="90"/>
        <v/>
      </c>
      <c r="AQ217" s="11">
        <f ca="1">IF(D217&gt;TODAY()-1,"",SUM($AM$6:AM217))</f>
        <v>1217632.2100000002</v>
      </c>
      <c r="AR217" s="11">
        <f ca="1">IF(AM217&lt;&gt;"", SUMIFS($AM$8:AM217, $BC$8:BC217, BC217), "")</f>
        <v>0</v>
      </c>
      <c r="AU217" s="124" t="str">
        <f t="shared" ca="1" si="92"/>
        <v>LINK</v>
      </c>
    </row>
    <row r="218" spans="1:47">
      <c r="A218" s="510" t="e">
        <f>VLOOKUP(E218,'Tenement Lookup'!A:BH,60,FALSE)</f>
        <v>#N/A</v>
      </c>
      <c r="D218" s="265">
        <v>46042</v>
      </c>
      <c r="L218" s="187"/>
      <c r="N218" s="4"/>
      <c r="R218" s="318">
        <f t="shared" si="81"/>
        <v>0</v>
      </c>
      <c r="S218" s="273">
        <f t="shared" si="83"/>
        <v>0</v>
      </c>
      <c r="T218" s="269">
        <v>0</v>
      </c>
      <c r="U218" s="295">
        <f t="shared" si="82"/>
        <v>0</v>
      </c>
      <c r="Z218" s="292">
        <f t="shared" si="91"/>
        <v>0</v>
      </c>
      <c r="AF218" s="416">
        <f t="shared" si="86"/>
        <v>0</v>
      </c>
      <c r="AH218" s="314">
        <f t="shared" si="87"/>
        <v>0</v>
      </c>
      <c r="AI218" s="312">
        <f t="shared" si="88"/>
        <v>0</v>
      </c>
      <c r="AJ218" s="313">
        <f t="shared" si="93"/>
        <v>0</v>
      </c>
      <c r="AL218" s="309">
        <f t="shared" si="85"/>
        <v>0</v>
      </c>
      <c r="AM218" s="309">
        <f t="shared" ca="1" si="89"/>
        <v>0</v>
      </c>
      <c r="AO218" s="11"/>
      <c r="AP218" s="361" t="str">
        <f t="shared" ca="1" si="90"/>
        <v/>
      </c>
      <c r="AQ218" s="11">
        <f ca="1">IF(D218&gt;TODAY()-1,"",SUM($AM$6:AM218))</f>
        <v>1217632.2100000002</v>
      </c>
      <c r="AR218" s="11">
        <f ca="1">IF(AM218&lt;&gt;"", SUMIFS($AM$8:AM218, $BC$8:BC218, BC218), "")</f>
        <v>0</v>
      </c>
      <c r="AU218" s="124" t="str">
        <f t="shared" ca="1" si="92"/>
        <v>LINK</v>
      </c>
    </row>
    <row r="219" spans="1:47">
      <c r="A219" s="510" t="e">
        <f>VLOOKUP(E219,'Tenement Lookup'!A:BH,60,FALSE)</f>
        <v>#N/A</v>
      </c>
      <c r="D219" s="265">
        <v>46043</v>
      </c>
      <c r="L219" s="187"/>
      <c r="N219" s="4"/>
      <c r="R219" s="318">
        <f t="shared" si="81"/>
        <v>0</v>
      </c>
      <c r="S219" s="273">
        <f t="shared" si="83"/>
        <v>0</v>
      </c>
      <c r="T219" s="269">
        <v>0</v>
      </c>
      <c r="U219" s="295">
        <f t="shared" si="82"/>
        <v>0</v>
      </c>
      <c r="Z219" s="292">
        <f t="shared" si="91"/>
        <v>0</v>
      </c>
      <c r="AF219" s="416">
        <f t="shared" si="86"/>
        <v>0</v>
      </c>
      <c r="AH219" s="314">
        <f t="shared" si="87"/>
        <v>0</v>
      </c>
      <c r="AI219" s="312">
        <f t="shared" si="88"/>
        <v>0</v>
      </c>
      <c r="AJ219" s="313">
        <f t="shared" si="93"/>
        <v>0</v>
      </c>
      <c r="AL219" s="309">
        <f t="shared" si="85"/>
        <v>0</v>
      </c>
      <c r="AM219" s="309">
        <f t="shared" ca="1" si="89"/>
        <v>0</v>
      </c>
      <c r="AO219" s="11"/>
      <c r="AP219" s="361" t="str">
        <f t="shared" ca="1" si="90"/>
        <v/>
      </c>
      <c r="AQ219" s="11">
        <f ca="1">IF(D219&gt;TODAY()-1,"",SUM($AM$6:AM219))</f>
        <v>1217632.2100000002</v>
      </c>
      <c r="AR219" s="11">
        <f ca="1">IF(AM219&lt;&gt;"", SUMIFS($AM$8:AM219, $BC$8:BC219, BC219), "")</f>
        <v>0</v>
      </c>
      <c r="AU219" s="124" t="str">
        <f t="shared" ca="1" si="92"/>
        <v>LINK</v>
      </c>
    </row>
    <row r="220" spans="1:47">
      <c r="A220" s="510" t="e">
        <f>VLOOKUP(E220,'Tenement Lookup'!A:BH,60,FALSE)</f>
        <v>#N/A</v>
      </c>
      <c r="D220" s="265">
        <v>46044</v>
      </c>
      <c r="L220" s="187"/>
      <c r="N220" s="4"/>
      <c r="R220" s="318">
        <f t="shared" si="81"/>
        <v>0</v>
      </c>
      <c r="S220" s="273">
        <f t="shared" si="83"/>
        <v>0</v>
      </c>
      <c r="T220" s="269">
        <v>0</v>
      </c>
      <c r="U220" s="295">
        <f t="shared" si="82"/>
        <v>0</v>
      </c>
      <c r="Z220" s="292">
        <f t="shared" si="91"/>
        <v>0</v>
      </c>
      <c r="AF220" s="416">
        <f t="shared" si="86"/>
        <v>0</v>
      </c>
      <c r="AH220" s="314">
        <f t="shared" si="87"/>
        <v>0</v>
      </c>
      <c r="AI220" s="312">
        <f t="shared" si="88"/>
        <v>0</v>
      </c>
      <c r="AJ220" s="313">
        <f t="shared" si="93"/>
        <v>0</v>
      </c>
      <c r="AL220" s="309">
        <f t="shared" si="85"/>
        <v>0</v>
      </c>
      <c r="AM220" s="309">
        <f t="shared" ca="1" si="89"/>
        <v>0</v>
      </c>
      <c r="AO220" s="11"/>
      <c r="AP220" s="361" t="str">
        <f t="shared" ca="1" si="90"/>
        <v/>
      </c>
      <c r="AQ220" s="11">
        <f ca="1">IF(D220&gt;TODAY()-1,"",SUM($AM$6:AM220))</f>
        <v>1217632.2100000002</v>
      </c>
      <c r="AR220" s="11">
        <f ca="1">IF(AM220&lt;&gt;"", SUMIFS($AM$8:AM220, $BC$8:BC220, BC220), "")</f>
        <v>0</v>
      </c>
      <c r="AU220" s="124" t="str">
        <f t="shared" ca="1" si="92"/>
        <v>LINK</v>
      </c>
    </row>
    <row r="221" spans="1:47">
      <c r="A221" s="510" t="e">
        <f>VLOOKUP(E221,'Tenement Lookup'!A:BH,60,FALSE)</f>
        <v>#N/A</v>
      </c>
      <c r="D221" s="265">
        <v>46045</v>
      </c>
      <c r="L221" s="187"/>
      <c r="N221" s="4"/>
      <c r="R221" s="318">
        <f t="shared" si="81"/>
        <v>0</v>
      </c>
      <c r="S221" s="273">
        <f t="shared" si="83"/>
        <v>0</v>
      </c>
      <c r="T221" s="269">
        <v>0</v>
      </c>
      <c r="U221" s="295">
        <f t="shared" si="82"/>
        <v>0</v>
      </c>
      <c r="Z221" s="292">
        <f t="shared" si="91"/>
        <v>0</v>
      </c>
      <c r="AF221" s="416">
        <f t="shared" si="86"/>
        <v>0</v>
      </c>
      <c r="AH221" s="314">
        <f t="shared" si="87"/>
        <v>0</v>
      </c>
      <c r="AI221" s="312">
        <f t="shared" si="88"/>
        <v>0</v>
      </c>
      <c r="AJ221" s="313">
        <f t="shared" si="93"/>
        <v>0</v>
      </c>
      <c r="AL221" s="309">
        <f t="shared" si="85"/>
        <v>0</v>
      </c>
      <c r="AM221" s="309">
        <f t="shared" ca="1" si="89"/>
        <v>0</v>
      </c>
      <c r="AO221" s="11"/>
      <c r="AP221" s="361" t="str">
        <f t="shared" ca="1" si="90"/>
        <v/>
      </c>
      <c r="AQ221" s="11">
        <f ca="1">IF(D221&gt;TODAY()-1,"",SUM($AM$6:AM221))</f>
        <v>1217632.2100000002</v>
      </c>
      <c r="AR221" s="11">
        <f ca="1">IF(AM221&lt;&gt;"", SUMIFS($AM$8:AM221, $BC$8:BC221, BC221), "")</f>
        <v>0</v>
      </c>
      <c r="AU221" s="124" t="str">
        <f t="shared" ca="1" si="92"/>
        <v>LINK</v>
      </c>
    </row>
    <row r="222" spans="1:47">
      <c r="A222" s="510" t="e">
        <f>VLOOKUP(E222,'Tenement Lookup'!A:BH,60,FALSE)</f>
        <v>#N/A</v>
      </c>
      <c r="D222" s="265">
        <v>46046</v>
      </c>
      <c r="L222" s="187"/>
      <c r="N222" s="4"/>
      <c r="R222" s="318">
        <f t="shared" si="81"/>
        <v>0</v>
      </c>
      <c r="S222" s="273">
        <f t="shared" si="83"/>
        <v>0</v>
      </c>
      <c r="T222" s="269">
        <v>0</v>
      </c>
      <c r="U222" s="295">
        <f t="shared" si="82"/>
        <v>0</v>
      </c>
      <c r="Z222" s="292">
        <f t="shared" si="91"/>
        <v>0</v>
      </c>
      <c r="AF222" s="416">
        <f t="shared" si="86"/>
        <v>0</v>
      </c>
      <c r="AH222" s="314">
        <f t="shared" si="87"/>
        <v>0</v>
      </c>
      <c r="AI222" s="312">
        <f t="shared" si="88"/>
        <v>0</v>
      </c>
      <c r="AJ222" s="313">
        <f t="shared" si="93"/>
        <v>0</v>
      </c>
      <c r="AL222" s="309">
        <f t="shared" si="85"/>
        <v>0</v>
      </c>
      <c r="AM222" s="309">
        <f t="shared" ca="1" si="89"/>
        <v>0</v>
      </c>
      <c r="AO222" s="11"/>
      <c r="AP222" s="361" t="str">
        <f t="shared" ca="1" si="90"/>
        <v/>
      </c>
      <c r="AQ222" s="11">
        <f ca="1">IF(D222&gt;TODAY()-1,"",SUM($AM$6:AM222))</f>
        <v>1217632.2100000002</v>
      </c>
      <c r="AR222" s="11">
        <f ca="1">IF(AM222&lt;&gt;"", SUMIFS($AM$8:AM222, $BC$8:BC222, BC222), "")</f>
        <v>0</v>
      </c>
      <c r="AU222" s="124" t="str">
        <f t="shared" ca="1" si="92"/>
        <v>LINK</v>
      </c>
    </row>
    <row r="223" spans="1:47">
      <c r="A223" s="510" t="e">
        <f>VLOOKUP(E223,'Tenement Lookup'!A:BH,60,FALSE)</f>
        <v>#N/A</v>
      </c>
      <c r="D223" s="265">
        <v>46047</v>
      </c>
      <c r="L223" s="187"/>
      <c r="N223" s="4"/>
      <c r="R223" s="318">
        <f t="shared" si="81"/>
        <v>0</v>
      </c>
      <c r="S223" s="273">
        <f t="shared" si="83"/>
        <v>0</v>
      </c>
      <c r="T223" s="269">
        <v>0</v>
      </c>
      <c r="U223" s="295">
        <f t="shared" si="82"/>
        <v>0</v>
      </c>
      <c r="Z223" s="292">
        <f t="shared" si="91"/>
        <v>0</v>
      </c>
      <c r="AF223" s="416">
        <f t="shared" si="86"/>
        <v>0</v>
      </c>
      <c r="AH223" s="314">
        <f t="shared" si="87"/>
        <v>0</v>
      </c>
      <c r="AI223" s="312">
        <f t="shared" si="88"/>
        <v>0</v>
      </c>
      <c r="AJ223" s="313">
        <f t="shared" si="93"/>
        <v>0</v>
      </c>
      <c r="AL223" s="309">
        <f t="shared" si="85"/>
        <v>0</v>
      </c>
      <c r="AM223" s="309">
        <f t="shared" ca="1" si="89"/>
        <v>0</v>
      </c>
      <c r="AO223" s="11"/>
      <c r="AP223" s="361" t="str">
        <f t="shared" ca="1" si="90"/>
        <v/>
      </c>
      <c r="AQ223" s="11">
        <f ca="1">IF(D223&gt;TODAY()-1,"",SUM($AM$6:AM223))</f>
        <v>1217632.2100000002</v>
      </c>
      <c r="AR223" s="11">
        <f ca="1">IF(AM223&lt;&gt;"", SUMIFS($AM$8:AM223, $BC$8:BC223, BC223), "")</f>
        <v>0</v>
      </c>
      <c r="AU223" s="124" t="str">
        <f t="shared" ca="1" si="92"/>
        <v>LINK</v>
      </c>
    </row>
    <row r="224" spans="1:47">
      <c r="A224" s="510" t="e">
        <f>VLOOKUP(E224,'Tenement Lookup'!A:BH,60,FALSE)</f>
        <v>#N/A</v>
      </c>
      <c r="D224" s="265">
        <v>46048</v>
      </c>
      <c r="L224" s="187"/>
      <c r="N224" s="4"/>
      <c r="R224" s="318">
        <f t="shared" si="81"/>
        <v>0</v>
      </c>
      <c r="S224" s="273">
        <f t="shared" si="83"/>
        <v>0</v>
      </c>
      <c r="T224" s="269">
        <v>0</v>
      </c>
      <c r="U224" s="295">
        <f t="shared" si="82"/>
        <v>0</v>
      </c>
      <c r="Z224" s="292">
        <f t="shared" si="91"/>
        <v>0</v>
      </c>
      <c r="AF224" s="416">
        <f t="shared" si="86"/>
        <v>0</v>
      </c>
      <c r="AH224" s="314">
        <f t="shared" si="87"/>
        <v>0</v>
      </c>
      <c r="AI224" s="312">
        <f t="shared" si="88"/>
        <v>0</v>
      </c>
      <c r="AJ224" s="313">
        <f t="shared" si="93"/>
        <v>0</v>
      </c>
      <c r="AL224" s="309">
        <f t="shared" si="85"/>
        <v>0</v>
      </c>
      <c r="AM224" s="309">
        <f t="shared" ca="1" si="89"/>
        <v>0</v>
      </c>
      <c r="AO224" s="11"/>
      <c r="AP224" s="361" t="str">
        <f t="shared" ca="1" si="90"/>
        <v/>
      </c>
      <c r="AQ224" s="11">
        <f ca="1">IF(D224&gt;TODAY()-1,"",SUM($AM$6:AM224))</f>
        <v>1217632.2100000002</v>
      </c>
      <c r="AR224" s="11">
        <f ca="1">IF(AM224&lt;&gt;"", SUMIFS($AM$8:AM224, $BC$8:BC224, BC224), "")</f>
        <v>0</v>
      </c>
      <c r="AU224" s="124" t="str">
        <f t="shared" ca="1" si="92"/>
        <v>LINK</v>
      </c>
    </row>
    <row r="225" spans="1:47">
      <c r="A225" s="510" t="e">
        <f>VLOOKUP(E225,'Tenement Lookup'!A:BH,60,FALSE)</f>
        <v>#N/A</v>
      </c>
      <c r="D225" s="265">
        <v>46049</v>
      </c>
      <c r="L225" s="187"/>
      <c r="N225" s="4"/>
      <c r="R225" s="318">
        <f t="shared" si="81"/>
        <v>0</v>
      </c>
      <c r="S225" s="273">
        <f t="shared" si="83"/>
        <v>0</v>
      </c>
      <c r="T225" s="269">
        <v>0</v>
      </c>
      <c r="U225" s="295">
        <f t="shared" si="82"/>
        <v>0</v>
      </c>
      <c r="Z225" s="292">
        <f t="shared" si="91"/>
        <v>0</v>
      </c>
      <c r="AF225" s="416">
        <f t="shared" si="86"/>
        <v>0</v>
      </c>
      <c r="AH225" s="314">
        <f t="shared" si="87"/>
        <v>0</v>
      </c>
      <c r="AI225" s="312">
        <f t="shared" si="88"/>
        <v>0</v>
      </c>
      <c r="AJ225" s="313">
        <f t="shared" si="93"/>
        <v>0</v>
      </c>
      <c r="AL225" s="309">
        <f t="shared" si="85"/>
        <v>0</v>
      </c>
      <c r="AM225" s="309">
        <f t="shared" ca="1" si="89"/>
        <v>0</v>
      </c>
      <c r="AO225" s="11"/>
      <c r="AP225" s="361" t="str">
        <f t="shared" ca="1" si="90"/>
        <v/>
      </c>
      <c r="AQ225" s="11">
        <f ca="1">IF(D225&gt;TODAY()-1,"",SUM($AM$6:AM225))</f>
        <v>1217632.2100000002</v>
      </c>
      <c r="AR225" s="11">
        <f ca="1">IF(AM225&lt;&gt;"", SUMIFS($AM$8:AM225, $BC$8:BC225, BC225), "")</f>
        <v>0</v>
      </c>
      <c r="AU225" s="124" t="str">
        <f t="shared" ca="1" si="92"/>
        <v>LINK</v>
      </c>
    </row>
    <row r="226" spans="1:47">
      <c r="A226" s="510" t="e">
        <f>VLOOKUP(E226,'Tenement Lookup'!A:BH,60,FALSE)</f>
        <v>#N/A</v>
      </c>
      <c r="D226" s="265">
        <v>46050</v>
      </c>
      <c r="L226" s="187"/>
      <c r="N226" s="4"/>
      <c r="R226" s="318">
        <f t="shared" si="81"/>
        <v>0</v>
      </c>
      <c r="S226" s="273">
        <f t="shared" si="83"/>
        <v>0</v>
      </c>
      <c r="T226" s="269">
        <v>0</v>
      </c>
      <c r="U226" s="295">
        <f t="shared" si="82"/>
        <v>0</v>
      </c>
      <c r="Z226" s="292">
        <f t="shared" si="91"/>
        <v>0</v>
      </c>
      <c r="AF226" s="416">
        <f t="shared" si="86"/>
        <v>0</v>
      </c>
      <c r="AH226" s="314">
        <f t="shared" si="87"/>
        <v>0</v>
      </c>
      <c r="AI226" s="312">
        <f t="shared" si="88"/>
        <v>0</v>
      </c>
      <c r="AJ226" s="313">
        <f t="shared" si="93"/>
        <v>0</v>
      </c>
      <c r="AL226" s="309">
        <f t="shared" si="85"/>
        <v>0</v>
      </c>
      <c r="AM226" s="309">
        <f t="shared" ca="1" si="89"/>
        <v>0</v>
      </c>
      <c r="AO226" s="11"/>
      <c r="AP226" s="361" t="str">
        <f t="shared" ca="1" si="90"/>
        <v/>
      </c>
      <c r="AQ226" s="11">
        <f ca="1">IF(D226&gt;TODAY()-1,"",SUM($AM$6:AM226))</f>
        <v>1217632.2100000002</v>
      </c>
      <c r="AR226" s="11">
        <f ca="1">IF(AM226&lt;&gt;"", SUMIFS($AM$8:AM226, $BC$8:BC226, BC226), "")</f>
        <v>0</v>
      </c>
      <c r="AU226" s="124" t="str">
        <f t="shared" ca="1" si="92"/>
        <v>LINK</v>
      </c>
    </row>
    <row r="227" spans="1:47">
      <c r="A227" s="510" t="e">
        <f>VLOOKUP(E227,'Tenement Lookup'!A:BH,60,FALSE)</f>
        <v>#N/A</v>
      </c>
      <c r="D227" s="265">
        <v>46051</v>
      </c>
      <c r="L227" s="187"/>
      <c r="N227" s="4"/>
      <c r="R227" s="318">
        <f t="shared" si="81"/>
        <v>0</v>
      </c>
      <c r="S227" s="273">
        <f t="shared" si="83"/>
        <v>0</v>
      </c>
      <c r="T227" s="269">
        <v>0</v>
      </c>
      <c r="U227" s="295">
        <f t="shared" si="82"/>
        <v>0</v>
      </c>
      <c r="Z227" s="292">
        <f t="shared" si="91"/>
        <v>0</v>
      </c>
      <c r="AF227" s="416">
        <f t="shared" si="86"/>
        <v>0</v>
      </c>
      <c r="AH227" s="314">
        <f t="shared" si="87"/>
        <v>0</v>
      </c>
      <c r="AI227" s="312">
        <f t="shared" si="88"/>
        <v>0</v>
      </c>
      <c r="AJ227" s="313">
        <f t="shared" si="93"/>
        <v>0</v>
      </c>
      <c r="AL227" s="309">
        <f t="shared" si="85"/>
        <v>0</v>
      </c>
      <c r="AM227" s="309">
        <f t="shared" ca="1" si="89"/>
        <v>0</v>
      </c>
      <c r="AO227" s="11"/>
      <c r="AP227" s="361" t="str">
        <f t="shared" ca="1" si="90"/>
        <v/>
      </c>
      <c r="AQ227" s="11">
        <f ca="1">IF(D227&gt;TODAY()-1,"",SUM($AM$6:AM227))</f>
        <v>1217632.2100000002</v>
      </c>
      <c r="AR227" s="11">
        <f ca="1">IF(AM227&lt;&gt;"", SUMIFS($AM$8:AM227, $BC$8:BC227, BC227), "")</f>
        <v>0</v>
      </c>
      <c r="AU227" s="124" t="str">
        <f t="shared" ca="1" si="92"/>
        <v>LINK</v>
      </c>
    </row>
    <row r="228" spans="1:47">
      <c r="A228" s="510" t="e">
        <f>VLOOKUP(E228,'Tenement Lookup'!A:BH,60,FALSE)</f>
        <v>#N/A</v>
      </c>
      <c r="D228" s="265">
        <v>46052</v>
      </c>
      <c r="L228" s="187"/>
      <c r="N228" s="4"/>
      <c r="R228" s="318">
        <f t="shared" si="81"/>
        <v>0</v>
      </c>
      <c r="S228" s="273">
        <f t="shared" si="83"/>
        <v>0</v>
      </c>
      <c r="T228" s="269">
        <v>0</v>
      </c>
      <c r="U228" s="295">
        <f t="shared" si="82"/>
        <v>0</v>
      </c>
      <c r="Z228" s="292">
        <f t="shared" si="91"/>
        <v>0</v>
      </c>
      <c r="AF228" s="416">
        <f t="shared" si="86"/>
        <v>0</v>
      </c>
      <c r="AH228" s="314">
        <f t="shared" si="87"/>
        <v>0</v>
      </c>
      <c r="AI228" s="312">
        <f t="shared" si="88"/>
        <v>0</v>
      </c>
      <c r="AJ228" s="313">
        <f t="shared" si="93"/>
        <v>0</v>
      </c>
      <c r="AL228" s="309">
        <f t="shared" ref="AL228:AL259" si="94">AK228-K228</f>
        <v>0</v>
      </c>
      <c r="AM228" s="309">
        <f t="shared" ca="1" si="89"/>
        <v>0</v>
      </c>
      <c r="AO228" s="11"/>
      <c r="AP228" s="361" t="str">
        <f t="shared" ca="1" si="90"/>
        <v/>
      </c>
      <c r="AQ228" s="11">
        <f ca="1">IF(D228&gt;TODAY()-1,"",SUM($AM$6:AM228))</f>
        <v>1217632.2100000002</v>
      </c>
      <c r="AR228" s="11">
        <f ca="1">IF(AM228&lt;&gt;"", SUMIFS($AM$8:AM228, $BC$8:BC228, BC228), "")</f>
        <v>0</v>
      </c>
      <c r="AU228" s="124" t="str">
        <f t="shared" ca="1" si="92"/>
        <v>LINK</v>
      </c>
    </row>
    <row r="229" spans="1:47">
      <c r="A229" s="510" t="e">
        <f>VLOOKUP(E229,'Tenement Lookup'!A:BH,60,FALSE)</f>
        <v>#N/A</v>
      </c>
      <c r="D229" s="265">
        <v>46053</v>
      </c>
      <c r="L229" s="187"/>
      <c r="N229" s="4"/>
      <c r="R229" s="318">
        <f t="shared" si="81"/>
        <v>0</v>
      </c>
      <c r="S229" s="273">
        <f t="shared" si="83"/>
        <v>0</v>
      </c>
      <c r="T229" s="269">
        <v>0</v>
      </c>
      <c r="U229" s="295">
        <f t="shared" si="82"/>
        <v>0</v>
      </c>
      <c r="Z229" s="292">
        <f t="shared" si="91"/>
        <v>0</v>
      </c>
      <c r="AF229" s="416">
        <f t="shared" si="86"/>
        <v>0</v>
      </c>
      <c r="AH229" s="314">
        <f t="shared" si="87"/>
        <v>0</v>
      </c>
      <c r="AI229" s="312">
        <f t="shared" si="88"/>
        <v>0</v>
      </c>
      <c r="AJ229" s="313">
        <f t="shared" si="93"/>
        <v>0</v>
      </c>
      <c r="AL229" s="309">
        <f t="shared" si="94"/>
        <v>0</v>
      </c>
      <c r="AM229" s="309">
        <f t="shared" ca="1" si="89"/>
        <v>0</v>
      </c>
      <c r="AO229" s="11"/>
      <c r="AP229" s="361" t="str">
        <f t="shared" ca="1" si="90"/>
        <v/>
      </c>
      <c r="AQ229" s="11">
        <f ca="1">IF(D229&gt;TODAY()-1,"",SUM($AM$6:AM229))</f>
        <v>1217632.2100000002</v>
      </c>
      <c r="AR229" s="11">
        <f ca="1">IF(AM229&lt;&gt;"", SUMIFS($AM$8:AM229, $BC$8:BC229, BC229), "")</f>
        <v>0</v>
      </c>
      <c r="AU229" s="124" t="str">
        <f t="shared" ca="1" si="92"/>
        <v>LINK</v>
      </c>
    </row>
    <row r="230" spans="1:47">
      <c r="A230" s="510" t="e">
        <f>VLOOKUP(E230,'Tenement Lookup'!A:BH,60,FALSE)</f>
        <v>#N/A</v>
      </c>
      <c r="D230" s="265">
        <v>46054</v>
      </c>
      <c r="L230" s="187"/>
      <c r="N230" s="4"/>
      <c r="R230" s="318">
        <f t="shared" si="81"/>
        <v>0</v>
      </c>
      <c r="S230" s="273">
        <f t="shared" si="83"/>
        <v>0</v>
      </c>
      <c r="T230" s="269">
        <v>0</v>
      </c>
      <c r="U230" s="295">
        <f t="shared" si="82"/>
        <v>0</v>
      </c>
      <c r="Z230" s="292">
        <f t="shared" si="91"/>
        <v>0</v>
      </c>
      <c r="AF230" s="416">
        <f t="shared" si="86"/>
        <v>0</v>
      </c>
      <c r="AH230" s="314">
        <f t="shared" si="87"/>
        <v>0</v>
      </c>
      <c r="AI230" s="312">
        <f t="shared" si="88"/>
        <v>0</v>
      </c>
      <c r="AJ230" s="313">
        <f t="shared" si="93"/>
        <v>0</v>
      </c>
      <c r="AL230" s="309">
        <f t="shared" si="94"/>
        <v>0</v>
      </c>
      <c r="AM230" s="309">
        <f t="shared" ca="1" si="89"/>
        <v>0</v>
      </c>
      <c r="AO230" s="11"/>
      <c r="AP230" s="361" t="str">
        <f t="shared" ca="1" si="90"/>
        <v/>
      </c>
      <c r="AQ230" s="11">
        <f ca="1">IF(D230&gt;TODAY()-1,"",SUM($AM$6:AM230))</f>
        <v>1217632.2100000002</v>
      </c>
      <c r="AR230" s="11">
        <f ca="1">IF(AM230&lt;&gt;"", SUMIFS($AM$8:AM230, $BC$8:BC230, BC230), "")</f>
        <v>0</v>
      </c>
      <c r="AU230" s="124" t="str">
        <f t="shared" ca="1" si="92"/>
        <v>LINK</v>
      </c>
    </row>
    <row r="231" spans="1:47">
      <c r="A231" s="510" t="e">
        <f>VLOOKUP(E231,'Tenement Lookup'!A:BH,60,FALSE)</f>
        <v>#N/A</v>
      </c>
      <c r="D231" s="265">
        <v>46055</v>
      </c>
      <c r="L231" s="187"/>
      <c r="N231" s="4"/>
      <c r="R231" s="318">
        <f t="shared" si="81"/>
        <v>0</v>
      </c>
      <c r="S231" s="273">
        <f t="shared" si="83"/>
        <v>0</v>
      </c>
      <c r="T231" s="269">
        <v>0</v>
      </c>
      <c r="U231" s="295">
        <f t="shared" si="82"/>
        <v>0</v>
      </c>
      <c r="Z231" s="292">
        <f t="shared" si="91"/>
        <v>0</v>
      </c>
      <c r="AF231" s="416">
        <f t="shared" si="86"/>
        <v>0</v>
      </c>
      <c r="AH231" s="314">
        <f t="shared" si="87"/>
        <v>0</v>
      </c>
      <c r="AI231" s="312">
        <f t="shared" si="88"/>
        <v>0</v>
      </c>
      <c r="AJ231" s="313">
        <f t="shared" si="93"/>
        <v>0</v>
      </c>
      <c r="AL231" s="309">
        <f t="shared" si="94"/>
        <v>0</v>
      </c>
      <c r="AM231" s="309">
        <f t="shared" ca="1" si="89"/>
        <v>0</v>
      </c>
      <c r="AO231" s="11"/>
      <c r="AP231" s="361" t="str">
        <f t="shared" ca="1" si="90"/>
        <v/>
      </c>
      <c r="AQ231" s="11">
        <f ca="1">IF(D231&gt;TODAY()-1,"",SUM($AM$6:AM231))</f>
        <v>1217632.2100000002</v>
      </c>
      <c r="AR231" s="11">
        <f ca="1">IF(AM231&lt;&gt;"", SUMIFS($AM$8:AM231, $BC$8:BC231, BC231), "")</f>
        <v>0</v>
      </c>
      <c r="AU231" s="124" t="str">
        <f t="shared" ca="1" si="92"/>
        <v>LINK</v>
      </c>
    </row>
    <row r="232" spans="1:47">
      <c r="A232" s="510" t="e">
        <f>VLOOKUP(E232,'Tenement Lookup'!A:BH,60,FALSE)</f>
        <v>#N/A</v>
      </c>
      <c r="D232" s="265">
        <v>46056</v>
      </c>
      <c r="L232" s="187"/>
      <c r="N232" s="4"/>
      <c r="R232" s="318">
        <f t="shared" si="81"/>
        <v>0</v>
      </c>
      <c r="S232" s="273">
        <f t="shared" si="83"/>
        <v>0</v>
      </c>
      <c r="T232" s="269">
        <v>0</v>
      </c>
      <c r="U232" s="295">
        <f t="shared" si="82"/>
        <v>0</v>
      </c>
      <c r="Z232" s="292">
        <f t="shared" si="91"/>
        <v>0</v>
      </c>
      <c r="AF232" s="416">
        <f t="shared" si="86"/>
        <v>0</v>
      </c>
      <c r="AH232" s="314">
        <f t="shared" si="87"/>
        <v>0</v>
      </c>
      <c r="AI232" s="312">
        <f t="shared" si="88"/>
        <v>0</v>
      </c>
      <c r="AJ232" s="313">
        <f t="shared" si="93"/>
        <v>0</v>
      </c>
      <c r="AL232" s="309">
        <f t="shared" si="94"/>
        <v>0</v>
      </c>
      <c r="AM232" s="309">
        <f t="shared" ca="1" si="89"/>
        <v>0</v>
      </c>
      <c r="AO232" s="11"/>
      <c r="AP232" s="361" t="str">
        <f t="shared" ca="1" si="90"/>
        <v/>
      </c>
      <c r="AQ232" s="11">
        <f ca="1">IF(D232&gt;TODAY()-1,"",SUM($AM$6:AM232))</f>
        <v>1217632.2100000002</v>
      </c>
      <c r="AR232" s="11">
        <f ca="1">IF(AM232&lt;&gt;"", SUMIFS($AM$8:AM232, $BC$8:BC232, BC232), "")</f>
        <v>0</v>
      </c>
      <c r="AU232" s="124" t="str">
        <f t="shared" ca="1" si="92"/>
        <v>LINK</v>
      </c>
    </row>
    <row r="233" spans="1:47">
      <c r="A233" s="510" t="e">
        <f>VLOOKUP(E233,'Tenement Lookup'!A:BH,60,FALSE)</f>
        <v>#N/A</v>
      </c>
      <c r="D233" s="265">
        <v>46057</v>
      </c>
      <c r="L233" s="187"/>
      <c r="N233" s="4"/>
      <c r="R233" s="318">
        <f t="shared" ref="R233:R262" si="95">L233+M233+N233+O233+P233+Q233</f>
        <v>0</v>
      </c>
      <c r="S233" s="273">
        <f t="shared" si="83"/>
        <v>0</v>
      </c>
      <c r="T233" s="269">
        <v>0</v>
      </c>
      <c r="U233" s="295">
        <f t="shared" ref="U233:U262" si="96">IF(S233&lt;(T233*$T$3),(T233*$T$3),S233)</f>
        <v>0</v>
      </c>
      <c r="Z233" s="292">
        <f t="shared" si="91"/>
        <v>0</v>
      </c>
      <c r="AF233" s="416">
        <f t="shared" si="86"/>
        <v>0</v>
      </c>
      <c r="AH233" s="314">
        <f t="shared" si="87"/>
        <v>0</v>
      </c>
      <c r="AI233" s="312">
        <f t="shared" si="88"/>
        <v>0</v>
      </c>
      <c r="AJ233" s="313">
        <f t="shared" si="93"/>
        <v>0</v>
      </c>
      <c r="AL233" s="309">
        <f t="shared" si="94"/>
        <v>0</v>
      </c>
      <c r="AM233" s="309">
        <f t="shared" ca="1" si="89"/>
        <v>0</v>
      </c>
      <c r="AO233" s="11"/>
      <c r="AP233" s="361" t="str">
        <f t="shared" ca="1" si="90"/>
        <v/>
      </c>
      <c r="AQ233" s="11">
        <f ca="1">IF(D233&gt;TODAY()-1,"",SUM($AM$6:AM233))</f>
        <v>1217632.2100000002</v>
      </c>
      <c r="AR233" s="11">
        <f ca="1">IF(AM233&lt;&gt;"", SUMIFS($AM$8:AM233, $BC$8:BC233, BC233), "")</f>
        <v>0</v>
      </c>
      <c r="AU233" s="124" t="str">
        <f t="shared" ca="1" si="92"/>
        <v>LINK</v>
      </c>
    </row>
    <row r="234" spans="1:47">
      <c r="A234" s="510" t="e">
        <f>VLOOKUP(E234,'Tenement Lookup'!A:BH,60,FALSE)</f>
        <v>#N/A</v>
      </c>
      <c r="D234" s="265">
        <v>46058</v>
      </c>
      <c r="L234" s="187"/>
      <c r="N234" s="4"/>
      <c r="R234" s="318">
        <f t="shared" si="95"/>
        <v>0</v>
      </c>
      <c r="S234" s="273">
        <f t="shared" ref="S234:S262" si="97">(L234*$L$3)+(M234*$M$3)+(N234*$N$3)+(O234*$O$3)+(P234*$P$3)+(Q234*$Q$3)</f>
        <v>0</v>
      </c>
      <c r="T234" s="269">
        <v>0</v>
      </c>
      <c r="U234" s="295">
        <f t="shared" si="96"/>
        <v>0</v>
      </c>
      <c r="Z234" s="292">
        <f t="shared" si="91"/>
        <v>0</v>
      </c>
      <c r="AF234" s="416">
        <f t="shared" si="86"/>
        <v>0</v>
      </c>
      <c r="AH234" s="314">
        <f t="shared" si="87"/>
        <v>0</v>
      </c>
      <c r="AI234" s="312">
        <f t="shared" si="88"/>
        <v>0</v>
      </c>
      <c r="AJ234" s="313">
        <f t="shared" si="93"/>
        <v>0</v>
      </c>
      <c r="AL234" s="309">
        <f t="shared" si="94"/>
        <v>0</v>
      </c>
      <c r="AM234" s="309">
        <f t="shared" ca="1" si="89"/>
        <v>0</v>
      </c>
      <c r="AO234" s="11"/>
      <c r="AP234" s="361" t="str">
        <f t="shared" ca="1" si="90"/>
        <v/>
      </c>
      <c r="AQ234" s="11">
        <f ca="1">IF(D234&gt;TODAY()-1,"",SUM($AM$6:AM234))</f>
        <v>1217632.2100000002</v>
      </c>
      <c r="AR234" s="11">
        <f ca="1">IF(AM234&lt;&gt;"", SUMIFS($AM$8:AM234, $BC$8:BC234, BC234), "")</f>
        <v>0</v>
      </c>
      <c r="AU234" s="124" t="str">
        <f t="shared" ca="1" si="92"/>
        <v>LINK</v>
      </c>
    </row>
    <row r="235" spans="1:47">
      <c r="A235" s="510" t="e">
        <f>VLOOKUP(E235,'Tenement Lookup'!A:BH,60,FALSE)</f>
        <v>#N/A</v>
      </c>
      <c r="D235" s="265">
        <v>46059</v>
      </c>
      <c r="L235" s="187"/>
      <c r="N235" s="4"/>
      <c r="R235" s="318">
        <f t="shared" si="95"/>
        <v>0</v>
      </c>
      <c r="S235" s="273">
        <f t="shared" si="97"/>
        <v>0</v>
      </c>
      <c r="T235" s="269">
        <v>0</v>
      </c>
      <c r="U235" s="295">
        <f t="shared" si="96"/>
        <v>0</v>
      </c>
      <c r="Z235" s="292">
        <f t="shared" si="91"/>
        <v>0</v>
      </c>
      <c r="AF235" s="416">
        <f t="shared" si="86"/>
        <v>0</v>
      </c>
      <c r="AH235" s="314">
        <f t="shared" si="87"/>
        <v>0</v>
      </c>
      <c r="AI235" s="312">
        <f t="shared" si="88"/>
        <v>0</v>
      </c>
      <c r="AJ235" s="313">
        <f t="shared" si="93"/>
        <v>0</v>
      </c>
      <c r="AL235" s="309">
        <f t="shared" si="94"/>
        <v>0</v>
      </c>
      <c r="AM235" s="309">
        <f t="shared" ca="1" si="89"/>
        <v>0</v>
      </c>
      <c r="AO235" s="11"/>
      <c r="AP235" s="361" t="str">
        <f t="shared" ca="1" si="90"/>
        <v/>
      </c>
      <c r="AQ235" s="11">
        <f ca="1">IF(D235&gt;TODAY()-1,"",SUM($AM$6:AM235))</f>
        <v>1217632.2100000002</v>
      </c>
      <c r="AR235" s="11">
        <f ca="1">IF(AM235&lt;&gt;"", SUMIFS($AM$8:AM235, $BC$8:BC235, BC235), "")</f>
        <v>0</v>
      </c>
      <c r="AU235" s="124" t="str">
        <f t="shared" ca="1" si="92"/>
        <v>LINK</v>
      </c>
    </row>
    <row r="236" spans="1:47">
      <c r="A236" s="510" t="e">
        <f>VLOOKUP(E236,'Tenement Lookup'!A:BH,60,FALSE)</f>
        <v>#N/A</v>
      </c>
      <c r="D236" s="265">
        <v>46060</v>
      </c>
      <c r="L236" s="187"/>
      <c r="N236" s="4"/>
      <c r="R236" s="318">
        <f t="shared" si="95"/>
        <v>0</v>
      </c>
      <c r="S236" s="273">
        <f t="shared" si="97"/>
        <v>0</v>
      </c>
      <c r="T236" s="269">
        <v>0</v>
      </c>
      <c r="U236" s="295">
        <f t="shared" si="96"/>
        <v>0</v>
      </c>
      <c r="Z236" s="292">
        <f t="shared" si="91"/>
        <v>0</v>
      </c>
      <c r="AF236" s="416">
        <f t="shared" si="86"/>
        <v>0</v>
      </c>
      <c r="AH236" s="314">
        <f t="shared" si="87"/>
        <v>0</v>
      </c>
      <c r="AI236" s="312">
        <f t="shared" si="88"/>
        <v>0</v>
      </c>
      <c r="AJ236" s="313">
        <f t="shared" si="93"/>
        <v>0</v>
      </c>
      <c r="AL236" s="309">
        <f t="shared" si="94"/>
        <v>0</v>
      </c>
      <c r="AM236" s="309">
        <f t="shared" ca="1" si="89"/>
        <v>0</v>
      </c>
      <c r="AO236" s="11"/>
      <c r="AP236" s="361" t="str">
        <f t="shared" ca="1" si="90"/>
        <v/>
      </c>
      <c r="AQ236" s="11">
        <f ca="1">IF(D236&gt;TODAY()-1,"",SUM($AM$6:AM236))</f>
        <v>1217632.2100000002</v>
      </c>
      <c r="AR236" s="11">
        <f ca="1">IF(AM236&lt;&gt;"", SUMIFS($AM$8:AM236, $BC$8:BC236, BC236), "")</f>
        <v>0</v>
      </c>
      <c r="AU236" s="124" t="str">
        <f t="shared" ca="1" si="92"/>
        <v>LINK</v>
      </c>
    </row>
    <row r="237" spans="1:47">
      <c r="A237" s="510" t="e">
        <f>VLOOKUP(E237,'Tenement Lookup'!A:BH,60,FALSE)</f>
        <v>#N/A</v>
      </c>
      <c r="D237" s="265">
        <v>46061</v>
      </c>
      <c r="L237" s="187"/>
      <c r="N237" s="4"/>
      <c r="R237" s="318">
        <f t="shared" si="95"/>
        <v>0</v>
      </c>
      <c r="S237" s="273">
        <f t="shared" si="97"/>
        <v>0</v>
      </c>
      <c r="T237" s="269">
        <v>0</v>
      </c>
      <c r="U237" s="295">
        <f t="shared" si="96"/>
        <v>0</v>
      </c>
      <c r="Z237" s="292">
        <f t="shared" si="91"/>
        <v>0</v>
      </c>
      <c r="AF237" s="416">
        <f t="shared" si="86"/>
        <v>0</v>
      </c>
      <c r="AH237" s="314">
        <f t="shared" si="87"/>
        <v>0</v>
      </c>
      <c r="AI237" s="312">
        <f t="shared" si="88"/>
        <v>0</v>
      </c>
      <c r="AJ237" s="313">
        <f t="shared" si="93"/>
        <v>0</v>
      </c>
      <c r="AL237" s="309">
        <f t="shared" si="94"/>
        <v>0</v>
      </c>
      <c r="AM237" s="309">
        <f t="shared" ca="1" si="89"/>
        <v>0</v>
      </c>
      <c r="AO237" s="11"/>
      <c r="AP237" s="361" t="str">
        <f t="shared" ca="1" si="90"/>
        <v/>
      </c>
      <c r="AQ237" s="11">
        <f ca="1">IF(D237&gt;TODAY()-1,"",SUM($AM$6:AM237))</f>
        <v>1217632.2100000002</v>
      </c>
      <c r="AR237" s="11">
        <f ca="1">IF(AM237&lt;&gt;"", SUMIFS($AM$8:AM237, $BC$8:BC237, BC237), "")</f>
        <v>0</v>
      </c>
      <c r="AU237" s="124" t="str">
        <f t="shared" ca="1" si="92"/>
        <v>LINK</v>
      </c>
    </row>
    <row r="238" spans="1:47">
      <c r="A238" s="510" t="e">
        <f>VLOOKUP(E238,'Tenement Lookup'!A:BH,60,FALSE)</f>
        <v>#N/A</v>
      </c>
      <c r="D238" s="265">
        <v>46062</v>
      </c>
      <c r="L238" s="187"/>
      <c r="N238" s="4"/>
      <c r="R238" s="318">
        <f t="shared" si="95"/>
        <v>0</v>
      </c>
      <c r="S238" s="273">
        <f t="shared" si="97"/>
        <v>0</v>
      </c>
      <c r="T238" s="269">
        <v>0</v>
      </c>
      <c r="U238" s="295">
        <f t="shared" si="96"/>
        <v>0</v>
      </c>
      <c r="Z238" s="292">
        <f t="shared" si="91"/>
        <v>0</v>
      </c>
      <c r="AF238" s="416">
        <f t="shared" si="86"/>
        <v>0</v>
      </c>
      <c r="AH238" s="314">
        <f t="shared" si="87"/>
        <v>0</v>
      </c>
      <c r="AI238" s="312">
        <f t="shared" si="88"/>
        <v>0</v>
      </c>
      <c r="AJ238" s="313">
        <f t="shared" si="93"/>
        <v>0</v>
      </c>
      <c r="AL238" s="309">
        <f t="shared" si="94"/>
        <v>0</v>
      </c>
      <c r="AM238" s="309">
        <f t="shared" ca="1" si="89"/>
        <v>0</v>
      </c>
      <c r="AO238" s="11"/>
      <c r="AP238" s="361" t="str">
        <f t="shared" ca="1" si="90"/>
        <v/>
      </c>
      <c r="AQ238" s="11">
        <f ca="1">IF(D238&gt;TODAY()-1,"",SUM($AM$6:AM238))</f>
        <v>1217632.2100000002</v>
      </c>
      <c r="AR238" s="11">
        <f ca="1">IF(AM238&lt;&gt;"", SUMIFS($AM$8:AM238, $BC$8:BC238, BC238), "")</f>
        <v>0</v>
      </c>
      <c r="AU238" s="124" t="str">
        <f t="shared" ca="1" si="92"/>
        <v>LINK</v>
      </c>
    </row>
    <row r="239" spans="1:47">
      <c r="A239" s="510" t="e">
        <f>VLOOKUP(E239,'Tenement Lookup'!A:BH,60,FALSE)</f>
        <v>#N/A</v>
      </c>
      <c r="D239" s="265">
        <v>46063</v>
      </c>
      <c r="L239" s="187"/>
      <c r="N239" s="4"/>
      <c r="R239" s="318">
        <f t="shared" si="95"/>
        <v>0</v>
      </c>
      <c r="S239" s="273">
        <f t="shared" si="97"/>
        <v>0</v>
      </c>
      <c r="T239" s="269">
        <v>0</v>
      </c>
      <c r="U239" s="295">
        <f t="shared" si="96"/>
        <v>0</v>
      </c>
      <c r="Z239" s="292">
        <f t="shared" si="91"/>
        <v>0</v>
      </c>
      <c r="AF239" s="416">
        <f t="shared" si="86"/>
        <v>0</v>
      </c>
      <c r="AH239" s="314">
        <f t="shared" si="87"/>
        <v>0</v>
      </c>
      <c r="AI239" s="312">
        <f t="shared" si="88"/>
        <v>0</v>
      </c>
      <c r="AJ239" s="313">
        <f t="shared" si="93"/>
        <v>0</v>
      </c>
      <c r="AL239" s="309">
        <f t="shared" si="94"/>
        <v>0</v>
      </c>
      <c r="AM239" s="309">
        <f t="shared" ca="1" si="89"/>
        <v>0</v>
      </c>
      <c r="AO239" s="11"/>
      <c r="AP239" s="361" t="str">
        <f t="shared" ca="1" si="90"/>
        <v/>
      </c>
      <c r="AQ239" s="11">
        <f ca="1">IF(D239&gt;TODAY()-1,"",SUM($AM$6:AM239))</f>
        <v>1217632.2100000002</v>
      </c>
      <c r="AR239" s="11">
        <f ca="1">IF(AM239&lt;&gt;"", SUMIFS($AM$8:AM239, $BC$8:BC239, BC239), "")</f>
        <v>0</v>
      </c>
      <c r="AU239" s="124" t="str">
        <f t="shared" ca="1" si="92"/>
        <v>LINK</v>
      </c>
    </row>
    <row r="240" spans="1:47">
      <c r="A240" s="510" t="e">
        <f>VLOOKUP(E240,'Tenement Lookup'!A:BH,60,FALSE)</f>
        <v>#N/A</v>
      </c>
      <c r="D240" s="265">
        <v>46064</v>
      </c>
      <c r="L240" s="187"/>
      <c r="N240" s="4"/>
      <c r="R240" s="318">
        <f t="shared" si="95"/>
        <v>0</v>
      </c>
      <c r="S240" s="273">
        <f t="shared" si="97"/>
        <v>0</v>
      </c>
      <c r="T240" s="269">
        <v>0</v>
      </c>
      <c r="U240" s="295">
        <f t="shared" si="96"/>
        <v>0</v>
      </c>
      <c r="Z240" s="292">
        <f t="shared" si="91"/>
        <v>0</v>
      </c>
      <c r="AF240" s="416">
        <f t="shared" si="86"/>
        <v>0</v>
      </c>
      <c r="AH240" s="314">
        <f t="shared" si="87"/>
        <v>0</v>
      </c>
      <c r="AI240" s="312">
        <f t="shared" si="88"/>
        <v>0</v>
      </c>
      <c r="AJ240" s="313">
        <f t="shared" si="93"/>
        <v>0</v>
      </c>
      <c r="AL240" s="309">
        <f t="shared" si="94"/>
        <v>0</v>
      </c>
      <c r="AM240" s="309">
        <f t="shared" ca="1" si="89"/>
        <v>0</v>
      </c>
      <c r="AO240" s="11"/>
      <c r="AP240" s="361" t="str">
        <f t="shared" ca="1" si="90"/>
        <v/>
      </c>
      <c r="AQ240" s="11">
        <f ca="1">IF(D240&gt;TODAY()-1,"",SUM($AM$6:AM240))</f>
        <v>1217632.2100000002</v>
      </c>
      <c r="AR240" s="11">
        <f ca="1">IF(AM240&lt;&gt;"", SUMIFS($AM$8:AM240, $BC$8:BC240, BC240), "")</f>
        <v>0</v>
      </c>
      <c r="AU240" s="124" t="str">
        <f t="shared" ca="1" si="92"/>
        <v>LINK</v>
      </c>
    </row>
    <row r="241" spans="1:47">
      <c r="A241" s="510" t="e">
        <f>VLOOKUP(E241,'Tenement Lookup'!A:BH,60,FALSE)</f>
        <v>#N/A</v>
      </c>
      <c r="D241" s="265">
        <v>46065</v>
      </c>
      <c r="L241" s="187"/>
      <c r="N241" s="4"/>
      <c r="R241" s="318">
        <f t="shared" si="95"/>
        <v>0</v>
      </c>
      <c r="S241" s="273">
        <f t="shared" si="97"/>
        <v>0</v>
      </c>
      <c r="T241" s="269">
        <v>0</v>
      </c>
      <c r="U241" s="295">
        <f t="shared" si="96"/>
        <v>0</v>
      </c>
      <c r="Z241" s="292">
        <f t="shared" si="91"/>
        <v>0</v>
      </c>
      <c r="AF241" s="416">
        <f t="shared" si="86"/>
        <v>0</v>
      </c>
      <c r="AH241" s="314">
        <f t="shared" si="87"/>
        <v>0</v>
      </c>
      <c r="AI241" s="312">
        <f t="shared" si="88"/>
        <v>0</v>
      </c>
      <c r="AJ241" s="313">
        <f t="shared" si="93"/>
        <v>0</v>
      </c>
      <c r="AL241" s="309">
        <f t="shared" si="94"/>
        <v>0</v>
      </c>
      <c r="AM241" s="309">
        <f t="shared" ca="1" si="89"/>
        <v>0</v>
      </c>
      <c r="AO241" s="11"/>
      <c r="AP241" s="361" t="str">
        <f t="shared" ca="1" si="90"/>
        <v/>
      </c>
      <c r="AQ241" s="11">
        <f ca="1">IF(D241&gt;TODAY()-1,"",SUM($AM$6:AM241))</f>
        <v>1217632.2100000002</v>
      </c>
      <c r="AR241" s="11">
        <f ca="1">IF(AM241&lt;&gt;"", SUMIFS($AM$8:AM241, $BC$8:BC241, BC241), "")</f>
        <v>0</v>
      </c>
      <c r="AU241" s="124" t="str">
        <f t="shared" ca="1" si="92"/>
        <v>LINK</v>
      </c>
    </row>
    <row r="242" spans="1:47">
      <c r="A242" s="510" t="e">
        <f>VLOOKUP(E242,'Tenement Lookup'!A:BH,60,FALSE)</f>
        <v>#N/A</v>
      </c>
      <c r="D242" s="265">
        <v>46066</v>
      </c>
      <c r="L242" s="187"/>
      <c r="N242" s="4"/>
      <c r="R242" s="318">
        <f t="shared" si="95"/>
        <v>0</v>
      </c>
      <c r="S242" s="273">
        <f t="shared" si="97"/>
        <v>0</v>
      </c>
      <c r="T242" s="269">
        <v>0</v>
      </c>
      <c r="U242" s="295">
        <f t="shared" si="96"/>
        <v>0</v>
      </c>
      <c r="Z242" s="292">
        <f t="shared" si="91"/>
        <v>0</v>
      </c>
      <c r="AF242" s="416">
        <f t="shared" si="86"/>
        <v>0</v>
      </c>
      <c r="AH242" s="314">
        <f t="shared" si="87"/>
        <v>0</v>
      </c>
      <c r="AI242" s="312">
        <f t="shared" si="88"/>
        <v>0</v>
      </c>
      <c r="AJ242" s="313">
        <f t="shared" si="93"/>
        <v>0</v>
      </c>
      <c r="AL242" s="309">
        <f t="shared" si="94"/>
        <v>0</v>
      </c>
      <c r="AM242" s="309">
        <f t="shared" ca="1" si="89"/>
        <v>0</v>
      </c>
      <c r="AO242" s="11"/>
      <c r="AP242" s="361" t="str">
        <f t="shared" ca="1" si="90"/>
        <v/>
      </c>
      <c r="AQ242" s="11">
        <f ca="1">IF(D242&gt;TODAY()-1,"",SUM($AM$6:AM242))</f>
        <v>1217632.2100000002</v>
      </c>
      <c r="AR242" s="11">
        <f ca="1">IF(AM242&lt;&gt;"", SUMIFS($AM$8:AM242, $BC$8:BC242, BC242), "")</f>
        <v>0</v>
      </c>
      <c r="AU242" s="124" t="str">
        <f t="shared" ca="1" si="92"/>
        <v>LINK</v>
      </c>
    </row>
    <row r="243" spans="1:47">
      <c r="A243" s="510" t="e">
        <f>VLOOKUP(E243,'Tenement Lookup'!A:BH,60,FALSE)</f>
        <v>#N/A</v>
      </c>
      <c r="D243" s="265">
        <v>46067</v>
      </c>
      <c r="L243" s="187"/>
      <c r="N243" s="4"/>
      <c r="R243" s="318">
        <f t="shared" si="95"/>
        <v>0</v>
      </c>
      <c r="S243" s="273">
        <f t="shared" si="97"/>
        <v>0</v>
      </c>
      <c r="T243" s="269">
        <v>0</v>
      </c>
      <c r="U243" s="295">
        <f t="shared" si="96"/>
        <v>0</v>
      </c>
      <c r="Z243" s="292">
        <f t="shared" si="91"/>
        <v>0</v>
      </c>
      <c r="AF243" s="416">
        <f t="shared" si="86"/>
        <v>0</v>
      </c>
      <c r="AH243" s="314">
        <f t="shared" si="87"/>
        <v>0</v>
      </c>
      <c r="AI243" s="312">
        <f t="shared" si="88"/>
        <v>0</v>
      </c>
      <c r="AJ243" s="313">
        <f t="shared" ref="AJ243:AJ262" si="98">SUMPRODUCT(AA243:AE243,$AA$3:$AE$3)</f>
        <v>0</v>
      </c>
      <c r="AL243" s="309">
        <f t="shared" si="94"/>
        <v>0</v>
      </c>
      <c r="AM243" s="309">
        <f t="shared" ca="1" si="89"/>
        <v>0</v>
      </c>
      <c r="AO243" s="11"/>
      <c r="AP243" s="361" t="str">
        <f t="shared" ca="1" si="90"/>
        <v/>
      </c>
      <c r="AQ243" s="11">
        <f ca="1">IF(D243&gt;TODAY()-1,"",SUM($AM$6:AM243))</f>
        <v>1217632.2100000002</v>
      </c>
      <c r="AR243" s="11">
        <f ca="1">IF(AM243&lt;&gt;"", SUMIFS($AM$8:AM243, $BC$8:BC243, BC243), "")</f>
        <v>0</v>
      </c>
      <c r="AU243" s="124" t="str">
        <f t="shared" ca="1" si="92"/>
        <v>LINK</v>
      </c>
    </row>
    <row r="244" spans="1:47">
      <c r="A244" s="510" t="e">
        <f>VLOOKUP(E244,'Tenement Lookup'!A:BH,60,FALSE)</f>
        <v>#N/A</v>
      </c>
      <c r="D244" s="265">
        <v>46068</v>
      </c>
      <c r="L244" s="187"/>
      <c r="N244" s="4"/>
      <c r="R244" s="318">
        <f t="shared" si="95"/>
        <v>0</v>
      </c>
      <c r="S244" s="273">
        <f t="shared" si="97"/>
        <v>0</v>
      </c>
      <c r="T244" s="269">
        <v>0</v>
      </c>
      <c r="U244" s="295">
        <f t="shared" si="96"/>
        <v>0</v>
      </c>
      <c r="Z244" s="292">
        <f t="shared" si="91"/>
        <v>0</v>
      </c>
      <c r="AF244" s="416">
        <f t="shared" si="86"/>
        <v>0</v>
      </c>
      <c r="AH244" s="314">
        <f t="shared" si="87"/>
        <v>0</v>
      </c>
      <c r="AI244" s="312">
        <f t="shared" si="88"/>
        <v>0</v>
      </c>
      <c r="AJ244" s="313">
        <f t="shared" si="98"/>
        <v>0</v>
      </c>
      <c r="AL244" s="309">
        <f t="shared" si="94"/>
        <v>0</v>
      </c>
      <c r="AM244" s="309">
        <f t="shared" ca="1" si="89"/>
        <v>0</v>
      </c>
      <c r="AO244" s="11"/>
      <c r="AP244" s="361" t="str">
        <f t="shared" ca="1" si="90"/>
        <v/>
      </c>
      <c r="AQ244" s="11">
        <f ca="1">IF(D244&gt;TODAY()-1,"",SUM($AM$6:AM244))</f>
        <v>1217632.2100000002</v>
      </c>
      <c r="AR244" s="11">
        <f ca="1">IF(AM244&lt;&gt;"", SUMIFS($AM$8:AM244, $BC$8:BC244, BC244), "")</f>
        <v>0</v>
      </c>
      <c r="AU244" s="124" t="str">
        <f t="shared" ca="1" si="92"/>
        <v>LINK</v>
      </c>
    </row>
    <row r="245" spans="1:47">
      <c r="A245" s="510" t="e">
        <f>VLOOKUP(E245,'Tenement Lookup'!A:BH,60,FALSE)</f>
        <v>#N/A</v>
      </c>
      <c r="D245" s="265">
        <v>46069</v>
      </c>
      <c r="L245" s="187"/>
      <c r="N245" s="4"/>
      <c r="R245" s="318">
        <f t="shared" si="95"/>
        <v>0</v>
      </c>
      <c r="S245" s="273">
        <f t="shared" si="97"/>
        <v>0</v>
      </c>
      <c r="T245" s="269">
        <v>0</v>
      </c>
      <c r="U245" s="295">
        <f t="shared" si="96"/>
        <v>0</v>
      </c>
      <c r="Z245" s="292">
        <f t="shared" si="91"/>
        <v>0</v>
      </c>
      <c r="AF245" s="416">
        <f t="shared" si="86"/>
        <v>0</v>
      </c>
      <c r="AH245" s="314">
        <f t="shared" si="87"/>
        <v>0</v>
      </c>
      <c r="AI245" s="312">
        <f t="shared" si="88"/>
        <v>0</v>
      </c>
      <c r="AJ245" s="313">
        <f t="shared" si="98"/>
        <v>0</v>
      </c>
      <c r="AL245" s="309">
        <f t="shared" si="94"/>
        <v>0</v>
      </c>
      <c r="AM245" s="309">
        <f t="shared" ca="1" si="89"/>
        <v>0</v>
      </c>
      <c r="AO245" s="11"/>
      <c r="AP245" s="361" t="str">
        <f t="shared" ca="1" si="90"/>
        <v/>
      </c>
      <c r="AQ245" s="11">
        <f ca="1">IF(D245&gt;TODAY()-1,"",SUM($AM$6:AM245))</f>
        <v>1217632.2100000002</v>
      </c>
      <c r="AR245" s="11">
        <f ca="1">IF(AM245&lt;&gt;"", SUMIFS($AM$8:AM245, $BC$8:BC245, BC245), "")</f>
        <v>0</v>
      </c>
      <c r="AU245" s="124" t="str">
        <f t="shared" ca="1" si="92"/>
        <v>LINK</v>
      </c>
    </row>
    <row r="246" spans="1:47">
      <c r="A246" s="510" t="e">
        <f>VLOOKUP(E246,'Tenement Lookup'!A:BH,60,FALSE)</f>
        <v>#N/A</v>
      </c>
      <c r="D246" s="265">
        <v>46070</v>
      </c>
      <c r="L246" s="187"/>
      <c r="N246" s="4"/>
      <c r="R246" s="318">
        <f t="shared" si="95"/>
        <v>0</v>
      </c>
      <c r="S246" s="273">
        <f t="shared" si="97"/>
        <v>0</v>
      </c>
      <c r="T246" s="269">
        <v>0</v>
      </c>
      <c r="U246" s="295">
        <f t="shared" si="96"/>
        <v>0</v>
      </c>
      <c r="Z246" s="292">
        <f t="shared" si="91"/>
        <v>0</v>
      </c>
      <c r="AF246" s="416">
        <f t="shared" si="86"/>
        <v>0</v>
      </c>
      <c r="AH246" s="314">
        <f t="shared" si="87"/>
        <v>0</v>
      </c>
      <c r="AI246" s="312">
        <f t="shared" si="88"/>
        <v>0</v>
      </c>
      <c r="AJ246" s="313">
        <f t="shared" si="98"/>
        <v>0</v>
      </c>
      <c r="AL246" s="309">
        <f t="shared" si="94"/>
        <v>0</v>
      </c>
      <c r="AM246" s="309">
        <f t="shared" ca="1" si="89"/>
        <v>0</v>
      </c>
      <c r="AO246" s="11"/>
      <c r="AP246" s="361" t="str">
        <f t="shared" ca="1" si="90"/>
        <v/>
      </c>
      <c r="AQ246" s="11">
        <f ca="1">IF(D246&gt;TODAY()-1,"",SUM($AM$6:AM246))</f>
        <v>1217632.2100000002</v>
      </c>
      <c r="AR246" s="11">
        <f ca="1">IF(AM246&lt;&gt;"", SUMIFS($AM$8:AM246, $BC$8:BC246, BC246), "")</f>
        <v>0</v>
      </c>
      <c r="AU246" s="124" t="str">
        <f t="shared" ca="1" si="92"/>
        <v>LINK</v>
      </c>
    </row>
    <row r="247" spans="1:47">
      <c r="A247" s="510" t="e">
        <f>VLOOKUP(E247,'Tenement Lookup'!A:BH,60,FALSE)</f>
        <v>#N/A</v>
      </c>
      <c r="D247" s="265">
        <v>46071</v>
      </c>
      <c r="L247" s="187"/>
      <c r="N247" s="4"/>
      <c r="R247" s="318">
        <f t="shared" si="95"/>
        <v>0</v>
      </c>
      <c r="S247" s="273">
        <f t="shared" si="97"/>
        <v>0</v>
      </c>
      <c r="T247" s="269">
        <v>0</v>
      </c>
      <c r="U247" s="295">
        <f t="shared" si="96"/>
        <v>0</v>
      </c>
      <c r="Z247" s="292">
        <f t="shared" si="91"/>
        <v>0</v>
      </c>
      <c r="AF247" s="416">
        <f t="shared" si="86"/>
        <v>0</v>
      </c>
      <c r="AH247" s="314">
        <f t="shared" si="87"/>
        <v>0</v>
      </c>
      <c r="AI247" s="312">
        <f t="shared" si="88"/>
        <v>0</v>
      </c>
      <c r="AJ247" s="313">
        <f t="shared" si="98"/>
        <v>0</v>
      </c>
      <c r="AL247" s="309">
        <f t="shared" si="94"/>
        <v>0</v>
      </c>
      <c r="AM247" s="309">
        <f t="shared" ca="1" si="89"/>
        <v>0</v>
      </c>
      <c r="AO247" s="11"/>
      <c r="AP247" s="361" t="str">
        <f t="shared" ca="1" si="90"/>
        <v/>
      </c>
      <c r="AQ247" s="11">
        <f ca="1">IF(D247&gt;TODAY()-1,"",SUM($AM$6:AM247))</f>
        <v>1217632.2100000002</v>
      </c>
      <c r="AR247" s="11">
        <f ca="1">IF(AM247&lt;&gt;"", SUMIFS($AM$8:AM247, $BC$8:BC247, BC247), "")</f>
        <v>0</v>
      </c>
      <c r="AU247" s="124" t="str">
        <f t="shared" ca="1" si="92"/>
        <v>LINK</v>
      </c>
    </row>
    <row r="248" spans="1:47">
      <c r="A248" s="510" t="e">
        <f>VLOOKUP(E248,'Tenement Lookup'!A:BH,60,FALSE)</f>
        <v>#N/A</v>
      </c>
      <c r="D248" s="265">
        <v>46072</v>
      </c>
      <c r="L248" s="187"/>
      <c r="N248" s="4"/>
      <c r="R248" s="318">
        <f t="shared" si="95"/>
        <v>0</v>
      </c>
      <c r="S248" s="273">
        <f t="shared" si="97"/>
        <v>0</v>
      </c>
      <c r="T248" s="269">
        <v>0</v>
      </c>
      <c r="U248" s="295">
        <f t="shared" si="96"/>
        <v>0</v>
      </c>
      <c r="Z248" s="292">
        <f t="shared" si="91"/>
        <v>0</v>
      </c>
      <c r="AF248" s="416">
        <f t="shared" si="86"/>
        <v>0</v>
      </c>
      <c r="AH248" s="314">
        <f t="shared" si="87"/>
        <v>0</v>
      </c>
      <c r="AI248" s="312">
        <f t="shared" si="88"/>
        <v>0</v>
      </c>
      <c r="AJ248" s="313">
        <f t="shared" si="98"/>
        <v>0</v>
      </c>
      <c r="AL248" s="309">
        <f t="shared" si="94"/>
        <v>0</v>
      </c>
      <c r="AM248" s="309">
        <f t="shared" ca="1" si="89"/>
        <v>0</v>
      </c>
      <c r="AO248" s="11"/>
      <c r="AP248" s="361" t="str">
        <f t="shared" ca="1" si="90"/>
        <v/>
      </c>
      <c r="AQ248" s="11">
        <f ca="1">IF(D248&gt;TODAY()-1,"",SUM($AM$6:AM248))</f>
        <v>1217632.2100000002</v>
      </c>
      <c r="AR248" s="11">
        <f ca="1">IF(AM248&lt;&gt;"", SUMIFS($AM$8:AM248, $BC$8:BC248, BC248), "")</f>
        <v>0</v>
      </c>
      <c r="AU248" s="124" t="str">
        <f t="shared" ca="1" si="92"/>
        <v>LINK</v>
      </c>
    </row>
    <row r="249" spans="1:47">
      <c r="A249" s="510" t="e">
        <f>VLOOKUP(E249,'Tenement Lookup'!A:BH,60,FALSE)</f>
        <v>#N/A</v>
      </c>
      <c r="D249" s="265">
        <v>46073</v>
      </c>
      <c r="L249" s="187"/>
      <c r="N249" s="4"/>
      <c r="R249" s="318">
        <f t="shared" si="95"/>
        <v>0</v>
      </c>
      <c r="S249" s="273">
        <f t="shared" si="97"/>
        <v>0</v>
      </c>
      <c r="T249" s="269">
        <v>0</v>
      </c>
      <c r="U249" s="295">
        <f t="shared" si="96"/>
        <v>0</v>
      </c>
      <c r="Z249" s="292">
        <f t="shared" si="91"/>
        <v>0</v>
      </c>
      <c r="AF249" s="416">
        <f t="shared" si="86"/>
        <v>0</v>
      </c>
      <c r="AH249" s="314">
        <f t="shared" si="87"/>
        <v>0</v>
      </c>
      <c r="AI249" s="312">
        <f t="shared" si="88"/>
        <v>0</v>
      </c>
      <c r="AJ249" s="313">
        <f t="shared" si="98"/>
        <v>0</v>
      </c>
      <c r="AL249" s="309">
        <f t="shared" si="94"/>
        <v>0</v>
      </c>
      <c r="AM249" s="309">
        <f t="shared" ca="1" si="89"/>
        <v>0</v>
      </c>
      <c r="AO249" s="11"/>
      <c r="AP249" s="361" t="str">
        <f t="shared" ca="1" si="90"/>
        <v/>
      </c>
      <c r="AQ249" s="11">
        <f ca="1">IF(D249&gt;TODAY()-1,"",SUM($AM$6:AM249))</f>
        <v>1217632.2100000002</v>
      </c>
      <c r="AR249" s="11">
        <f ca="1">IF(AM249&lt;&gt;"", SUMIFS($AM$8:AM249, $BC$8:BC249, BC249), "")</f>
        <v>0</v>
      </c>
      <c r="AU249" s="124" t="str">
        <f t="shared" ca="1" si="92"/>
        <v>LINK</v>
      </c>
    </row>
    <row r="250" spans="1:47">
      <c r="A250" s="510" t="e">
        <f>VLOOKUP(E250,'Tenement Lookup'!A:BH,60,FALSE)</f>
        <v>#N/A</v>
      </c>
      <c r="D250" s="265">
        <v>46074</v>
      </c>
      <c r="L250" s="187"/>
      <c r="N250" s="4"/>
      <c r="R250" s="318">
        <f t="shared" si="95"/>
        <v>0</v>
      </c>
      <c r="S250" s="273">
        <f t="shared" si="97"/>
        <v>0</v>
      </c>
      <c r="T250" s="269">
        <v>0</v>
      </c>
      <c r="U250" s="295">
        <f t="shared" si="96"/>
        <v>0</v>
      </c>
      <c r="Z250" s="292">
        <f t="shared" si="91"/>
        <v>0</v>
      </c>
      <c r="AF250" s="416">
        <f t="shared" si="86"/>
        <v>0</v>
      </c>
      <c r="AH250" s="314">
        <f t="shared" si="87"/>
        <v>0</v>
      </c>
      <c r="AI250" s="312">
        <f t="shared" si="88"/>
        <v>0</v>
      </c>
      <c r="AJ250" s="313">
        <f t="shared" si="98"/>
        <v>0</v>
      </c>
      <c r="AL250" s="309">
        <f t="shared" si="94"/>
        <v>0</v>
      </c>
      <c r="AM250" s="309">
        <f t="shared" ca="1" si="89"/>
        <v>0</v>
      </c>
      <c r="AO250" s="11"/>
      <c r="AP250" s="361" t="str">
        <f t="shared" ca="1" si="90"/>
        <v/>
      </c>
      <c r="AQ250" s="11">
        <f ca="1">IF(D250&gt;TODAY()-1,"",SUM($AM$6:AM250))</f>
        <v>1217632.2100000002</v>
      </c>
      <c r="AR250" s="11">
        <f ca="1">IF(AM250&lt;&gt;"", SUMIFS($AM$8:AM250, $BC$8:BC250, BC250), "")</f>
        <v>0</v>
      </c>
      <c r="AU250" s="124" t="str">
        <f t="shared" ca="1" si="92"/>
        <v>LINK</v>
      </c>
    </row>
    <row r="251" spans="1:47">
      <c r="A251" s="510" t="e">
        <f>VLOOKUP(E251,'Tenement Lookup'!A:BH,60,FALSE)</f>
        <v>#N/A</v>
      </c>
      <c r="D251" s="265">
        <v>46075</v>
      </c>
      <c r="L251" s="187"/>
      <c r="N251" s="4"/>
      <c r="R251" s="318">
        <f t="shared" si="95"/>
        <v>0</v>
      </c>
      <c r="S251" s="273">
        <f t="shared" si="97"/>
        <v>0</v>
      </c>
      <c r="T251" s="269">
        <v>0</v>
      </c>
      <c r="U251" s="295">
        <f t="shared" si="96"/>
        <v>0</v>
      </c>
      <c r="Z251" s="292">
        <f t="shared" si="91"/>
        <v>0</v>
      </c>
      <c r="AF251" s="416">
        <f t="shared" si="86"/>
        <v>0</v>
      </c>
      <c r="AH251" s="314">
        <f t="shared" si="87"/>
        <v>0</v>
      </c>
      <c r="AI251" s="312">
        <f t="shared" si="88"/>
        <v>0</v>
      </c>
      <c r="AJ251" s="313">
        <f t="shared" si="98"/>
        <v>0</v>
      </c>
      <c r="AL251" s="309">
        <f t="shared" si="94"/>
        <v>0</v>
      </c>
      <c r="AM251" s="309">
        <f t="shared" ca="1" si="89"/>
        <v>0</v>
      </c>
      <c r="AO251" s="11"/>
      <c r="AP251" s="361" t="str">
        <f t="shared" ca="1" si="90"/>
        <v/>
      </c>
      <c r="AQ251" s="11">
        <f ca="1">IF(D251&gt;TODAY()-1,"",SUM($AM$6:AM251))</f>
        <v>1217632.2100000002</v>
      </c>
      <c r="AR251" s="11">
        <f ca="1">IF(AM251&lt;&gt;"", SUMIFS($AM$8:AM251, $BC$8:BC251, BC251), "")</f>
        <v>0</v>
      </c>
      <c r="AU251" s="124" t="str">
        <f t="shared" ca="1" si="92"/>
        <v>LINK</v>
      </c>
    </row>
    <row r="252" spans="1:47">
      <c r="A252" s="510" t="e">
        <f>VLOOKUP(E252,'Tenement Lookup'!A:BH,60,FALSE)</f>
        <v>#N/A</v>
      </c>
      <c r="D252" s="265">
        <v>46076</v>
      </c>
      <c r="L252" s="187"/>
      <c r="N252" s="4"/>
      <c r="R252" s="318">
        <f t="shared" si="95"/>
        <v>0</v>
      </c>
      <c r="S252" s="273">
        <f t="shared" si="97"/>
        <v>0</v>
      </c>
      <c r="T252" s="269">
        <v>0</v>
      </c>
      <c r="U252" s="295">
        <f t="shared" si="96"/>
        <v>0</v>
      </c>
      <c r="Z252" s="292">
        <f t="shared" si="91"/>
        <v>0</v>
      </c>
      <c r="AF252" s="416">
        <f t="shared" si="86"/>
        <v>0</v>
      </c>
      <c r="AH252" s="314">
        <f t="shared" si="87"/>
        <v>0</v>
      </c>
      <c r="AI252" s="312">
        <f t="shared" si="88"/>
        <v>0</v>
      </c>
      <c r="AJ252" s="313">
        <f t="shared" si="98"/>
        <v>0</v>
      </c>
      <c r="AL252" s="309">
        <f t="shared" si="94"/>
        <v>0</v>
      </c>
      <c r="AM252" s="309">
        <f t="shared" ca="1" si="89"/>
        <v>0</v>
      </c>
      <c r="AO252" s="11"/>
      <c r="AP252" s="361" t="str">
        <f t="shared" ca="1" si="90"/>
        <v/>
      </c>
      <c r="AQ252" s="11">
        <f ca="1">IF(D252&gt;TODAY()-1,"",SUM($AM$6:AM252))</f>
        <v>1217632.2100000002</v>
      </c>
      <c r="AR252" s="11">
        <f ca="1">IF(AM252&lt;&gt;"", SUMIFS($AM$8:AM252, $BC$8:BC252, BC252), "")</f>
        <v>0</v>
      </c>
      <c r="AU252" s="124" t="str">
        <f t="shared" ca="1" si="92"/>
        <v>LINK</v>
      </c>
    </row>
    <row r="253" spans="1:47">
      <c r="A253" s="510" t="e">
        <f>VLOOKUP(E253,'Tenement Lookup'!A:BH,60,FALSE)</f>
        <v>#N/A</v>
      </c>
      <c r="D253" s="265">
        <v>46077</v>
      </c>
      <c r="L253" s="187"/>
      <c r="N253" s="4"/>
      <c r="R253" s="318">
        <f t="shared" si="95"/>
        <v>0</v>
      </c>
      <c r="S253" s="273">
        <f t="shared" si="97"/>
        <v>0</v>
      </c>
      <c r="T253" s="269">
        <v>0</v>
      </c>
      <c r="U253" s="295">
        <f t="shared" si="96"/>
        <v>0</v>
      </c>
      <c r="Z253" s="292">
        <f t="shared" si="91"/>
        <v>0</v>
      </c>
      <c r="AF253" s="416">
        <f t="shared" si="86"/>
        <v>0</v>
      </c>
      <c r="AH253" s="314">
        <f t="shared" si="87"/>
        <v>0</v>
      </c>
      <c r="AI253" s="312">
        <f t="shared" si="88"/>
        <v>0</v>
      </c>
      <c r="AJ253" s="313">
        <f t="shared" si="98"/>
        <v>0</v>
      </c>
      <c r="AL253" s="309">
        <f t="shared" si="94"/>
        <v>0</v>
      </c>
      <c r="AM253" s="309">
        <f t="shared" ca="1" si="89"/>
        <v>0</v>
      </c>
      <c r="AO253" s="11"/>
      <c r="AP253" s="361" t="str">
        <f t="shared" ca="1" si="90"/>
        <v/>
      </c>
      <c r="AQ253" s="11">
        <f ca="1">IF(D253&gt;TODAY()-1,"",SUM($AM$6:AM253))</f>
        <v>1217632.2100000002</v>
      </c>
      <c r="AR253" s="11">
        <f ca="1">IF(AM253&lt;&gt;"", SUMIFS($AM$8:AM253, $BC$8:BC253, BC253), "")</f>
        <v>0</v>
      </c>
      <c r="AU253" s="124" t="str">
        <f t="shared" ca="1" si="92"/>
        <v>LINK</v>
      </c>
    </row>
    <row r="254" spans="1:47">
      <c r="A254" s="510" t="e">
        <f>VLOOKUP(E254,'Tenement Lookup'!A:BH,60,FALSE)</f>
        <v>#N/A</v>
      </c>
      <c r="D254" s="265">
        <v>46078</v>
      </c>
      <c r="L254" s="187"/>
      <c r="N254" s="4"/>
      <c r="R254" s="318">
        <f t="shared" si="95"/>
        <v>0</v>
      </c>
      <c r="S254" s="273">
        <f t="shared" si="97"/>
        <v>0</v>
      </c>
      <c r="T254" s="269">
        <v>0</v>
      </c>
      <c r="U254" s="295">
        <f t="shared" si="96"/>
        <v>0</v>
      </c>
      <c r="Z254" s="292">
        <f t="shared" si="91"/>
        <v>0</v>
      </c>
      <c r="AF254" s="416">
        <f t="shared" si="86"/>
        <v>0</v>
      </c>
      <c r="AH254" s="314">
        <f t="shared" si="87"/>
        <v>0</v>
      </c>
      <c r="AI254" s="312">
        <f t="shared" si="88"/>
        <v>0</v>
      </c>
      <c r="AJ254" s="313">
        <f t="shared" si="98"/>
        <v>0</v>
      </c>
      <c r="AL254" s="309">
        <f t="shared" si="94"/>
        <v>0</v>
      </c>
      <c r="AM254" s="309">
        <f t="shared" ca="1" si="89"/>
        <v>0</v>
      </c>
      <c r="AO254" s="11"/>
      <c r="AP254" s="361" t="str">
        <f t="shared" ca="1" si="90"/>
        <v/>
      </c>
      <c r="AQ254" s="11">
        <f ca="1">IF(D254&gt;TODAY()-1,"",SUM($AM$6:AM254))</f>
        <v>1217632.2100000002</v>
      </c>
      <c r="AR254" s="11">
        <f ca="1">IF(AM254&lt;&gt;"", SUMIFS($AM$8:AM254, $BC$8:BC254, BC254), "")</f>
        <v>0</v>
      </c>
      <c r="AU254" s="124" t="str">
        <f t="shared" ca="1" si="92"/>
        <v>LINK</v>
      </c>
    </row>
    <row r="255" spans="1:47">
      <c r="A255" s="510" t="e">
        <f>VLOOKUP(E255,'Tenement Lookup'!A:BH,60,FALSE)</f>
        <v>#N/A</v>
      </c>
      <c r="D255" s="265">
        <v>46079</v>
      </c>
      <c r="L255" s="187"/>
      <c r="R255" s="318">
        <f t="shared" si="95"/>
        <v>0</v>
      </c>
      <c r="S255" s="273">
        <f t="shared" si="97"/>
        <v>0</v>
      </c>
      <c r="T255" s="269">
        <v>0</v>
      </c>
      <c r="U255" s="295">
        <f t="shared" si="96"/>
        <v>0</v>
      </c>
      <c r="Z255" s="292">
        <f t="shared" si="91"/>
        <v>0</v>
      </c>
      <c r="AF255" s="416">
        <f t="shared" si="86"/>
        <v>0</v>
      </c>
      <c r="AH255" s="314">
        <f t="shared" si="87"/>
        <v>0</v>
      </c>
      <c r="AI255" s="312">
        <f t="shared" si="88"/>
        <v>0</v>
      </c>
      <c r="AJ255" s="313">
        <f t="shared" si="98"/>
        <v>0</v>
      </c>
      <c r="AL255" s="309">
        <f t="shared" si="94"/>
        <v>0</v>
      </c>
      <c r="AM255" s="309">
        <f t="shared" ca="1" si="89"/>
        <v>0</v>
      </c>
      <c r="AO255" s="11"/>
      <c r="AP255" s="361" t="str">
        <f t="shared" ca="1" si="90"/>
        <v/>
      </c>
      <c r="AQ255" s="11">
        <f ca="1">IF(D255&gt;TODAY()-1,"",SUM($AM$6:AM255))</f>
        <v>1217632.2100000002</v>
      </c>
      <c r="AR255" s="11">
        <f ca="1">IF(AM255&lt;&gt;"", SUMIFS($AM$8:AM255, $BC$8:BC255, BC255), "")</f>
        <v>0</v>
      </c>
      <c r="AU255" s="124" t="str">
        <f t="shared" ca="1" si="92"/>
        <v>LINK</v>
      </c>
    </row>
    <row r="256" spans="1:47">
      <c r="A256" s="510" t="e">
        <f>VLOOKUP(E256,'Tenement Lookup'!A:BH,60,FALSE)</f>
        <v>#N/A</v>
      </c>
      <c r="D256" s="265">
        <v>46080</v>
      </c>
      <c r="L256" s="187"/>
      <c r="R256" s="318">
        <f t="shared" si="95"/>
        <v>0</v>
      </c>
      <c r="S256" s="273">
        <f t="shared" si="97"/>
        <v>0</v>
      </c>
      <c r="T256" s="269">
        <v>0</v>
      </c>
      <c r="U256" s="295">
        <f t="shared" si="96"/>
        <v>0</v>
      </c>
      <c r="Z256" s="292">
        <f t="shared" si="91"/>
        <v>0</v>
      </c>
      <c r="AF256" s="416">
        <f t="shared" si="86"/>
        <v>0</v>
      </c>
      <c r="AH256" s="314">
        <f t="shared" si="87"/>
        <v>0</v>
      </c>
      <c r="AI256" s="312">
        <f t="shared" si="88"/>
        <v>0</v>
      </c>
      <c r="AJ256" s="313">
        <f t="shared" si="98"/>
        <v>0</v>
      </c>
      <c r="AL256" s="309">
        <f t="shared" si="94"/>
        <v>0</v>
      </c>
      <c r="AM256" s="309">
        <f t="shared" ca="1" si="89"/>
        <v>0</v>
      </c>
      <c r="AO256" s="11"/>
      <c r="AP256" s="361" t="str">
        <f t="shared" ca="1" si="90"/>
        <v/>
      </c>
      <c r="AQ256" s="11">
        <f ca="1">IF(D256&gt;TODAY()-1,"",SUM($AM$6:AM256))</f>
        <v>1217632.2100000002</v>
      </c>
      <c r="AR256" s="11">
        <f ca="1">IF(AM256&lt;&gt;"", SUMIFS($AM$8:AM256, $BC$8:BC256, BC256), "")</f>
        <v>0</v>
      </c>
      <c r="AU256" s="124" t="str">
        <f t="shared" ca="1" si="92"/>
        <v>LINK</v>
      </c>
    </row>
    <row r="257" spans="1:47">
      <c r="A257" s="510" t="e">
        <f>VLOOKUP(E257,'Tenement Lookup'!A:BH,60,FALSE)</f>
        <v>#N/A</v>
      </c>
      <c r="D257" s="265">
        <v>46081</v>
      </c>
      <c r="L257" s="187"/>
      <c r="R257" s="318">
        <f t="shared" si="95"/>
        <v>0</v>
      </c>
      <c r="S257" s="273">
        <f t="shared" si="97"/>
        <v>0</v>
      </c>
      <c r="T257" s="269">
        <v>0</v>
      </c>
      <c r="U257" s="295">
        <f t="shared" si="96"/>
        <v>0</v>
      </c>
      <c r="Z257" s="292">
        <f t="shared" si="91"/>
        <v>0</v>
      </c>
      <c r="AF257" s="416">
        <f t="shared" si="86"/>
        <v>0</v>
      </c>
      <c r="AH257" s="314">
        <f t="shared" si="87"/>
        <v>0</v>
      </c>
      <c r="AI257" s="312">
        <f t="shared" si="88"/>
        <v>0</v>
      </c>
      <c r="AJ257" s="313">
        <f t="shared" si="98"/>
        <v>0</v>
      </c>
      <c r="AL257" s="309">
        <f t="shared" si="94"/>
        <v>0</v>
      </c>
      <c r="AM257" s="309">
        <f t="shared" ca="1" si="89"/>
        <v>0</v>
      </c>
      <c r="AO257" s="11"/>
      <c r="AP257" s="361" t="str">
        <f t="shared" ca="1" si="90"/>
        <v/>
      </c>
      <c r="AQ257" s="11">
        <f ca="1">IF(D257&gt;TODAY()-1,"",SUM($AM$6:AM257))</f>
        <v>1217632.2100000002</v>
      </c>
      <c r="AR257" s="11">
        <f ca="1">IF(AM257&lt;&gt;"", SUMIFS($AM$8:AM257, $BC$8:BC257, BC257), "")</f>
        <v>0</v>
      </c>
      <c r="AU257" s="124" t="str">
        <f t="shared" ca="1" si="92"/>
        <v>LINK</v>
      </c>
    </row>
    <row r="258" spans="1:47">
      <c r="A258" s="510" t="e">
        <f>VLOOKUP(E258,'Tenement Lookup'!A:BH,60,FALSE)</f>
        <v>#N/A</v>
      </c>
      <c r="D258" s="265">
        <v>46082</v>
      </c>
      <c r="L258" s="187"/>
      <c r="R258" s="318">
        <f t="shared" si="95"/>
        <v>0</v>
      </c>
      <c r="S258" s="273">
        <f t="shared" si="97"/>
        <v>0</v>
      </c>
      <c r="T258" s="269">
        <v>0</v>
      </c>
      <c r="U258" s="295">
        <f t="shared" si="96"/>
        <v>0</v>
      </c>
      <c r="Z258" s="292">
        <f t="shared" si="91"/>
        <v>0</v>
      </c>
      <c r="AF258" s="416">
        <f t="shared" si="86"/>
        <v>0</v>
      </c>
      <c r="AH258" s="314">
        <f t="shared" si="87"/>
        <v>0</v>
      </c>
      <c r="AI258" s="312">
        <f t="shared" si="88"/>
        <v>0</v>
      </c>
      <c r="AJ258" s="313">
        <f t="shared" si="98"/>
        <v>0</v>
      </c>
      <c r="AL258" s="309">
        <f t="shared" si="94"/>
        <v>0</v>
      </c>
      <c r="AM258" s="309">
        <f t="shared" ca="1" si="89"/>
        <v>0</v>
      </c>
      <c r="AO258" s="11"/>
      <c r="AP258" s="361" t="str">
        <f t="shared" ca="1" si="90"/>
        <v/>
      </c>
      <c r="AQ258" s="11">
        <f ca="1">IF(D258&gt;TODAY()-1,"",SUM($AM$6:AM258))</f>
        <v>1217632.2100000002</v>
      </c>
      <c r="AR258" s="11">
        <f ca="1">IF(AM258&lt;&gt;"", SUMIFS($AM$8:AM258, $BC$8:BC258, BC258), "")</f>
        <v>0</v>
      </c>
      <c r="AU258" s="124" t="str">
        <f t="shared" ca="1" si="92"/>
        <v>LINK</v>
      </c>
    </row>
    <row r="259" spans="1:47">
      <c r="A259" s="510" t="e">
        <f>VLOOKUP(E259,'Tenement Lookup'!A:BH,60,FALSE)</f>
        <v>#N/A</v>
      </c>
      <c r="D259" s="265">
        <v>46083</v>
      </c>
      <c r="L259" s="187"/>
      <c r="R259" s="318">
        <f t="shared" si="95"/>
        <v>0</v>
      </c>
      <c r="S259" s="273">
        <f t="shared" si="97"/>
        <v>0</v>
      </c>
      <c r="T259" s="269">
        <v>0</v>
      </c>
      <c r="U259" s="295">
        <f t="shared" si="96"/>
        <v>0</v>
      </c>
      <c r="Z259" s="292">
        <f t="shared" si="91"/>
        <v>0</v>
      </c>
      <c r="AF259" s="416">
        <f t="shared" si="86"/>
        <v>0</v>
      </c>
      <c r="AH259" s="314">
        <f t="shared" si="87"/>
        <v>0</v>
      </c>
      <c r="AI259" s="312">
        <f t="shared" si="88"/>
        <v>0</v>
      </c>
      <c r="AJ259" s="313">
        <f t="shared" si="98"/>
        <v>0</v>
      </c>
      <c r="AL259" s="309">
        <f t="shared" si="94"/>
        <v>0</v>
      </c>
      <c r="AM259" s="309">
        <f t="shared" ca="1" si="89"/>
        <v>0</v>
      </c>
      <c r="AO259" s="11"/>
      <c r="AP259" s="361" t="str">
        <f t="shared" ca="1" si="90"/>
        <v/>
      </c>
      <c r="AQ259" s="11">
        <f ca="1">IF(D259&gt;TODAY()-1,"",SUM($AM$6:AM259))</f>
        <v>1217632.2100000002</v>
      </c>
      <c r="AR259" s="11">
        <f ca="1">IF(AM259&lt;&gt;"", SUMIFS($AM$8:AM259, $BC$8:BC259, BC259), "")</f>
        <v>0</v>
      </c>
      <c r="AU259" s="124" t="str">
        <f t="shared" ca="1" si="92"/>
        <v>LINK</v>
      </c>
    </row>
    <row r="260" spans="1:47">
      <c r="A260" s="510" t="e">
        <f>VLOOKUP(E260,'Tenement Lookup'!A:BH,60,FALSE)</f>
        <v>#N/A</v>
      </c>
      <c r="D260" s="265">
        <v>46084</v>
      </c>
      <c r="L260" s="187"/>
      <c r="R260" s="318">
        <f t="shared" si="95"/>
        <v>0</v>
      </c>
      <c r="S260" s="273">
        <f t="shared" si="97"/>
        <v>0</v>
      </c>
      <c r="T260" s="269">
        <v>0</v>
      </c>
      <c r="U260" s="295">
        <f t="shared" si="96"/>
        <v>0</v>
      </c>
      <c r="Z260" s="292">
        <f t="shared" si="91"/>
        <v>0</v>
      </c>
      <c r="AF260" s="416">
        <f t="shared" si="86"/>
        <v>0</v>
      </c>
      <c r="AH260" s="314">
        <f t="shared" si="87"/>
        <v>0</v>
      </c>
      <c r="AI260" s="312">
        <f t="shared" si="88"/>
        <v>0</v>
      </c>
      <c r="AJ260" s="313">
        <f t="shared" si="98"/>
        <v>0</v>
      </c>
      <c r="AL260" s="309">
        <f t="shared" ref="AL260:AL262" si="99">AK260-K260</f>
        <v>0</v>
      </c>
      <c r="AM260" s="309">
        <f t="shared" ca="1" si="89"/>
        <v>0</v>
      </c>
      <c r="AO260" s="11"/>
      <c r="AP260" s="361" t="str">
        <f t="shared" ca="1" si="90"/>
        <v/>
      </c>
      <c r="AQ260" s="11">
        <f ca="1">IF(D260&gt;TODAY()-1,"",SUM($AM$6:AM260))</f>
        <v>1217632.2100000002</v>
      </c>
      <c r="AR260" s="11">
        <f ca="1">IF(AM260&lt;&gt;"", SUMIFS($AM$8:AM260, $BC$8:BC260, BC260), "")</f>
        <v>0</v>
      </c>
      <c r="AU260" s="124" t="str">
        <f t="shared" ca="1" si="92"/>
        <v>LINK</v>
      </c>
    </row>
    <row r="261" spans="1:47">
      <c r="A261" s="510" t="e">
        <f>VLOOKUP(E261,'Tenement Lookup'!A:BH,60,FALSE)</f>
        <v>#N/A</v>
      </c>
      <c r="D261" s="265">
        <v>46085</v>
      </c>
      <c r="L261" s="187"/>
      <c r="R261" s="318">
        <f t="shared" si="95"/>
        <v>0</v>
      </c>
      <c r="S261" s="273">
        <f t="shared" si="97"/>
        <v>0</v>
      </c>
      <c r="T261" s="269">
        <v>0</v>
      </c>
      <c r="U261" s="295">
        <f t="shared" si="96"/>
        <v>0</v>
      </c>
      <c r="Z261" s="292">
        <f t="shared" si="91"/>
        <v>0</v>
      </c>
      <c r="AF261" s="416">
        <f t="shared" si="86"/>
        <v>0</v>
      </c>
      <c r="AH261" s="314">
        <f t="shared" si="87"/>
        <v>0</v>
      </c>
      <c r="AI261" s="312">
        <f t="shared" si="88"/>
        <v>0</v>
      </c>
      <c r="AJ261" s="313">
        <f t="shared" si="98"/>
        <v>0</v>
      </c>
      <c r="AL261" s="309">
        <f t="shared" si="99"/>
        <v>0</v>
      </c>
      <c r="AM261" s="309">
        <f t="shared" ca="1" si="89"/>
        <v>0</v>
      </c>
      <c r="AO261" s="11"/>
      <c r="AP261" s="361" t="str">
        <f t="shared" ca="1" si="90"/>
        <v/>
      </c>
      <c r="AQ261" s="11">
        <f ca="1">IF(D261&gt;TODAY()-1,"",SUM($AM$6:AM261))</f>
        <v>1217632.2100000002</v>
      </c>
      <c r="AR261" s="11">
        <f ca="1">IF(AM261&lt;&gt;"", SUMIFS($AM$8:AM261, $BC$8:BC261, BC261), "")</f>
        <v>0</v>
      </c>
      <c r="AU261" s="124" t="str">
        <f t="shared" ca="1" si="92"/>
        <v>LINK</v>
      </c>
    </row>
    <row r="262" spans="1:47">
      <c r="A262" s="510" t="e">
        <f>VLOOKUP(E262,'Tenement Lookup'!A:BH,60,FALSE)</f>
        <v>#N/A</v>
      </c>
      <c r="D262" s="265">
        <v>46086</v>
      </c>
      <c r="L262" s="187"/>
      <c r="R262" s="318">
        <f t="shared" si="95"/>
        <v>0</v>
      </c>
      <c r="S262" s="273">
        <f t="shared" si="97"/>
        <v>0</v>
      </c>
      <c r="T262" s="269">
        <v>0</v>
      </c>
      <c r="U262" s="295">
        <f t="shared" si="96"/>
        <v>0</v>
      </c>
      <c r="Z262" s="292">
        <f t="shared" si="91"/>
        <v>0</v>
      </c>
      <c r="AF262" s="416">
        <f t="shared" ref="AF262" si="100">SUM(Z262:AE262)</f>
        <v>0</v>
      </c>
      <c r="AH262" s="314">
        <f t="shared" si="87"/>
        <v>0</v>
      </c>
      <c r="AI262" s="312">
        <f t="shared" si="88"/>
        <v>0</v>
      </c>
      <c r="AJ262" s="313">
        <f t="shared" si="98"/>
        <v>0</v>
      </c>
      <c r="AL262" s="309">
        <f t="shared" si="99"/>
        <v>0</v>
      </c>
      <c r="AM262" s="309">
        <f t="shared" ref="AM262" ca="1" si="101">IF(D262&gt;TODAY()-1,"",AI262+AH262+K262+U262+AJ262+AL262)</f>
        <v>0</v>
      </c>
      <c r="AO262" s="11"/>
      <c r="AP262" s="361" t="str">
        <f t="shared" ref="AP262" ca="1" si="102">IFERROR((AM262-AO262)/AM262,"")</f>
        <v/>
      </c>
      <c r="AQ262" s="11">
        <f ca="1">IF(D262&gt;TODAY()-1,"",SUM($AM$6:AM262))</f>
        <v>1217632.2100000002</v>
      </c>
      <c r="AR262" s="11">
        <f ca="1">IF(AM262&lt;&gt;"", SUMIFS($AM$8:AM262, $BC$8:BC262, BC262), "")</f>
        <v>0</v>
      </c>
      <c r="AU262" s="124" t="str">
        <f t="shared" ca="1" si="92"/>
        <v>LINK</v>
      </c>
    </row>
    <row r="484" spans="6:7">
      <c r="F484" s="28" t="str" cm="1">
        <f t="array" ref="F484:G486">_xlfn.LET(
  _xlpm.cats,   _xlfn.VSTACK(B5:B149, B5:B149, B5:B149, B5:B149),
  _xlpm.vals,   _xlfn.VSTACK(E5:E149, F5:F149, G5:G149, H5:H149),
  _xlpm.mask,   ISTEXT(_xlpm.vals),
  _xlpm.c,      _xlfn._xlws.FILTER(_xlpm.cats, _xlpm.mask),
  _xlpm.v,      _xlfn._xlws.FILTER(_xlpm.vals, _xlpm.mask),
  _xlpm.uC,     _xlfn.UNIQUE(_xlpm.c),
  _xlfn.HSTACK(
    _xlpm.uC,
    _xlfn.MAP(_xlpm.uC, _xlfn.LAMBDA(_xlpm.x, COUNTA(_xlfn.UNIQUE(_xlfn._xlws.FILTER(_xlpm.v, _xlpm.c=_xlpm.x)))))
  )
)</f>
        <v>A Vein RC</v>
      </c>
      <c r="G484" s="28">
        <v>42</v>
      </c>
    </row>
    <row r="485" spans="6:7">
      <c r="F485" s="28" t="str">
        <v>Infill</v>
      </c>
      <c r="G485" s="28">
        <v>38</v>
      </c>
    </row>
    <row r="486" spans="6:7">
      <c r="F486" s="28" t="str">
        <v>G Vein RC</v>
      </c>
      <c r="G486" s="28">
        <v>38</v>
      </c>
    </row>
  </sheetData>
  <autoFilter ref="A1:BT262" xr:uid="{B1EFDE18-DBE4-4A38-84E6-6370C1F43324}">
    <filterColumn colId="4" showButton="0"/>
    <filterColumn colId="5" showButton="0"/>
  </autoFilter>
  <mergeCells count="2">
    <mergeCell ref="E1:G1"/>
    <mergeCell ref="E2:G2"/>
  </mergeCells>
  <phoneticPr fontId="3" type="noConversion"/>
  <conditionalFormatting sqref="A6:A262">
    <cfRule type="expression" dxfId="37" priority="2">
      <formula>$D196=TODAY()-1</formula>
    </cfRule>
  </conditionalFormatting>
  <conditionalFormatting sqref="C2:D2 H2:K2 R2:U3 AJ2:AL3 AO2:AAN5 AM2:AN45 C3:K3 V3:Y3 AH3:AI3 Z3:AA45 AC3:AG51 C4:Y5 AH4:AL6 C6:M9 N6:Y21 AO6:AQ262 AJ7:AK31 AL7:AL45 AH7:AI262 AT8:AAN8 AU9:AY21 AT9:AT41 AZ9:AAN137 D10:M21 C10:C45 AU22 AW22:AY22 O22:U24 D22:N31 V22:Y32 AU23:AY27 S25:U25 O25:R31 S26:T31 U26:U32 AU28:AU29 AW28:AY29 AU30:AY41 D32:T32 AJ32 D33:F33 I33:M33 AJ33:AK33 N33:Y45 AJ34:AJ35 D34:M36 AJ36:AK41 D37:E37 H37:M37 D38:M44 AR42:AU43 AW42:AY43 AJ42:AJ45 AB43:AB45 AR44:AY44 D45:F45 H45:M45 AR45:AU45 AW45:AY45 AR45:AR262 C46:AB46 AJ46:AK46 AS46:AY51 AL47 AJ47:AJ55 AM47:AN80 C47:AA1048576 AK48:AL55 AT52:AU52 AW52:AY52 AC52:AF53 AS52:AS58 AT53:AY58 AC54:AG83 AJ56:AL80 AS59:AY66 AT67:AU67 AW67:AY67 AS67:AS68 AT68:AY68 AS69:AU69 AW69:AY69 AS70:AY75 AS76:AU76 AW76:AY76 AS77:AY79 AS80:AU80 AW80:AY80 AJ81 AL81:AN81 AS81:AY81 AS82:AU82 AW82:AY82 AJ82:AL84 AM82:AN1048576 AS83:AY137 AB84 AD84:AG84 AJ85 AL85 AC85:AG1048576 AJ86:AL262 AS138:AAN262 AH263:AL1048576 AO263:AAN1048576">
    <cfRule type="expression" dxfId="36" priority="23">
      <formula>$D2=TODAY()-1</formula>
    </cfRule>
  </conditionalFormatting>
  <conditionalFormatting sqref="L3:Q4 AL46:AN46">
    <cfRule type="expression" dxfId="35" priority="48">
      <formula>$D2=TODAY()-1</formula>
    </cfRule>
  </conditionalFormatting>
  <conditionalFormatting sqref="AB48">
    <cfRule type="expression" dxfId="34" priority="11">
      <formula>$D48=TODAY()-1</formula>
    </cfRule>
  </conditionalFormatting>
  <conditionalFormatting sqref="AB51:AB52">
    <cfRule type="expression" dxfId="33" priority="6">
      <formula>$D51=TODAY()-1</formula>
    </cfRule>
  </conditionalFormatting>
  <conditionalFormatting sqref="AB54">
    <cfRule type="expression" dxfId="32" priority="4">
      <formula>$D54=TODAY()-1</formula>
    </cfRule>
  </conditionalFormatting>
  <conditionalFormatting sqref="AB74">
    <cfRule type="expression" dxfId="31" priority="3" stopIfTrue="1">
      <formula>$D74=TODAY()-1</formula>
    </cfRule>
  </conditionalFormatting>
  <conditionalFormatting sqref="AM6:AN6">
    <cfRule type="expression" dxfId="30" priority="391">
      <formula>$AM2&lt;&gt;$AN2</formula>
    </cfRule>
  </conditionalFormatting>
  <conditionalFormatting sqref="AM8:AN51">
    <cfRule type="expression" dxfId="29" priority="7">
      <formula>$AM3&lt;&gt;$AN3</formula>
    </cfRule>
  </conditionalFormatting>
  <conditionalFormatting sqref="AQ1">
    <cfRule type="expression" dxfId="28" priority="1">
      <formula>$D191=TODAY()-1</formula>
    </cfRule>
  </conditionalFormatting>
  <conditionalFormatting sqref="AR6:AR262">
    <cfRule type="expression" priority="25">
      <formula>TEXT(D6,"yyyy-mm")&lt;&gt;TEXT(D6,"yyyy-mm")</formula>
    </cfRule>
  </conditionalFormatting>
  <conditionalFormatting sqref="AR6:AS41">
    <cfRule type="expression" dxfId="27" priority="21">
      <formula>$D6=TODAY()-1</formula>
    </cfRule>
  </conditionalFormatting>
  <conditionalFormatting sqref="AS1">
    <cfRule type="expression" dxfId="26" priority="395">
      <formula>$D2=TODAY()-1</formula>
    </cfRule>
  </conditionalFormatting>
  <conditionalFormatting sqref="AT6:AT7">
    <cfRule type="expression" dxfId="25" priority="22">
      <formula>$C6=TODAY()</formula>
    </cfRule>
  </conditionalFormatting>
  <conditionalFormatting sqref="AU6:AAN7">
    <cfRule type="expression" dxfId="24" priority="24">
      <formula>$D6=TODAY()-1</formula>
    </cfRule>
  </conditionalFormatting>
  <conditionalFormatting sqref="BC8:BC137 BD12:BX38">
    <cfRule type="expression" dxfId="23" priority="28">
      <formula>$D8=TODAY()</formula>
    </cfRule>
  </conditionalFormatting>
  <pageMargins left="0.7" right="0.7" top="0.75" bottom="0.75" header="0.3" footer="0.3"/>
  <pageSetup paperSize="9" orientation="portrait" horizontalDpi="4294967293"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EE3F-ABB9-480B-B2F7-97E4E743F62A}">
  <sheetPr codeName="Sheet9">
    <tabColor theme="3" tint="0.499984740745262"/>
  </sheetPr>
  <dimension ref="A1:BX262"/>
  <sheetViews>
    <sheetView topLeftCell="B4" workbookViewId="0">
      <selection activeCell="A19" sqref="A19"/>
    </sheetView>
  </sheetViews>
  <sheetFormatPr defaultColWidth="11" defaultRowHeight="15"/>
  <cols>
    <col min="1" max="1" width="5.7109375" customWidth="1"/>
    <col min="2" max="2" width="10.42578125" bestFit="1" customWidth="1"/>
    <col min="3" max="4" width="16.5703125" bestFit="1" customWidth="1"/>
    <col min="5" max="6" width="7.28515625" bestFit="1" customWidth="1"/>
    <col min="7" max="7" width="8.28515625" style="130" customWidth="1"/>
    <col min="10" max="10" width="13.7109375" style="130" bestFit="1" customWidth="1"/>
    <col min="11" max="11" width="13.7109375" bestFit="1" customWidth="1"/>
    <col min="12" max="12" width="12.5703125" bestFit="1" customWidth="1"/>
    <col min="14" max="14" width="10.28515625" customWidth="1"/>
    <col min="15" max="15" width="12" customWidth="1"/>
    <col min="16" max="16" width="11" style="130"/>
    <col min="17" max="17" width="8.42578125" customWidth="1"/>
    <col min="19" max="19" width="12.140625" customWidth="1"/>
    <col min="20" max="20" width="7.140625" style="130" customWidth="1"/>
    <col min="21" max="22" width="7.140625" customWidth="1"/>
    <col min="25" max="25" width="75.28515625" bestFit="1" customWidth="1"/>
    <col min="26" max="26" width="12.5703125" customWidth="1"/>
    <col min="27" max="31" width="18.7109375" customWidth="1"/>
    <col min="32" max="32" width="21.7109375" bestFit="1" customWidth="1"/>
    <col min="33" max="33" width="30.5703125" bestFit="1" customWidth="1"/>
    <col min="34" max="34" width="29.7109375" bestFit="1" customWidth="1"/>
    <col min="35" max="35" width="26.7109375" bestFit="1" customWidth="1"/>
    <col min="36" max="36" width="18.140625" bestFit="1" customWidth="1"/>
    <col min="37" max="37" width="35.42578125" bestFit="1" customWidth="1"/>
    <col min="38" max="38" width="14.42578125" bestFit="1" customWidth="1"/>
    <col min="39" max="39" width="19.42578125" bestFit="1" customWidth="1"/>
    <col min="40" max="40" width="17" bestFit="1" customWidth="1"/>
    <col min="41" max="41" width="13.42578125" bestFit="1" customWidth="1"/>
    <col min="42" max="42" width="15.28515625" bestFit="1" customWidth="1"/>
    <col min="43" max="43" width="15.28515625" customWidth="1"/>
    <col min="44" max="44" width="15.28515625" style="2" customWidth="1"/>
    <col min="45" max="45" width="28.42578125" bestFit="1" customWidth="1"/>
    <col min="46" max="46" width="11" style="130"/>
    <col min="47" max="47" width="15.7109375" bestFit="1" customWidth="1"/>
    <col min="48" max="48" width="21.7109375" bestFit="1" customWidth="1"/>
    <col min="49" max="49" width="56.85546875" bestFit="1" customWidth="1"/>
    <col min="50" max="50" width="88.85546875" bestFit="1" customWidth="1"/>
    <col min="52" max="52" width="81.5703125" customWidth="1"/>
    <col min="53" max="53" width="27.42578125" customWidth="1"/>
    <col min="54" max="55" width="0" hidden="1" customWidth="1"/>
    <col min="56" max="56" width="0" style="98" hidden="1" customWidth="1"/>
    <col min="57" max="60" width="0" hidden="1" customWidth="1"/>
  </cols>
  <sheetData>
    <row r="1" spans="1:76" s="50" customFormat="1">
      <c r="A1" s="50" t="s">
        <v>853</v>
      </c>
      <c r="G1" s="222"/>
      <c r="I1" s="223" t="s">
        <v>636</v>
      </c>
      <c r="J1" s="222"/>
      <c r="P1" s="224"/>
      <c r="R1" s="225"/>
      <c r="T1" s="222"/>
      <c r="AT1" s="222"/>
      <c r="AW1" s="50" t="s">
        <v>634</v>
      </c>
      <c r="BD1" s="226"/>
    </row>
    <row r="2" spans="1:76" s="50" customFormat="1">
      <c r="G2" s="222"/>
      <c r="I2" s="223"/>
      <c r="J2" s="227" t="s">
        <v>854</v>
      </c>
      <c r="K2" s="228" t="s">
        <v>855</v>
      </c>
      <c r="L2" s="228" t="s">
        <v>856</v>
      </c>
      <c r="M2" s="228" t="s">
        <v>857</v>
      </c>
      <c r="P2" s="224"/>
      <c r="R2" s="225"/>
      <c r="T2" s="222"/>
      <c r="AT2" s="222"/>
      <c r="AW2" s="229">
        <f ca="1">AVERAGE(AW6:AW41)</f>
        <v>914.75136416408668</v>
      </c>
      <c r="BD2" s="226"/>
    </row>
    <row r="3" spans="1:76" s="51" customFormat="1">
      <c r="C3" s="51" t="s">
        <v>118</v>
      </c>
      <c r="D3" s="51" t="s">
        <v>119</v>
      </c>
      <c r="E3" s="51" t="s">
        <v>637</v>
      </c>
      <c r="F3" s="51" t="s">
        <v>638</v>
      </c>
      <c r="G3" s="230"/>
      <c r="I3" s="231">
        <v>180</v>
      </c>
      <c r="J3" s="232">
        <v>295</v>
      </c>
      <c r="K3" s="233">
        <v>185</v>
      </c>
      <c r="L3" s="233">
        <v>295</v>
      </c>
      <c r="M3" s="233">
        <v>135</v>
      </c>
      <c r="N3" s="234">
        <v>0</v>
      </c>
      <c r="O3" s="234">
        <v>0</v>
      </c>
      <c r="P3" s="230"/>
      <c r="R3" s="235">
        <v>950</v>
      </c>
      <c r="S3" s="235"/>
      <c r="T3" s="235">
        <v>0</v>
      </c>
      <c r="U3" s="235">
        <v>0</v>
      </c>
      <c r="V3" s="235">
        <v>0</v>
      </c>
      <c r="W3" s="235">
        <v>950</v>
      </c>
      <c r="X3" s="235">
        <v>950</v>
      </c>
      <c r="Y3" s="50"/>
      <c r="Z3" s="235">
        <v>360</v>
      </c>
      <c r="AA3" s="235">
        <v>420</v>
      </c>
      <c r="AB3" s="235">
        <v>0</v>
      </c>
      <c r="AC3" s="235"/>
      <c r="AD3" s="235"/>
      <c r="AE3" s="235"/>
      <c r="AG3" s="236">
        <v>32</v>
      </c>
      <c r="AH3" s="236">
        <v>44</v>
      </c>
      <c r="AI3" s="236">
        <v>187</v>
      </c>
      <c r="AJ3" s="236">
        <v>176</v>
      </c>
      <c r="AK3" s="236">
        <v>925</v>
      </c>
      <c r="AL3" s="236">
        <v>600</v>
      </c>
      <c r="AM3" s="236">
        <v>28.5</v>
      </c>
      <c r="AN3" s="236">
        <v>78</v>
      </c>
      <c r="AO3" s="236">
        <v>650</v>
      </c>
      <c r="AP3" s="236">
        <v>187</v>
      </c>
      <c r="AQ3" s="349"/>
      <c r="AR3" s="236"/>
      <c r="AT3" s="230"/>
      <c r="BD3" s="226"/>
    </row>
    <row r="4" spans="1:76" s="51" customFormat="1" ht="56.25" customHeight="1">
      <c r="B4" s="51" t="s">
        <v>125</v>
      </c>
      <c r="C4" s="51" t="s">
        <v>127</v>
      </c>
      <c r="D4" s="51" t="s">
        <v>127</v>
      </c>
      <c r="E4" s="51" t="s">
        <v>127</v>
      </c>
      <c r="F4" s="51" t="s">
        <v>127</v>
      </c>
      <c r="G4" s="237" t="s">
        <v>199</v>
      </c>
      <c r="H4" s="238" t="s">
        <v>129</v>
      </c>
      <c r="I4" s="51" t="s">
        <v>130</v>
      </c>
      <c r="J4" s="230" t="s">
        <v>858</v>
      </c>
      <c r="K4" s="51" t="s">
        <v>859</v>
      </c>
      <c r="L4" s="51" t="s">
        <v>860</v>
      </c>
      <c r="M4" s="51" t="s">
        <v>861</v>
      </c>
      <c r="P4" s="237" t="s">
        <v>646</v>
      </c>
      <c r="Q4" s="238" t="s">
        <v>146</v>
      </c>
      <c r="R4" s="238" t="s">
        <v>153</v>
      </c>
      <c r="S4" s="238" t="s">
        <v>147</v>
      </c>
      <c r="T4" s="237" t="s">
        <v>647</v>
      </c>
      <c r="U4" s="238" t="s">
        <v>648</v>
      </c>
      <c r="V4" s="238" t="s">
        <v>649</v>
      </c>
      <c r="W4" s="238" t="s">
        <v>862</v>
      </c>
      <c r="X4" s="238" t="s">
        <v>863</v>
      </c>
      <c r="Y4" s="238" t="s">
        <v>864</v>
      </c>
      <c r="Z4" s="51" t="s">
        <v>652</v>
      </c>
      <c r="AA4" s="51" t="s">
        <v>157</v>
      </c>
      <c r="AB4" s="51" t="s">
        <v>653</v>
      </c>
      <c r="AC4" s="51" t="s">
        <v>160</v>
      </c>
      <c r="AE4" s="51" t="s">
        <v>654</v>
      </c>
      <c r="AF4" s="51" t="s">
        <v>658</v>
      </c>
      <c r="AG4" s="50" t="s">
        <v>865</v>
      </c>
      <c r="AH4" s="50" t="s">
        <v>866</v>
      </c>
      <c r="AI4" s="50" t="s">
        <v>867</v>
      </c>
      <c r="AJ4" s="50" t="s">
        <v>868</v>
      </c>
      <c r="AK4" s="50" t="s">
        <v>869</v>
      </c>
      <c r="AL4" s="50" t="s">
        <v>870</v>
      </c>
      <c r="AM4" s="50" t="s">
        <v>871</v>
      </c>
      <c r="AN4" s="50" t="s">
        <v>872</v>
      </c>
      <c r="AO4" s="50" t="s">
        <v>873</v>
      </c>
      <c r="AP4" s="50" t="s">
        <v>874</v>
      </c>
      <c r="AQ4" s="50" t="s">
        <v>875</v>
      </c>
      <c r="AR4" s="50" t="s">
        <v>876</v>
      </c>
      <c r="AS4" s="51" t="s">
        <v>327</v>
      </c>
      <c r="AT4" s="230" t="s">
        <v>165</v>
      </c>
      <c r="AU4" s="51" t="s">
        <v>167</v>
      </c>
      <c r="AV4" s="51" t="s">
        <v>204</v>
      </c>
      <c r="AW4" s="51" t="s">
        <v>329</v>
      </c>
      <c r="AX4" s="51" t="s">
        <v>660</v>
      </c>
      <c r="AZ4" s="51" t="s">
        <v>202</v>
      </c>
      <c r="BD4" s="226"/>
    </row>
    <row r="5" spans="1:76" hidden="1">
      <c r="A5" t="s">
        <v>10</v>
      </c>
      <c r="B5">
        <v>1</v>
      </c>
      <c r="C5">
        <v>2</v>
      </c>
      <c r="D5">
        <v>3</v>
      </c>
      <c r="E5">
        <v>4</v>
      </c>
      <c r="F5">
        <v>5</v>
      </c>
      <c r="G5" s="130">
        <v>6</v>
      </c>
      <c r="H5">
        <v>7</v>
      </c>
      <c r="I5">
        <v>8</v>
      </c>
      <c r="J5" s="130">
        <v>9</v>
      </c>
      <c r="K5">
        <v>10</v>
      </c>
      <c r="L5">
        <v>10</v>
      </c>
      <c r="M5">
        <v>12</v>
      </c>
      <c r="N5">
        <v>12</v>
      </c>
      <c r="O5">
        <v>14</v>
      </c>
      <c r="P5" s="130">
        <v>15</v>
      </c>
      <c r="Q5">
        <v>16</v>
      </c>
      <c r="R5">
        <v>17</v>
      </c>
      <c r="S5">
        <v>18</v>
      </c>
      <c r="T5" s="130">
        <v>19</v>
      </c>
      <c r="U5">
        <v>20</v>
      </c>
      <c r="V5">
        <v>21</v>
      </c>
      <c r="W5">
        <v>22</v>
      </c>
      <c r="X5">
        <v>23</v>
      </c>
      <c r="Z5">
        <v>24</v>
      </c>
      <c r="AA5">
        <v>25</v>
      </c>
      <c r="AF5">
        <v>26</v>
      </c>
      <c r="AR5"/>
      <c r="AS5">
        <v>27</v>
      </c>
      <c r="AT5" s="130">
        <v>28</v>
      </c>
      <c r="AU5">
        <v>29</v>
      </c>
      <c r="AV5">
        <v>30</v>
      </c>
      <c r="AW5">
        <v>31</v>
      </c>
      <c r="AZ5">
        <v>33</v>
      </c>
      <c r="BB5">
        <v>35</v>
      </c>
      <c r="BC5">
        <v>36</v>
      </c>
      <c r="BD5" s="98">
        <v>37</v>
      </c>
      <c r="BE5">
        <v>38</v>
      </c>
      <c r="BF5">
        <v>39</v>
      </c>
      <c r="BG5">
        <v>40</v>
      </c>
      <c r="BH5">
        <v>41</v>
      </c>
      <c r="BI5">
        <v>42</v>
      </c>
      <c r="BJ5">
        <v>43</v>
      </c>
      <c r="BK5">
        <v>44</v>
      </c>
      <c r="BL5">
        <v>45</v>
      </c>
      <c r="BM5">
        <v>46</v>
      </c>
      <c r="BN5">
        <v>47</v>
      </c>
      <c r="BO5">
        <v>48</v>
      </c>
      <c r="BP5">
        <v>49</v>
      </c>
      <c r="BQ5">
        <v>50</v>
      </c>
      <c r="BR5">
        <v>51</v>
      </c>
      <c r="BS5">
        <v>52</v>
      </c>
      <c r="BT5">
        <v>53</v>
      </c>
      <c r="BU5">
        <v>54</v>
      </c>
      <c r="BV5">
        <v>55</v>
      </c>
      <c r="BW5">
        <v>56</v>
      </c>
      <c r="BX5">
        <v>57</v>
      </c>
    </row>
    <row r="6" spans="1:76" hidden="1">
      <c r="B6" s="1">
        <v>45846</v>
      </c>
      <c r="S6" s="9"/>
      <c r="AF6" s="11"/>
      <c r="AG6" s="11"/>
      <c r="AH6" s="11"/>
      <c r="AI6" s="11"/>
      <c r="AJ6" s="11"/>
      <c r="AK6" s="11"/>
      <c r="AL6" s="11"/>
      <c r="AM6" s="11"/>
      <c r="AN6" s="11"/>
      <c r="AO6" s="11"/>
      <c r="AP6" s="11"/>
      <c r="AQ6" s="11"/>
      <c r="AR6" s="11"/>
      <c r="AT6" s="142"/>
      <c r="AU6" s="11"/>
      <c r="AV6" s="11"/>
      <c r="AW6" s="11"/>
      <c r="AX6" s="137"/>
    </row>
    <row r="7" spans="1:76" hidden="1">
      <c r="B7" s="1">
        <v>45847</v>
      </c>
      <c r="S7" s="9"/>
      <c r="AF7" s="11"/>
      <c r="AG7" s="11"/>
      <c r="AH7" s="11"/>
      <c r="AI7" s="11"/>
      <c r="AJ7" s="11"/>
      <c r="AK7" s="11"/>
      <c r="AL7" s="11"/>
      <c r="AM7" s="11"/>
      <c r="AN7" s="11"/>
      <c r="AO7" s="11"/>
      <c r="AP7" s="11"/>
      <c r="AQ7" s="11"/>
      <c r="AR7" s="11"/>
      <c r="AT7" s="142"/>
      <c r="AU7" s="11"/>
      <c r="AV7" s="11"/>
      <c r="AW7" s="11"/>
      <c r="AX7" s="137"/>
    </row>
    <row r="8" spans="1:76" hidden="1">
      <c r="B8" s="1">
        <v>45848</v>
      </c>
      <c r="Q8" s="17"/>
      <c r="S8" s="9"/>
      <c r="AF8" s="11"/>
      <c r="AG8" s="11"/>
      <c r="AH8" s="11"/>
      <c r="AI8" s="11"/>
      <c r="AJ8" s="11"/>
      <c r="AK8" s="11"/>
      <c r="AL8" s="11"/>
      <c r="AM8" s="11"/>
      <c r="AN8" s="11"/>
      <c r="AO8" s="11"/>
      <c r="AP8" s="11"/>
      <c r="AQ8" s="11"/>
      <c r="AR8" s="11"/>
      <c r="AT8" s="142"/>
      <c r="AU8" s="11"/>
      <c r="AV8" s="11"/>
      <c r="AW8" s="11"/>
      <c r="AX8" s="11"/>
      <c r="AY8" s="15"/>
      <c r="BA8" s="14"/>
      <c r="BB8" t="str">
        <f t="shared" ref="BB8:BB39" si="0">RIGHT(YEAR(B8),2)</f>
        <v>25</v>
      </c>
      <c r="BC8" t="str">
        <f t="shared" ref="BC8:BC39" si="1">_xlfn.TEXTJOIN(,TRUE,"0",MONTH(B8))</f>
        <v>07</v>
      </c>
      <c r="BD8" s="98">
        <f t="shared" ref="BD8:BD14" si="2">DAY(B8)</f>
        <v>10</v>
      </c>
      <c r="BE8" t="str">
        <f t="shared" ref="BE8:BE39" si="3">LEFT(B8,1)</f>
        <v>4</v>
      </c>
      <c r="BF8" t="str">
        <f>CONCATENATE(BA8,"-",BB8,BC8,BD8,"D")</f>
        <v>-250710D</v>
      </c>
      <c r="BG8" t="str">
        <f t="shared" ref="BG8:BG39" si="4">TEXT(B8, "yyyy-mm")</f>
        <v>2025-07</v>
      </c>
    </row>
    <row r="9" spans="1:76" hidden="1">
      <c r="B9" s="1">
        <v>45849</v>
      </c>
      <c r="Q9" s="17"/>
      <c r="S9" s="9"/>
      <c r="AF9" s="11"/>
      <c r="AG9" s="11"/>
      <c r="AH9" s="11"/>
      <c r="AI9" s="11"/>
      <c r="AJ9" s="11"/>
      <c r="AK9" s="11"/>
      <c r="AL9" s="11"/>
      <c r="AM9" s="11"/>
      <c r="AN9" s="11"/>
      <c r="AO9" s="11"/>
      <c r="AP9" s="11"/>
      <c r="AQ9" s="11"/>
      <c r="AR9" s="11"/>
      <c r="AT9" s="142"/>
      <c r="AU9" s="11"/>
      <c r="AV9" s="11"/>
      <c r="AW9" s="11"/>
      <c r="AX9" s="11"/>
      <c r="AY9" s="15"/>
      <c r="BA9" s="14"/>
      <c r="BB9" t="str">
        <f t="shared" si="0"/>
        <v>25</v>
      </c>
      <c r="BC9" t="str">
        <f t="shared" si="1"/>
        <v>07</v>
      </c>
      <c r="BD9" s="98">
        <f t="shared" si="2"/>
        <v>11</v>
      </c>
      <c r="BE9" t="str">
        <f t="shared" si="3"/>
        <v>4</v>
      </c>
      <c r="BF9" t="str">
        <f t="shared" ref="BF9:BF72" si="5">CONCATENATE(BA9,"-",BB9,BC9,BD9,"D")</f>
        <v>-250711D</v>
      </c>
      <c r="BG9" t="str">
        <f t="shared" si="4"/>
        <v>2025-07</v>
      </c>
    </row>
    <row r="10" spans="1:76" hidden="1">
      <c r="B10" s="1">
        <v>45850</v>
      </c>
      <c r="Q10" s="17"/>
      <c r="S10" s="9"/>
      <c r="AF10" s="11"/>
      <c r="AG10" s="11"/>
      <c r="AH10" s="11"/>
      <c r="AI10" s="11"/>
      <c r="AJ10" s="11"/>
      <c r="AK10" s="11"/>
      <c r="AL10" s="11"/>
      <c r="AM10" s="11"/>
      <c r="AN10" s="11"/>
      <c r="AO10" s="11"/>
      <c r="AP10" s="11"/>
      <c r="AQ10" s="11"/>
      <c r="AR10" s="11"/>
      <c r="AT10" s="142"/>
      <c r="AU10" s="11"/>
      <c r="AV10" s="11"/>
      <c r="AW10" s="11"/>
      <c r="AX10" s="11"/>
      <c r="AY10" s="15"/>
      <c r="BA10" s="14"/>
      <c r="BB10" t="str">
        <f t="shared" si="0"/>
        <v>25</v>
      </c>
      <c r="BC10" t="str">
        <f t="shared" si="1"/>
        <v>07</v>
      </c>
      <c r="BD10" s="98">
        <f t="shared" si="2"/>
        <v>12</v>
      </c>
      <c r="BE10" t="str">
        <f t="shared" si="3"/>
        <v>4</v>
      </c>
      <c r="BF10" t="str">
        <f t="shared" si="5"/>
        <v>-250712D</v>
      </c>
      <c r="BG10" t="str">
        <f t="shared" si="4"/>
        <v>2025-07</v>
      </c>
    </row>
    <row r="11" spans="1:76" hidden="1">
      <c r="B11" s="1">
        <v>45851</v>
      </c>
      <c r="Q11" s="17"/>
      <c r="S11" s="9"/>
      <c r="AF11" s="11"/>
      <c r="AG11" s="11"/>
      <c r="AH11" s="11"/>
      <c r="AI11" s="11"/>
      <c r="AJ11" s="11"/>
      <c r="AK11" s="11"/>
      <c r="AL11" s="11"/>
      <c r="AM11" s="11"/>
      <c r="AN11" s="11"/>
      <c r="AO11" s="11"/>
      <c r="AP11" s="11"/>
      <c r="AQ11" s="11"/>
      <c r="AR11" s="11"/>
      <c r="AT11" s="142"/>
      <c r="AU11" s="11"/>
      <c r="AV11" s="11"/>
      <c r="AW11" s="11"/>
      <c r="AX11" s="11"/>
      <c r="AY11" s="15"/>
      <c r="BA11" s="14"/>
      <c r="BB11" t="str">
        <f t="shared" si="0"/>
        <v>25</v>
      </c>
      <c r="BC11" t="str">
        <f t="shared" si="1"/>
        <v>07</v>
      </c>
      <c r="BD11" s="98">
        <f t="shared" si="2"/>
        <v>13</v>
      </c>
      <c r="BE11" t="str">
        <f t="shared" si="3"/>
        <v>4</v>
      </c>
      <c r="BF11" t="str">
        <f t="shared" si="5"/>
        <v>-250713D</v>
      </c>
      <c r="BG11" t="str">
        <f t="shared" si="4"/>
        <v>2025-07</v>
      </c>
    </row>
    <row r="12" spans="1:76" hidden="1">
      <c r="B12" s="1">
        <v>45852</v>
      </c>
      <c r="Q12" s="17"/>
      <c r="S12" s="9"/>
      <c r="AF12" s="11"/>
      <c r="AG12" s="11"/>
      <c r="AH12" s="11"/>
      <c r="AI12" s="11"/>
      <c r="AJ12" s="11"/>
      <c r="AK12" s="11"/>
      <c r="AL12" s="11"/>
      <c r="AM12" s="11"/>
      <c r="AN12" s="11"/>
      <c r="AO12" s="11"/>
      <c r="AP12" s="11"/>
      <c r="AQ12" s="11"/>
      <c r="AR12" s="11"/>
      <c r="AT12" s="142"/>
      <c r="AU12" s="11"/>
      <c r="AV12" s="11"/>
      <c r="AW12" s="11"/>
      <c r="AX12" s="11"/>
      <c r="AY12" s="15"/>
      <c r="BA12" s="14"/>
      <c r="BB12" t="str">
        <f t="shared" si="0"/>
        <v>25</v>
      </c>
      <c r="BC12" t="str">
        <f t="shared" si="1"/>
        <v>07</v>
      </c>
      <c r="BD12" s="98">
        <f t="shared" si="2"/>
        <v>14</v>
      </c>
      <c r="BE12" t="str">
        <f t="shared" si="3"/>
        <v>4</v>
      </c>
      <c r="BF12" t="str">
        <f t="shared" si="5"/>
        <v>-250714D</v>
      </c>
      <c r="BG12" t="str">
        <f t="shared" si="4"/>
        <v>2025-07</v>
      </c>
    </row>
    <row r="13" spans="1:76" hidden="1">
      <c r="B13" s="1">
        <v>45853</v>
      </c>
      <c r="Q13" s="17"/>
      <c r="S13" s="9"/>
      <c r="AF13" s="11"/>
      <c r="AG13" s="11"/>
      <c r="AH13" s="11"/>
      <c r="AI13" s="11"/>
      <c r="AJ13" s="11"/>
      <c r="AK13" s="11"/>
      <c r="AL13" s="11"/>
      <c r="AM13" s="11"/>
      <c r="AN13" s="11"/>
      <c r="AO13" s="11"/>
      <c r="AP13" s="11"/>
      <c r="AQ13" s="11"/>
      <c r="AR13" s="11"/>
      <c r="AT13" s="142"/>
      <c r="AU13" s="11"/>
      <c r="AV13" s="11"/>
      <c r="AW13" s="11"/>
      <c r="AX13" s="11"/>
      <c r="AY13" s="124"/>
      <c r="BA13" s="125"/>
      <c r="BB13" t="str">
        <f t="shared" si="0"/>
        <v>25</v>
      </c>
      <c r="BC13" t="str">
        <f t="shared" si="1"/>
        <v>07</v>
      </c>
      <c r="BD13" s="98">
        <f t="shared" si="2"/>
        <v>15</v>
      </c>
      <c r="BE13" t="str">
        <f t="shared" si="3"/>
        <v>4</v>
      </c>
      <c r="BF13" t="str">
        <f t="shared" si="5"/>
        <v>-250715D</v>
      </c>
      <c r="BG13" t="str">
        <f t="shared" si="4"/>
        <v>2025-07</v>
      </c>
    </row>
    <row r="14" spans="1:76" hidden="1">
      <c r="A14" s="130"/>
      <c r="B14" s="1">
        <v>45854</v>
      </c>
      <c r="Q14" s="17"/>
      <c r="S14" s="9"/>
      <c r="AF14" s="11"/>
      <c r="AG14" s="11"/>
      <c r="AH14" s="11"/>
      <c r="AI14" s="11"/>
      <c r="AJ14" s="11"/>
      <c r="AK14" s="11"/>
      <c r="AL14" s="11"/>
      <c r="AM14" s="11"/>
      <c r="AN14" s="11"/>
      <c r="AO14" s="11"/>
      <c r="AP14" s="11"/>
      <c r="AQ14" s="11"/>
      <c r="AR14" s="11"/>
      <c r="AT14" s="142"/>
      <c r="AU14" s="11"/>
      <c r="AV14" s="11"/>
      <c r="AW14" s="11"/>
      <c r="AX14" s="11"/>
      <c r="AY14" s="124"/>
      <c r="BA14" s="125"/>
      <c r="BB14" t="str">
        <f t="shared" si="0"/>
        <v>25</v>
      </c>
      <c r="BC14" t="str">
        <f t="shared" si="1"/>
        <v>07</v>
      </c>
      <c r="BD14" s="98">
        <f t="shared" si="2"/>
        <v>16</v>
      </c>
      <c r="BE14" t="str">
        <f t="shared" si="3"/>
        <v>4</v>
      </c>
      <c r="BF14" t="str">
        <f t="shared" si="5"/>
        <v>-250716D</v>
      </c>
      <c r="BG14" t="str">
        <f t="shared" si="4"/>
        <v>2025-07</v>
      </c>
    </row>
    <row r="15" spans="1:76" hidden="1">
      <c r="A15" s="130"/>
      <c r="B15" s="1">
        <v>45855</v>
      </c>
      <c r="Q15" s="17"/>
      <c r="S15" s="9"/>
      <c r="AF15" s="11"/>
      <c r="AG15" s="11"/>
      <c r="AH15" s="11"/>
      <c r="AI15" s="11"/>
      <c r="AJ15" s="11"/>
      <c r="AK15" s="11"/>
      <c r="AL15" s="11"/>
      <c r="AM15" s="11"/>
      <c r="AN15" s="11"/>
      <c r="AO15" s="11"/>
      <c r="AP15" s="11"/>
      <c r="AQ15" s="11"/>
      <c r="AR15" s="11"/>
      <c r="AT15" s="142"/>
      <c r="AU15" s="11"/>
      <c r="AV15" s="11"/>
      <c r="AW15" s="11"/>
      <c r="AX15" s="11"/>
      <c r="AY15" s="124"/>
      <c r="BA15" s="125"/>
      <c r="BB15" t="str">
        <f t="shared" si="0"/>
        <v>25</v>
      </c>
      <c r="BC15" t="str">
        <f t="shared" si="1"/>
        <v>07</v>
      </c>
      <c r="BD15" s="98" t="str">
        <f t="shared" ref="BD15:BD23" si="6">_xlfn.TEXTJOIN(,TRUE,"0",DAY(B15))</f>
        <v>017</v>
      </c>
      <c r="BE15" t="str">
        <f t="shared" si="3"/>
        <v>4</v>
      </c>
      <c r="BF15" t="str">
        <f t="shared" si="5"/>
        <v>-2507017D</v>
      </c>
      <c r="BG15" t="str">
        <f t="shared" si="4"/>
        <v>2025-07</v>
      </c>
    </row>
    <row r="16" spans="1:76" hidden="1">
      <c r="A16" s="130"/>
      <c r="B16" s="1">
        <v>45856</v>
      </c>
      <c r="Q16" s="17"/>
      <c r="S16" s="9"/>
      <c r="AF16" s="11"/>
      <c r="AG16" s="11"/>
      <c r="AH16" s="11"/>
      <c r="AI16" s="11"/>
      <c r="AJ16" s="11"/>
      <c r="AK16" s="11"/>
      <c r="AL16" s="11"/>
      <c r="AM16" s="11"/>
      <c r="AN16" s="11"/>
      <c r="AO16" s="11"/>
      <c r="AP16" s="11"/>
      <c r="AQ16" s="11"/>
      <c r="AR16" s="11"/>
      <c r="AT16" s="142"/>
      <c r="AU16" s="11"/>
      <c r="AV16" s="11"/>
      <c r="AW16" s="11"/>
      <c r="AX16" s="11"/>
      <c r="AY16" s="124"/>
      <c r="BA16" s="125"/>
      <c r="BB16" t="str">
        <f t="shared" si="0"/>
        <v>25</v>
      </c>
      <c r="BC16" t="str">
        <f t="shared" si="1"/>
        <v>07</v>
      </c>
      <c r="BD16" s="98" t="str">
        <f t="shared" si="6"/>
        <v>018</v>
      </c>
      <c r="BE16" t="str">
        <f t="shared" si="3"/>
        <v>4</v>
      </c>
      <c r="BF16" t="str">
        <f t="shared" si="5"/>
        <v>-2507018D</v>
      </c>
      <c r="BG16" t="str">
        <f t="shared" si="4"/>
        <v>2025-07</v>
      </c>
    </row>
    <row r="17" spans="1:59" hidden="1">
      <c r="A17" s="130"/>
      <c r="B17" s="1">
        <v>45857</v>
      </c>
      <c r="Q17" s="17"/>
      <c r="S17" s="9"/>
      <c r="AF17" s="11"/>
      <c r="AG17" s="11"/>
      <c r="AH17" s="11"/>
      <c r="AI17" s="11"/>
      <c r="AJ17" s="11"/>
      <c r="AK17" s="11"/>
      <c r="AL17" s="11"/>
      <c r="AM17" s="11"/>
      <c r="AN17" s="11"/>
      <c r="AO17" s="11"/>
      <c r="AP17" s="11"/>
      <c r="AQ17" s="11"/>
      <c r="AR17" s="11"/>
      <c r="AT17" s="142"/>
      <c r="AU17" s="11"/>
      <c r="AV17" s="11"/>
      <c r="AW17" s="11"/>
      <c r="AX17" s="11"/>
      <c r="AY17" s="124"/>
      <c r="BA17" s="125"/>
      <c r="BB17" t="str">
        <f t="shared" si="0"/>
        <v>25</v>
      </c>
      <c r="BC17" t="str">
        <f t="shared" si="1"/>
        <v>07</v>
      </c>
      <c r="BD17" s="98" t="str">
        <f t="shared" si="6"/>
        <v>019</v>
      </c>
      <c r="BE17" t="str">
        <f t="shared" si="3"/>
        <v>4</v>
      </c>
      <c r="BF17" t="str">
        <f t="shared" si="5"/>
        <v>-2507019D</v>
      </c>
      <c r="BG17" t="str">
        <f t="shared" si="4"/>
        <v>2025-07</v>
      </c>
    </row>
    <row r="18" spans="1:59">
      <c r="A18" s="130"/>
      <c r="B18" s="1">
        <v>45858</v>
      </c>
      <c r="I18" s="2">
        <f t="shared" ref="I18:I27" ca="1" si="7">IF(B18&lt;TODAY(),H18*$I$3,"")</f>
        <v>0</v>
      </c>
      <c r="P18" s="130">
        <f t="shared" ref="P18:P81" si="8">J18+K18+L18+M18+N18+O18</f>
        <v>0</v>
      </c>
      <c r="Q18" s="17">
        <f t="shared" ref="Q18:Q81" si="9">(J18*$J$3)+(K18*$K$3)+(L18*$L$3)+(M18*$M$3)+(N18*$N$3)+(O18*$O$3)</f>
        <v>0</v>
      </c>
      <c r="S18" s="9">
        <f t="shared" ref="S18:S81" si="10">IF(Q18&lt;(R18*$R$3),(R18*$R$3),Q18)</f>
        <v>0</v>
      </c>
      <c r="T18" s="130">
        <v>0</v>
      </c>
      <c r="U18">
        <v>0</v>
      </c>
      <c r="V18">
        <v>0</v>
      </c>
      <c r="W18">
        <v>0</v>
      </c>
      <c r="AE18">
        <f t="shared" ref="AE18:AE25" ca="1" si="11">IF(B18&lt;TODAY(),(R18+X18+Z18+AA18+AB18+AC18),"")</f>
        <v>0</v>
      </c>
      <c r="AF18" s="11">
        <f t="shared" ref="AF18" si="12">(T18*$T$3)+(U18*$U$3)+(V18*$V$3)+(X18*$X$3)+(Z18*$Z$3)+(AA18*$AA$3)+(W18*$W$3)</f>
        <v>0</v>
      </c>
      <c r="AG18" s="11"/>
      <c r="AH18" s="11"/>
      <c r="AI18" s="11"/>
      <c r="AJ18" s="11"/>
      <c r="AK18" s="11"/>
      <c r="AL18" s="11"/>
      <c r="AM18" s="11"/>
      <c r="AN18" s="11"/>
      <c r="AO18" s="11"/>
      <c r="AP18" s="11"/>
      <c r="AQ18" s="11"/>
      <c r="AR18" s="11"/>
      <c r="AT18" s="142">
        <f t="shared" ref="AT18" ca="1" si="13">I18+S18+AF18+AS18</f>
        <v>0</v>
      </c>
      <c r="AU18" s="11">
        <f ca="1">SUM($AT$6:AT18)</f>
        <v>0</v>
      </c>
      <c r="AV18" s="11">
        <f ca="1">IF(AT18&lt;&gt;"", SUMIFS($AT$8:AT18, $BG$8:BG18, BG18), "")</f>
        <v>0</v>
      </c>
      <c r="AW18" s="11" t="str">
        <f t="shared" ref="AW18" si="14">IF(P18=0,"No drilling completed today, if maintenance provide context -&gt;",AT18/P18)</f>
        <v>No drilling completed today, if maintenance provide context -&gt;</v>
      </c>
      <c r="AX18" s="11" t="s">
        <v>877</v>
      </c>
      <c r="AY18" s="124"/>
      <c r="BA18" s="125"/>
      <c r="BB18" t="str">
        <f t="shared" si="0"/>
        <v>25</v>
      </c>
      <c r="BC18" t="str">
        <f t="shared" si="1"/>
        <v>07</v>
      </c>
      <c r="BD18" s="98" t="str">
        <f t="shared" si="6"/>
        <v>020</v>
      </c>
      <c r="BE18" t="str">
        <f t="shared" si="3"/>
        <v>4</v>
      </c>
      <c r="BF18" t="str">
        <f t="shared" si="5"/>
        <v>-2507020D</v>
      </c>
      <c r="BG18" t="str">
        <f t="shared" si="4"/>
        <v>2025-07</v>
      </c>
    </row>
    <row r="19" spans="1:59" s="109" customFormat="1">
      <c r="A19"/>
      <c r="B19" s="1">
        <v>45859</v>
      </c>
      <c r="C19" t="s">
        <v>878</v>
      </c>
      <c r="D19"/>
      <c r="E19"/>
      <c r="F19"/>
      <c r="G19" t="s">
        <v>879</v>
      </c>
      <c r="H19">
        <v>2</v>
      </c>
      <c r="I19" s="2">
        <f t="shared" ca="1" si="7"/>
        <v>360</v>
      </c>
      <c r="J19"/>
      <c r="K19"/>
      <c r="L19"/>
      <c r="M19"/>
      <c r="N19"/>
      <c r="O19"/>
      <c r="P19">
        <f t="shared" si="8"/>
        <v>0</v>
      </c>
      <c r="Q19" s="17">
        <f t="shared" si="9"/>
        <v>0</v>
      </c>
      <c r="R19">
        <v>0</v>
      </c>
      <c r="S19" s="9">
        <f t="shared" si="10"/>
        <v>0</v>
      </c>
      <c r="T19">
        <v>0</v>
      </c>
      <c r="U19">
        <v>0</v>
      </c>
      <c r="V19">
        <v>0</v>
      </c>
      <c r="W19">
        <v>0</v>
      </c>
      <c r="X19">
        <v>4</v>
      </c>
      <c r="Y19"/>
      <c r="Z19"/>
      <c r="AA19"/>
      <c r="AB19">
        <v>8</v>
      </c>
      <c r="AC19"/>
      <c r="AD19"/>
      <c r="AE19">
        <f t="shared" ca="1" si="11"/>
        <v>12</v>
      </c>
      <c r="AF19" s="11">
        <f t="shared" ref="AF19:AF26" ca="1" si="15">IF(B19&lt;TODAY(),((T19*$T$3)+(U19*$U$3)+(V19*$V$3)+(X19*$X$3)+(Z19*$Z$3)+(AA19*$AA$3)+(W19*$W$3)),"")</f>
        <v>3800</v>
      </c>
      <c r="AG19" s="99"/>
      <c r="AH19" s="99"/>
      <c r="AI19" s="99"/>
      <c r="AJ19" s="99"/>
      <c r="AK19" s="99"/>
      <c r="AL19" s="99"/>
      <c r="AM19" s="99"/>
      <c r="AN19" s="99"/>
      <c r="AO19" s="99"/>
      <c r="AP19" s="99"/>
      <c r="AQ19" s="99"/>
      <c r="AR19" s="148"/>
      <c r="AS19" s="9">
        <f t="shared" ref="AS19:AS82" si="16">($AG$3*AG19)+($AH$3*AH19)+($AI$3*AI19)+($AJ$3*AJ19)+($AK$3*AK19)+($AL$3*AL19)+($AM$3*AM19)+($AN$3*AN19)+($AO$3*AO19)+($AP$3*AP19)+AR19</f>
        <v>0</v>
      </c>
      <c r="AT19" s="11">
        <f t="shared" ref="AT19:AT42" ca="1" si="17">IF(ISBLANK(G19),"",I19+S19+AF19+AS19)</f>
        <v>4160</v>
      </c>
      <c r="AU19" s="11">
        <f ca="1">IF(B19&lt;TODAY(),SUM($AT$6:AT19),"")</f>
        <v>4160</v>
      </c>
      <c r="AV19" s="11">
        <f ca="1">IF(B19&lt;TODAY(), SUMIFS($AT$8:AT19, $BG$8:BG19, BG19), "")</f>
        <v>4160</v>
      </c>
      <c r="AW19" s="11" t="str">
        <f t="shared" ref="AW19:AW42" ca="1" si="18">IF(B19&gt;TODAY()-1,"",(IF(P19=0,"No drilling completed today, if maintenance provide context -&gt;",AT19/P19)))</f>
        <v>No drilling completed today, if maintenance provide context -&gt;</v>
      </c>
      <c r="AX19" s="11" t="s">
        <v>880</v>
      </c>
      <c r="AY19" s="124"/>
      <c r="AZ19"/>
      <c r="BA19" s="132"/>
      <c r="BB19" s="109" t="str">
        <f t="shared" si="0"/>
        <v>25</v>
      </c>
      <c r="BC19" s="109" t="str">
        <f t="shared" si="1"/>
        <v>07</v>
      </c>
      <c r="BD19" s="98" t="str">
        <f t="shared" si="6"/>
        <v>021</v>
      </c>
      <c r="BE19" s="109" t="str">
        <f t="shared" si="3"/>
        <v>4</v>
      </c>
      <c r="BF19" t="str">
        <f t="shared" si="5"/>
        <v>-2507021D</v>
      </c>
      <c r="BG19" s="109" t="str">
        <f t="shared" si="4"/>
        <v>2025-07</v>
      </c>
    </row>
    <row r="20" spans="1:59">
      <c r="A20" s="130"/>
      <c r="B20" s="1">
        <v>45860</v>
      </c>
      <c r="C20" t="s">
        <v>878</v>
      </c>
      <c r="D20" t="s">
        <v>881</v>
      </c>
      <c r="G20" s="130" t="s">
        <v>879</v>
      </c>
      <c r="H20">
        <v>2</v>
      </c>
      <c r="I20" s="2">
        <f t="shared" ca="1" si="7"/>
        <v>360</v>
      </c>
      <c r="L20">
        <f>3+6</f>
        <v>9</v>
      </c>
      <c r="M20">
        <f>24+7</f>
        <v>31</v>
      </c>
      <c r="P20" s="130">
        <f t="shared" si="8"/>
        <v>40</v>
      </c>
      <c r="Q20" s="17">
        <f t="shared" si="9"/>
        <v>6840</v>
      </c>
      <c r="R20">
        <v>2</v>
      </c>
      <c r="S20" s="9">
        <f t="shared" si="10"/>
        <v>6840</v>
      </c>
      <c r="T20" s="130">
        <v>0</v>
      </c>
      <c r="U20">
        <v>0</v>
      </c>
      <c r="V20">
        <v>0</v>
      </c>
      <c r="W20">
        <v>0</v>
      </c>
      <c r="X20">
        <v>7.75</v>
      </c>
      <c r="AB20">
        <v>2.25</v>
      </c>
      <c r="AE20">
        <f t="shared" ca="1" si="11"/>
        <v>12</v>
      </c>
      <c r="AF20" s="11">
        <f t="shared" ca="1" si="15"/>
        <v>7362.5</v>
      </c>
      <c r="AG20" s="99">
        <v>1</v>
      </c>
      <c r="AH20" s="99">
        <v>1</v>
      </c>
      <c r="AI20" s="99"/>
      <c r="AJ20" s="99"/>
      <c r="AK20" s="99"/>
      <c r="AL20" s="99"/>
      <c r="AM20" s="99"/>
      <c r="AN20" s="99"/>
      <c r="AO20" s="99"/>
      <c r="AP20" s="99"/>
      <c r="AQ20" s="99"/>
      <c r="AS20" s="9">
        <f t="shared" si="16"/>
        <v>76</v>
      </c>
      <c r="AT20" s="142">
        <f t="shared" ca="1" si="17"/>
        <v>14638.5</v>
      </c>
      <c r="AU20" s="11">
        <f ca="1">IF(B20&lt;TODAY(),SUM($AT$6:AT20),"")</f>
        <v>18798.5</v>
      </c>
      <c r="AV20" s="11">
        <f ca="1">IF(B20&lt;TODAY(), SUMIFS($AT$8:AT20, $BG$8:BG20, BG20), "")</f>
        <v>18798.5</v>
      </c>
      <c r="AW20" s="11">
        <f t="shared" ca="1" si="18"/>
        <v>365.96249999999998</v>
      </c>
      <c r="AX20" s="11" t="s">
        <v>882</v>
      </c>
      <c r="AY20" s="124"/>
      <c r="BA20" s="125"/>
      <c r="BB20" t="str">
        <f t="shared" si="0"/>
        <v>25</v>
      </c>
      <c r="BC20" t="str">
        <f t="shared" si="1"/>
        <v>07</v>
      </c>
      <c r="BD20" s="98" t="str">
        <f t="shared" si="6"/>
        <v>022</v>
      </c>
      <c r="BE20" t="str">
        <f t="shared" si="3"/>
        <v>4</v>
      </c>
      <c r="BF20" t="str">
        <f t="shared" si="5"/>
        <v>-2507022D</v>
      </c>
      <c r="BG20" t="str">
        <f t="shared" si="4"/>
        <v>2025-07</v>
      </c>
    </row>
    <row r="21" spans="1:59">
      <c r="B21" s="1">
        <v>45861</v>
      </c>
      <c r="G21" s="130" t="s">
        <v>879</v>
      </c>
      <c r="H21">
        <v>3</v>
      </c>
      <c r="I21" s="2">
        <f t="shared" ca="1" si="7"/>
        <v>540</v>
      </c>
      <c r="P21" s="130">
        <f t="shared" si="8"/>
        <v>0</v>
      </c>
      <c r="Q21" s="17">
        <f t="shared" si="9"/>
        <v>0</v>
      </c>
      <c r="R21">
        <v>0</v>
      </c>
      <c r="S21" s="9">
        <f t="shared" si="10"/>
        <v>0</v>
      </c>
      <c r="T21" s="130">
        <v>0</v>
      </c>
      <c r="U21">
        <v>0</v>
      </c>
      <c r="V21">
        <v>0</v>
      </c>
      <c r="W21">
        <v>0</v>
      </c>
      <c r="X21">
        <v>12</v>
      </c>
      <c r="AE21">
        <f t="shared" ca="1" si="11"/>
        <v>12</v>
      </c>
      <c r="AF21" s="11">
        <f t="shared" ca="1" si="15"/>
        <v>11400</v>
      </c>
      <c r="AG21" s="99"/>
      <c r="AH21" s="99"/>
      <c r="AI21" s="99"/>
      <c r="AJ21" s="99"/>
      <c r="AK21" s="99"/>
      <c r="AL21" s="99"/>
      <c r="AM21" s="99"/>
      <c r="AN21" s="99"/>
      <c r="AO21" s="99"/>
      <c r="AP21" s="99"/>
      <c r="AQ21" s="99"/>
      <c r="AS21" s="9">
        <f t="shared" si="16"/>
        <v>0</v>
      </c>
      <c r="AT21" s="142">
        <f t="shared" ca="1" si="17"/>
        <v>11940</v>
      </c>
      <c r="AU21" s="11">
        <f ca="1">IF(B21&lt;TODAY(),SUM($AT$6:AT21),"")</f>
        <v>30738.5</v>
      </c>
      <c r="AV21" s="11">
        <f ca="1">IF(B21&lt;TODAY(), SUMIFS($AT$8:AT21, $BG$8:BG21, BG21), "")</f>
        <v>30738.5</v>
      </c>
      <c r="AW21" s="11" t="str">
        <f t="shared" ca="1" si="18"/>
        <v>No drilling completed today, if maintenance provide context -&gt;</v>
      </c>
      <c r="AX21" s="11" t="s">
        <v>883</v>
      </c>
      <c r="AY21" s="15"/>
      <c r="BA21" s="14"/>
      <c r="BB21" t="str">
        <f t="shared" si="0"/>
        <v>25</v>
      </c>
      <c r="BC21" t="str">
        <f t="shared" si="1"/>
        <v>07</v>
      </c>
      <c r="BD21" s="98" t="str">
        <f t="shared" si="6"/>
        <v>023</v>
      </c>
      <c r="BE21" t="str">
        <f t="shared" si="3"/>
        <v>4</v>
      </c>
      <c r="BF21" t="str">
        <f t="shared" si="5"/>
        <v>-2507023D</v>
      </c>
      <c r="BG21" t="str">
        <f t="shared" si="4"/>
        <v>2025-07</v>
      </c>
    </row>
    <row r="22" spans="1:59">
      <c r="B22" s="1">
        <v>45862</v>
      </c>
      <c r="C22" t="s">
        <v>881</v>
      </c>
      <c r="D22" t="s">
        <v>884</v>
      </c>
      <c r="G22" s="130" t="s">
        <v>879</v>
      </c>
      <c r="H22">
        <v>3</v>
      </c>
      <c r="I22" s="2">
        <f t="shared" ca="1" si="7"/>
        <v>540</v>
      </c>
      <c r="L22">
        <v>6</v>
      </c>
      <c r="M22">
        <v>13</v>
      </c>
      <c r="P22" s="130">
        <f t="shared" si="8"/>
        <v>19</v>
      </c>
      <c r="Q22" s="17">
        <f t="shared" si="9"/>
        <v>3525</v>
      </c>
      <c r="R22">
        <v>3.25</v>
      </c>
      <c r="S22" s="9">
        <f t="shared" si="10"/>
        <v>3525</v>
      </c>
      <c r="T22" s="130">
        <v>0</v>
      </c>
      <c r="U22">
        <v>0</v>
      </c>
      <c r="V22">
        <v>0</v>
      </c>
      <c r="W22">
        <v>0</v>
      </c>
      <c r="X22">
        <v>8.75</v>
      </c>
      <c r="AE22">
        <f t="shared" ca="1" si="11"/>
        <v>12</v>
      </c>
      <c r="AF22" s="11">
        <f t="shared" ca="1" si="15"/>
        <v>8312.5</v>
      </c>
      <c r="AG22" s="99"/>
      <c r="AH22" s="99"/>
      <c r="AI22" s="99"/>
      <c r="AJ22" s="99"/>
      <c r="AK22" s="99"/>
      <c r="AL22" s="99"/>
      <c r="AM22" s="99"/>
      <c r="AN22" s="99"/>
      <c r="AO22" s="99"/>
      <c r="AP22" s="99"/>
      <c r="AQ22" s="99"/>
      <c r="AS22" s="9">
        <f t="shared" si="16"/>
        <v>0</v>
      </c>
      <c r="AT22" s="142">
        <f t="shared" ca="1" si="17"/>
        <v>12377.5</v>
      </c>
      <c r="AU22" s="11">
        <f ca="1">IF(B22&lt;TODAY(),SUM($AT$6:AT22),"")</f>
        <v>43116</v>
      </c>
      <c r="AV22" s="11">
        <f ca="1">IF(B22&lt;TODAY(), SUMIFS($AT$8:AT22, $BG$8:BG22, BG22), "")</f>
        <v>43116</v>
      </c>
      <c r="AW22" s="11">
        <f t="shared" ca="1" si="18"/>
        <v>651.4473684210526</v>
      </c>
      <c r="AX22" s="11" t="s">
        <v>885</v>
      </c>
      <c r="AY22" s="15"/>
      <c r="AZ22" s="10"/>
      <c r="BA22" s="14"/>
      <c r="BB22" t="str">
        <f t="shared" si="0"/>
        <v>25</v>
      </c>
      <c r="BC22" t="str">
        <f t="shared" si="1"/>
        <v>07</v>
      </c>
      <c r="BD22" s="98" t="str">
        <f t="shared" si="6"/>
        <v>024</v>
      </c>
      <c r="BE22" t="str">
        <f t="shared" si="3"/>
        <v>4</v>
      </c>
      <c r="BF22" t="str">
        <f t="shared" si="5"/>
        <v>-2507024D</v>
      </c>
      <c r="BG22" t="str">
        <f t="shared" si="4"/>
        <v>2025-07</v>
      </c>
    </row>
    <row r="23" spans="1:59">
      <c r="B23" s="1">
        <v>45863</v>
      </c>
      <c r="C23" t="s">
        <v>878</v>
      </c>
      <c r="G23" s="130" t="s">
        <v>879</v>
      </c>
      <c r="H23">
        <v>3</v>
      </c>
      <c r="I23" s="2">
        <f t="shared" ca="1" si="7"/>
        <v>540</v>
      </c>
      <c r="M23">
        <v>17</v>
      </c>
      <c r="P23" s="130">
        <f t="shared" si="8"/>
        <v>17</v>
      </c>
      <c r="Q23" s="17">
        <f>(J23*$J$3)+(K23*$K$3)+(L23*$L$3)+(M23*$M$3)+(N23*$N$3)+(O23*$O$3)</f>
        <v>2295</v>
      </c>
      <c r="R23">
        <v>1</v>
      </c>
      <c r="S23" s="9">
        <f t="shared" si="10"/>
        <v>2295</v>
      </c>
      <c r="T23" s="130">
        <v>0</v>
      </c>
      <c r="U23">
        <v>0</v>
      </c>
      <c r="V23">
        <v>0</v>
      </c>
      <c r="W23">
        <v>0</v>
      </c>
      <c r="X23">
        <v>11</v>
      </c>
      <c r="AE23">
        <f t="shared" ca="1" si="11"/>
        <v>12</v>
      </c>
      <c r="AF23" s="11">
        <f t="shared" ca="1" si="15"/>
        <v>10450</v>
      </c>
      <c r="AG23" s="99"/>
      <c r="AH23" s="99"/>
      <c r="AI23" s="99"/>
      <c r="AJ23" s="99"/>
      <c r="AK23" s="99"/>
      <c r="AL23" s="99"/>
      <c r="AM23" s="99"/>
      <c r="AN23" s="99"/>
      <c r="AO23" s="99"/>
      <c r="AP23" s="99"/>
      <c r="AQ23" s="99"/>
      <c r="AS23" s="9">
        <f t="shared" si="16"/>
        <v>0</v>
      </c>
      <c r="AT23" s="142">
        <f t="shared" ca="1" si="17"/>
        <v>13285</v>
      </c>
      <c r="AU23" s="11">
        <f ca="1">IF(B23&lt;TODAY(),SUM($AT$6:AT23),"")</f>
        <v>56401</v>
      </c>
      <c r="AV23" s="11">
        <f ca="1">IF(B23&lt;TODAY(), SUMIFS($AT$8:AT23, $BG$8:BG23, BG23), "")</f>
        <v>56401</v>
      </c>
      <c r="AW23" s="11">
        <f t="shared" ca="1" si="18"/>
        <v>781.47058823529414</v>
      </c>
      <c r="AX23" s="11" t="s">
        <v>886</v>
      </c>
      <c r="AY23" s="15"/>
      <c r="BA23" s="14"/>
      <c r="BB23" t="str">
        <f t="shared" si="0"/>
        <v>25</v>
      </c>
      <c r="BC23" t="str">
        <f t="shared" si="1"/>
        <v>07</v>
      </c>
      <c r="BD23" s="98" t="str">
        <f t="shared" si="6"/>
        <v>025</v>
      </c>
      <c r="BE23" t="str">
        <f t="shared" si="3"/>
        <v>4</v>
      </c>
      <c r="BF23" t="str">
        <f t="shared" si="5"/>
        <v>-2507025D</v>
      </c>
      <c r="BG23" t="str">
        <f t="shared" si="4"/>
        <v>2025-07</v>
      </c>
    </row>
    <row r="24" spans="1:59">
      <c r="B24" s="1">
        <v>45864</v>
      </c>
      <c r="G24" s="130" t="s">
        <v>879</v>
      </c>
      <c r="H24">
        <v>3</v>
      </c>
      <c r="I24" s="2">
        <f t="shared" ca="1" si="7"/>
        <v>540</v>
      </c>
      <c r="P24" s="130">
        <f t="shared" si="8"/>
        <v>0</v>
      </c>
      <c r="Q24" s="17">
        <f>(J24*$J$3)+(K24*$K$3)+(L24*$L$3)+(M24*$M$3)+(N24*$N$3)+(O24*$O$3)</f>
        <v>0</v>
      </c>
      <c r="R24">
        <v>0</v>
      </c>
      <c r="S24" s="9">
        <f t="shared" si="10"/>
        <v>0</v>
      </c>
      <c r="T24" s="130">
        <v>0</v>
      </c>
      <c r="U24">
        <v>0</v>
      </c>
      <c r="V24">
        <v>0</v>
      </c>
      <c r="W24">
        <v>0</v>
      </c>
      <c r="AE24">
        <f t="shared" ca="1" si="11"/>
        <v>0</v>
      </c>
      <c r="AF24" s="11">
        <f t="shared" ca="1" si="15"/>
        <v>0</v>
      </c>
      <c r="AG24" s="99"/>
      <c r="AH24" s="99"/>
      <c r="AI24" s="99"/>
      <c r="AJ24" s="99"/>
      <c r="AK24" s="99"/>
      <c r="AL24" s="99"/>
      <c r="AM24" s="99"/>
      <c r="AN24" s="99"/>
      <c r="AO24" s="99"/>
      <c r="AP24" s="99"/>
      <c r="AQ24" s="99"/>
      <c r="AS24" s="9">
        <f t="shared" si="16"/>
        <v>0</v>
      </c>
      <c r="AT24" s="142">
        <f t="shared" ca="1" si="17"/>
        <v>540</v>
      </c>
      <c r="AU24" s="11">
        <f ca="1">IF(B24&lt;TODAY(),SUM($AT$6:AT24),"")</f>
        <v>56941</v>
      </c>
      <c r="AV24" s="11">
        <f ca="1">IF(B24&lt;TODAY(), SUMIFS($AT$8:AT24, $BG$8:BG24, BG24), "")</f>
        <v>56941</v>
      </c>
      <c r="AW24" s="11" t="str">
        <f ca="1">IF(B24&gt;TODAY()-1,"",(IF(P24=0,"No drilling completed today, if maintenance provide context -&gt;",AT24/P24)))</f>
        <v>No drilling completed today, if maintenance provide context -&gt;</v>
      </c>
      <c r="AX24" s="11"/>
      <c r="AY24" s="15"/>
      <c r="BA24" s="14"/>
      <c r="BB24" t="str">
        <f t="shared" si="0"/>
        <v>25</v>
      </c>
      <c r="BC24" t="str">
        <f t="shared" si="1"/>
        <v>07</v>
      </c>
      <c r="BD24" s="98">
        <f t="shared" ref="BD24:BD45" si="19">DAY(B24)</f>
        <v>26</v>
      </c>
      <c r="BE24" t="str">
        <f t="shared" si="3"/>
        <v>4</v>
      </c>
      <c r="BF24" t="str">
        <f t="shared" si="5"/>
        <v>-250726D</v>
      </c>
      <c r="BG24" t="str">
        <f t="shared" si="4"/>
        <v>2025-07</v>
      </c>
    </row>
    <row r="25" spans="1:59">
      <c r="B25" s="1">
        <v>45865</v>
      </c>
      <c r="G25" s="130" t="s">
        <v>879</v>
      </c>
      <c r="H25">
        <v>3</v>
      </c>
      <c r="I25" s="2">
        <f t="shared" ca="1" si="7"/>
        <v>540</v>
      </c>
      <c r="P25" s="130">
        <f t="shared" si="8"/>
        <v>0</v>
      </c>
      <c r="Q25" s="17">
        <f t="shared" si="9"/>
        <v>0</v>
      </c>
      <c r="R25">
        <v>0</v>
      </c>
      <c r="S25" s="9">
        <f t="shared" si="10"/>
        <v>0</v>
      </c>
      <c r="T25" s="130">
        <v>0</v>
      </c>
      <c r="U25">
        <v>0</v>
      </c>
      <c r="V25">
        <v>0</v>
      </c>
      <c r="W25">
        <v>0</v>
      </c>
      <c r="AE25">
        <f t="shared" ca="1" si="11"/>
        <v>0</v>
      </c>
      <c r="AF25" s="11">
        <f t="shared" ca="1" si="15"/>
        <v>0</v>
      </c>
      <c r="AG25" s="99"/>
      <c r="AH25" s="99"/>
      <c r="AI25" s="99"/>
      <c r="AJ25" s="99"/>
      <c r="AK25" s="99"/>
      <c r="AL25" s="99"/>
      <c r="AM25" s="99"/>
      <c r="AN25" s="99"/>
      <c r="AO25" s="99"/>
      <c r="AP25" s="99"/>
      <c r="AQ25" s="99"/>
      <c r="AS25" s="9">
        <f t="shared" si="16"/>
        <v>0</v>
      </c>
      <c r="AT25" s="142">
        <f t="shared" ca="1" si="17"/>
        <v>540</v>
      </c>
      <c r="AU25" s="11">
        <f ca="1">IF(B25&lt;TODAY(),SUM($AT$6:AT25),"")</f>
        <v>57481</v>
      </c>
      <c r="AV25" s="11">
        <f ca="1">IF(B25&lt;TODAY(), SUMIFS($AT$8:AT25, $BG$8:BG25, BG25), "")</f>
        <v>57481</v>
      </c>
      <c r="AW25" s="11" t="str">
        <f t="shared" ca="1" si="18"/>
        <v>No drilling completed today, if maintenance provide context -&gt;</v>
      </c>
      <c r="AX25" s="11"/>
      <c r="AY25" s="15"/>
      <c r="BA25" s="14"/>
      <c r="BB25" t="str">
        <f t="shared" si="0"/>
        <v>25</v>
      </c>
      <c r="BC25" t="str">
        <f t="shared" si="1"/>
        <v>07</v>
      </c>
      <c r="BD25" s="98">
        <f t="shared" si="19"/>
        <v>27</v>
      </c>
      <c r="BE25" t="str">
        <f t="shared" si="3"/>
        <v>4</v>
      </c>
      <c r="BF25" t="str">
        <f t="shared" si="5"/>
        <v>-250727D</v>
      </c>
      <c r="BG25" t="str">
        <f t="shared" si="4"/>
        <v>2025-07</v>
      </c>
    </row>
    <row r="26" spans="1:59">
      <c r="B26" s="1">
        <v>45866</v>
      </c>
      <c r="G26" s="130" t="s">
        <v>879</v>
      </c>
      <c r="H26">
        <v>3</v>
      </c>
      <c r="I26" s="2">
        <f t="shared" ca="1" si="7"/>
        <v>540</v>
      </c>
      <c r="P26" s="130">
        <f t="shared" si="8"/>
        <v>0</v>
      </c>
      <c r="Q26" s="17">
        <f t="shared" si="9"/>
        <v>0</v>
      </c>
      <c r="R26">
        <v>0</v>
      </c>
      <c r="S26" s="9">
        <f t="shared" si="10"/>
        <v>0</v>
      </c>
      <c r="T26" s="130">
        <v>0</v>
      </c>
      <c r="U26">
        <v>0</v>
      </c>
      <c r="V26">
        <v>0</v>
      </c>
      <c r="W26">
        <v>0</v>
      </c>
      <c r="AE26">
        <f ca="1">IF(B26&lt;TODAY(),(R26+X26+Z26+AA26+AB26+AC26),"")</f>
        <v>0</v>
      </c>
      <c r="AF26" s="11">
        <f t="shared" ca="1" si="15"/>
        <v>0</v>
      </c>
      <c r="AG26" s="99"/>
      <c r="AH26" s="99"/>
      <c r="AI26" s="99"/>
      <c r="AJ26" s="99"/>
      <c r="AK26" s="99"/>
      <c r="AL26" s="99"/>
      <c r="AM26" s="99"/>
      <c r="AN26" s="99"/>
      <c r="AO26" s="99"/>
      <c r="AP26" s="99"/>
      <c r="AQ26" s="99"/>
      <c r="AS26" s="9">
        <f t="shared" si="16"/>
        <v>0</v>
      </c>
      <c r="AT26" s="142">
        <f t="shared" ca="1" si="17"/>
        <v>540</v>
      </c>
      <c r="AU26" s="11">
        <f ca="1">IF(B26&lt;TODAY(),SUM($AT$6:AT26),"")</f>
        <v>58021</v>
      </c>
      <c r="AV26" s="11">
        <f ca="1">IF(B26&lt;TODAY(), SUMIFS($AT$8:AT26, $BG$8:BG26, BG26), "")</f>
        <v>58021</v>
      </c>
      <c r="AW26" s="11" t="str">
        <f t="shared" ca="1" si="18"/>
        <v>No drilling completed today, if maintenance provide context -&gt;</v>
      </c>
      <c r="AX26" s="11"/>
      <c r="AY26" s="15"/>
      <c r="BA26" s="14"/>
      <c r="BB26" t="str">
        <f t="shared" si="0"/>
        <v>25</v>
      </c>
      <c r="BC26" t="str">
        <f t="shared" si="1"/>
        <v>07</v>
      </c>
      <c r="BD26" s="98">
        <f t="shared" si="19"/>
        <v>28</v>
      </c>
      <c r="BE26" t="str">
        <f t="shared" si="3"/>
        <v>4</v>
      </c>
      <c r="BF26" t="str">
        <f t="shared" si="5"/>
        <v>-250728D</v>
      </c>
      <c r="BG26" t="str">
        <f t="shared" si="4"/>
        <v>2025-07</v>
      </c>
    </row>
    <row r="27" spans="1:59">
      <c r="B27" s="1">
        <v>45867</v>
      </c>
      <c r="G27" s="130" t="s">
        <v>887</v>
      </c>
      <c r="H27">
        <v>2</v>
      </c>
      <c r="I27" s="2">
        <f t="shared" ca="1" si="7"/>
        <v>360</v>
      </c>
      <c r="P27" s="130">
        <f>J27+K27+L27+M27+N27+O27</f>
        <v>0</v>
      </c>
      <c r="Q27" s="17">
        <f>(J27*$J$3)+(K27*$K$3)+(L27*$L$3)+(M27*$M$3)+(N27*$N$3)+(O27*$O$3)</f>
        <v>0</v>
      </c>
      <c r="R27">
        <v>0</v>
      </c>
      <c r="S27" s="9">
        <f>IF(Q27&lt;(R27*$R$3),(R27*$R$3),Q27)</f>
        <v>0</v>
      </c>
      <c r="AE27">
        <f ca="1">IF(B27&lt;TODAY(),(R27+X27+Z27+AA27+AB27+AC27),"")</f>
        <v>0</v>
      </c>
      <c r="AF27" s="11">
        <f t="shared" ref="AF27:AF32" ca="1" si="20">IF(B27&lt;TODAY(),((T27*$T$3)+(U27*$U$3)+(V27*$V$3)+(X27*$X$3)+(Z27*$Z$3)+(AA27*$AA$3)+(W27*$W$3)),"")</f>
        <v>0</v>
      </c>
      <c r="AG27" s="99"/>
      <c r="AH27" s="99"/>
      <c r="AI27" s="99"/>
      <c r="AJ27" s="99"/>
      <c r="AK27" s="99"/>
      <c r="AL27" s="99"/>
      <c r="AM27" s="99"/>
      <c r="AN27" s="99"/>
      <c r="AO27" s="99"/>
      <c r="AP27" s="99"/>
      <c r="AQ27" s="99"/>
      <c r="AS27" s="9">
        <f t="shared" si="16"/>
        <v>0</v>
      </c>
      <c r="AT27" s="142">
        <f t="shared" ca="1" si="17"/>
        <v>360</v>
      </c>
      <c r="AU27" s="11">
        <f ca="1">IF(B27&lt;TODAY(),SUM($AT$6:AT27),"")</f>
        <v>58381</v>
      </c>
      <c r="AV27" s="11">
        <f ca="1">IF(B27&lt;TODAY(), SUMIFS($AT$8:AT27, $BG$8:BG27, BG27), "")</f>
        <v>58381</v>
      </c>
      <c r="AW27" s="11" t="str">
        <f t="shared" ca="1" si="18"/>
        <v>No drilling completed today, if maintenance provide context -&gt;</v>
      </c>
      <c r="AX27" s="11"/>
      <c r="AY27" s="15"/>
      <c r="BA27" s="14"/>
      <c r="BB27" t="str">
        <f t="shared" si="0"/>
        <v>25</v>
      </c>
      <c r="BC27" t="str">
        <f t="shared" si="1"/>
        <v>07</v>
      </c>
      <c r="BD27" s="98">
        <f t="shared" si="19"/>
        <v>29</v>
      </c>
      <c r="BE27" t="str">
        <f t="shared" si="3"/>
        <v>4</v>
      </c>
      <c r="BF27" t="str">
        <f t="shared" si="5"/>
        <v>-250729D</v>
      </c>
      <c r="BG27" t="str">
        <f t="shared" si="4"/>
        <v>2025-07</v>
      </c>
    </row>
    <row r="28" spans="1:59">
      <c r="B28" s="1">
        <v>45868</v>
      </c>
      <c r="G28" s="130" t="s">
        <v>887</v>
      </c>
      <c r="H28">
        <v>2</v>
      </c>
      <c r="I28" s="2">
        <f ca="1">IF(B28&lt;TODAY(),H28*$I$3,"")</f>
        <v>360</v>
      </c>
      <c r="P28" s="130">
        <f>J28+K28+L28+M28+N28+O28</f>
        <v>0</v>
      </c>
      <c r="Q28" s="17">
        <f>(J28*$J$3)+(K28*$K$3)+(L28*$L$3)+(M28*$M$3)+(N28*$N$3)+(O28*$O$3)</f>
        <v>0</v>
      </c>
      <c r="R28">
        <v>0</v>
      </c>
      <c r="S28" s="9">
        <f>IF(Q28&lt;(R28*$R$3),(R28*$R$3),Q28)</f>
        <v>0</v>
      </c>
      <c r="T28" s="130">
        <v>3.5</v>
      </c>
      <c r="X28">
        <v>8</v>
      </c>
      <c r="Y28" t="s">
        <v>888</v>
      </c>
      <c r="AC28">
        <v>4</v>
      </c>
      <c r="AE28">
        <f ca="1">IF(B28&lt;TODAY(),(R28+X28+Z28+AA28+AB28+AC28),"")</f>
        <v>12</v>
      </c>
      <c r="AF28" s="11">
        <f t="shared" ca="1" si="20"/>
        <v>7600</v>
      </c>
      <c r="AG28" s="99"/>
      <c r="AH28" s="99"/>
      <c r="AI28" s="99"/>
      <c r="AJ28" s="99"/>
      <c r="AK28" s="99"/>
      <c r="AL28" s="99"/>
      <c r="AM28" s="99">
        <v>0.5</v>
      </c>
      <c r="AN28" s="99"/>
      <c r="AO28" s="99"/>
      <c r="AP28" s="99">
        <v>1</v>
      </c>
      <c r="AQ28" s="99"/>
      <c r="AS28" s="9">
        <f t="shared" si="16"/>
        <v>201.25</v>
      </c>
      <c r="AT28" s="142">
        <f t="shared" ca="1" si="17"/>
        <v>8161.25</v>
      </c>
      <c r="AU28" s="11">
        <f ca="1">IF(B28&lt;TODAY(),SUM($AT$6:AT28),"")</f>
        <v>66542.25</v>
      </c>
      <c r="AV28" s="11">
        <f ca="1">IF(B28&lt;TODAY(), SUMIFS($AT$8:AT28, $BG$8:BG28, BG28), "")</f>
        <v>0</v>
      </c>
      <c r="AW28" s="11" t="str">
        <f t="shared" ca="1" si="18"/>
        <v>No drilling completed today, if maintenance provide context -&gt;</v>
      </c>
      <c r="AX28" s="11"/>
      <c r="AY28" s="15"/>
      <c r="AZ28" s="10"/>
      <c r="BD28"/>
    </row>
    <row r="29" spans="1:59">
      <c r="B29" s="1">
        <v>45869</v>
      </c>
      <c r="C29" s="163" t="s">
        <v>889</v>
      </c>
      <c r="G29" s="130" t="s">
        <v>887</v>
      </c>
      <c r="H29">
        <v>2</v>
      </c>
      <c r="I29" s="2">
        <f t="shared" ref="I29:I36" ca="1" si="21">IF(B29&lt;TODAY(),H29*$I$3,"")</f>
        <v>360</v>
      </c>
      <c r="P29" s="130">
        <f t="shared" si="8"/>
        <v>0</v>
      </c>
      <c r="Q29" s="17">
        <f t="shared" si="9"/>
        <v>0</v>
      </c>
      <c r="R29">
        <v>0</v>
      </c>
      <c r="S29" s="9">
        <f t="shared" si="10"/>
        <v>0</v>
      </c>
      <c r="Y29" t="s">
        <v>890</v>
      </c>
      <c r="Z29">
        <v>12</v>
      </c>
      <c r="AE29">
        <f ca="1">IF(B29&lt;TODAY(),(R29+X29+Z29+AA29+AB29+AC29),"")</f>
        <v>12</v>
      </c>
      <c r="AF29" s="11">
        <f t="shared" ca="1" si="20"/>
        <v>4320</v>
      </c>
      <c r="AG29" s="99"/>
      <c r="AH29" s="99"/>
      <c r="AI29" s="99"/>
      <c r="AJ29" s="99"/>
      <c r="AK29" s="99"/>
      <c r="AL29" s="99"/>
      <c r="AM29" s="99"/>
      <c r="AN29" s="99"/>
      <c r="AO29" s="99"/>
      <c r="AP29" s="99"/>
      <c r="AQ29" s="99"/>
      <c r="AS29" s="9">
        <f t="shared" si="16"/>
        <v>0</v>
      </c>
      <c r="AT29" s="142">
        <f ca="1">IF(ISBLANK(G29),"",I29+S29+AF29+AS29)</f>
        <v>4680</v>
      </c>
      <c r="AU29" s="11">
        <f ca="1">IF(B29&lt;TODAY(),SUM($AT$6:AT29),"")</f>
        <v>71222.25</v>
      </c>
      <c r="AV29" s="11">
        <f ca="1">IF(B29&lt;TODAY(), SUMIFS($AT$8:AT29, $BG$8:BG29, BG29), "")</f>
        <v>63061</v>
      </c>
      <c r="AW29" s="11" t="str">
        <f t="shared" ca="1" si="18"/>
        <v>No drilling completed today, if maintenance provide context -&gt;</v>
      </c>
      <c r="AX29" s="11"/>
      <c r="AY29" s="15"/>
      <c r="AZ29" s="10"/>
      <c r="BA29" s="14"/>
      <c r="BB29" t="str">
        <f t="shared" si="0"/>
        <v>25</v>
      </c>
      <c r="BC29" t="str">
        <f t="shared" si="1"/>
        <v>07</v>
      </c>
      <c r="BD29" s="98">
        <f t="shared" si="19"/>
        <v>31</v>
      </c>
      <c r="BE29" t="str">
        <f t="shared" si="3"/>
        <v>4</v>
      </c>
      <c r="BF29" t="str">
        <f t="shared" si="5"/>
        <v>-250731D</v>
      </c>
      <c r="BG29" t="str">
        <f t="shared" si="4"/>
        <v>2025-07</v>
      </c>
    </row>
    <row r="30" spans="1:59">
      <c r="B30" s="1">
        <v>45870</v>
      </c>
      <c r="C30" s="163" t="s">
        <v>889</v>
      </c>
      <c r="G30" s="130" t="s">
        <v>887</v>
      </c>
      <c r="H30">
        <v>2</v>
      </c>
      <c r="I30" s="2">
        <f t="shared" ca="1" si="21"/>
        <v>360</v>
      </c>
      <c r="P30" s="130">
        <f t="shared" si="8"/>
        <v>0</v>
      </c>
      <c r="Q30" s="17">
        <f t="shared" si="9"/>
        <v>0</v>
      </c>
      <c r="R30">
        <v>0</v>
      </c>
      <c r="S30" s="9">
        <f t="shared" si="10"/>
        <v>0</v>
      </c>
      <c r="X30">
        <v>12</v>
      </c>
      <c r="Y30" t="s">
        <v>891</v>
      </c>
      <c r="AF30" s="11">
        <f t="shared" ca="1" si="20"/>
        <v>11400</v>
      </c>
      <c r="AG30" s="99"/>
      <c r="AH30" s="99"/>
      <c r="AI30" s="99"/>
      <c r="AJ30" s="99"/>
      <c r="AK30" s="99"/>
      <c r="AL30" s="99"/>
      <c r="AM30" s="99">
        <v>2</v>
      </c>
      <c r="AN30" s="99"/>
      <c r="AO30" s="99"/>
      <c r="AP30" s="99">
        <v>2</v>
      </c>
      <c r="AQ30" s="99"/>
      <c r="AS30" s="9">
        <f t="shared" si="16"/>
        <v>431</v>
      </c>
      <c r="AT30" s="142">
        <f t="shared" ca="1" si="17"/>
        <v>12191</v>
      </c>
      <c r="AU30" s="11">
        <f ca="1">IF(B30&lt;TODAY(),SUM($AT$6:AT30),"")</f>
        <v>83413.25</v>
      </c>
      <c r="AV30" s="11">
        <f ca="1">IF(B30&lt;TODAY(), SUMIFS($AT$8:AT30, $BG$8:BG30, BG30), "")</f>
        <v>12191</v>
      </c>
      <c r="AW30" s="11" t="str">
        <f t="shared" ca="1" si="18"/>
        <v>No drilling completed today, if maintenance provide context -&gt;</v>
      </c>
      <c r="AX30" s="11"/>
      <c r="AY30" s="15"/>
      <c r="BA30" s="14"/>
      <c r="BB30" t="str">
        <f t="shared" si="0"/>
        <v>25</v>
      </c>
      <c r="BC30" t="str">
        <f t="shared" si="1"/>
        <v>08</v>
      </c>
      <c r="BD30" s="98">
        <f t="shared" si="19"/>
        <v>1</v>
      </c>
      <c r="BE30" t="str">
        <f t="shared" si="3"/>
        <v>4</v>
      </c>
      <c r="BF30" t="str">
        <f t="shared" si="5"/>
        <v>-25081D</v>
      </c>
      <c r="BG30" t="str">
        <f t="shared" si="4"/>
        <v>2025-08</v>
      </c>
    </row>
    <row r="31" spans="1:59">
      <c r="B31" s="1">
        <v>45871</v>
      </c>
      <c r="G31" s="130" t="s">
        <v>887</v>
      </c>
      <c r="H31">
        <v>3</v>
      </c>
      <c r="I31" s="2">
        <f ca="1">IF(B31&lt;TODAY(),H31*$I$3,"")</f>
        <v>540</v>
      </c>
      <c r="P31" s="130">
        <f t="shared" si="8"/>
        <v>0</v>
      </c>
      <c r="Q31" s="17">
        <f t="shared" si="9"/>
        <v>0</v>
      </c>
      <c r="R31">
        <v>0</v>
      </c>
      <c r="S31" s="9">
        <f t="shared" si="10"/>
        <v>0</v>
      </c>
      <c r="X31">
        <v>5</v>
      </c>
      <c r="Y31" t="s">
        <v>892</v>
      </c>
      <c r="AF31" s="11">
        <f t="shared" ca="1" si="20"/>
        <v>4750</v>
      </c>
      <c r="AG31" s="99"/>
      <c r="AH31" s="99"/>
      <c r="AI31" s="99"/>
      <c r="AJ31" s="99"/>
      <c r="AK31" s="99"/>
      <c r="AL31" s="99"/>
      <c r="AM31" s="99"/>
      <c r="AN31" s="99"/>
      <c r="AO31" s="99"/>
      <c r="AP31" s="99"/>
      <c r="AQ31" s="99">
        <v>15</v>
      </c>
      <c r="AS31" s="9">
        <f t="shared" si="16"/>
        <v>0</v>
      </c>
      <c r="AT31" s="142">
        <f t="shared" ca="1" si="17"/>
        <v>5290</v>
      </c>
      <c r="AU31" s="11">
        <f ca="1">IF(B31&lt;TODAY(),SUM($AT$6:AT31),"")</f>
        <v>88703.25</v>
      </c>
      <c r="AV31" s="11">
        <f ca="1">IF(B31&lt;TODAY(), SUMIFS($AT$8:AT31, $BG$8:BG31, BG31), "")</f>
        <v>17481</v>
      </c>
      <c r="AW31" s="11" t="str">
        <f t="shared" ca="1" si="18"/>
        <v>No drilling completed today, if maintenance provide context -&gt;</v>
      </c>
      <c r="AX31" s="11"/>
      <c r="AY31" s="15"/>
      <c r="BA31" s="14"/>
      <c r="BB31" t="str">
        <f t="shared" si="0"/>
        <v>25</v>
      </c>
      <c r="BC31" t="str">
        <f t="shared" si="1"/>
        <v>08</v>
      </c>
      <c r="BD31" s="98">
        <f t="shared" si="19"/>
        <v>2</v>
      </c>
      <c r="BE31" t="str">
        <f t="shared" si="3"/>
        <v>4</v>
      </c>
      <c r="BF31" t="str">
        <f t="shared" si="5"/>
        <v>-25082D</v>
      </c>
      <c r="BG31" t="str">
        <f t="shared" si="4"/>
        <v>2025-08</v>
      </c>
    </row>
    <row r="32" spans="1:59">
      <c r="B32" s="1">
        <v>45872</v>
      </c>
      <c r="C32" s="163" t="s">
        <v>893</v>
      </c>
      <c r="G32" s="130" t="s">
        <v>887</v>
      </c>
      <c r="H32">
        <v>3</v>
      </c>
      <c r="I32" s="2">
        <f ca="1">IF(B32&lt;TODAY(),H32*$I$3,"")</f>
        <v>540</v>
      </c>
      <c r="L32">
        <v>8</v>
      </c>
      <c r="P32" s="130">
        <f t="shared" si="8"/>
        <v>8</v>
      </c>
      <c r="Q32" s="17">
        <f t="shared" si="9"/>
        <v>2360</v>
      </c>
      <c r="R32">
        <v>0</v>
      </c>
      <c r="S32" s="9">
        <f t="shared" si="10"/>
        <v>2360</v>
      </c>
      <c r="U32">
        <v>2</v>
      </c>
      <c r="X32">
        <v>11.5</v>
      </c>
      <c r="AF32" s="11">
        <f t="shared" ca="1" si="20"/>
        <v>10925</v>
      </c>
      <c r="AG32" s="99"/>
      <c r="AH32" s="99"/>
      <c r="AI32" s="99"/>
      <c r="AJ32" s="99">
        <v>6</v>
      </c>
      <c r="AK32" s="99"/>
      <c r="AL32" s="99"/>
      <c r="AM32" s="99"/>
      <c r="AN32" s="99"/>
      <c r="AO32" s="99"/>
      <c r="AP32" s="99"/>
      <c r="AQ32" s="99"/>
      <c r="AS32" s="9">
        <f t="shared" si="16"/>
        <v>1056</v>
      </c>
      <c r="AT32" s="142">
        <f t="shared" ca="1" si="17"/>
        <v>14881</v>
      </c>
      <c r="AU32" s="11">
        <f ca="1">IF(B32&lt;TODAY(),SUM($AT$6:AT32),"")</f>
        <v>103584.25</v>
      </c>
      <c r="AV32" s="11">
        <f ca="1">IF(B32&lt;TODAY(), SUMIFS($AT$8:AT32, $BG$8:BG32, BG32), "")</f>
        <v>32362</v>
      </c>
      <c r="AW32" s="11">
        <f t="shared" ca="1" si="18"/>
        <v>1860.125</v>
      </c>
      <c r="AX32" s="11"/>
      <c r="AY32" s="15"/>
      <c r="BA32" s="14"/>
      <c r="BB32" t="str">
        <f t="shared" si="0"/>
        <v>25</v>
      </c>
      <c r="BC32" t="str">
        <f t="shared" si="1"/>
        <v>08</v>
      </c>
      <c r="BD32" s="98">
        <f t="shared" si="19"/>
        <v>3</v>
      </c>
      <c r="BE32" t="str">
        <f t="shared" si="3"/>
        <v>4</v>
      </c>
      <c r="BF32" t="str">
        <f t="shared" si="5"/>
        <v>-25083D</v>
      </c>
      <c r="BG32" t="str">
        <f t="shared" si="4"/>
        <v>2025-08</v>
      </c>
    </row>
    <row r="33" spans="2:59">
      <c r="B33" s="1">
        <v>45873</v>
      </c>
      <c r="G33" s="130" t="s">
        <v>887</v>
      </c>
      <c r="H33">
        <v>2</v>
      </c>
      <c r="I33" s="2">
        <f ca="1">IF(B33&lt;TODAY(),H33*$I$3,"")</f>
        <v>360</v>
      </c>
      <c r="P33" s="130">
        <f t="shared" si="8"/>
        <v>0</v>
      </c>
      <c r="Q33" s="17">
        <f t="shared" si="9"/>
        <v>0</v>
      </c>
      <c r="R33">
        <v>0</v>
      </c>
      <c r="S33" s="9">
        <f t="shared" si="10"/>
        <v>0</v>
      </c>
      <c r="AF33" s="11">
        <f t="shared" ref="AF33:AF42" ca="1" si="22">IF(B33&lt;TODAY(),((T33*$T$3)+(U33*$U$3)+(V33*$V$3)+(X33*$X$3)+(Z33*$Z$3)+(AA33*$AA$3)+(W33*$W$3)),"")</f>
        <v>0</v>
      </c>
      <c r="AG33" s="99"/>
      <c r="AH33" s="99"/>
      <c r="AI33" s="99"/>
      <c r="AJ33" s="99"/>
      <c r="AK33" s="99"/>
      <c r="AL33" s="99"/>
      <c r="AM33" s="99"/>
      <c r="AN33" s="99"/>
      <c r="AO33" s="99"/>
      <c r="AP33" s="99"/>
      <c r="AQ33" s="99"/>
      <c r="AS33" s="9">
        <f t="shared" si="16"/>
        <v>0</v>
      </c>
      <c r="AT33" s="142">
        <f t="shared" ca="1" si="17"/>
        <v>360</v>
      </c>
      <c r="AU33" s="11">
        <f ca="1">IF(B33&lt;TODAY(),SUM($AT$6:AT33),"")</f>
        <v>103944.25</v>
      </c>
      <c r="AV33" s="11">
        <f ca="1">IF(B33&lt;TODAY(), SUMIFS($AT$8:AT33, $BG$8:BG33, BG33), "")</f>
        <v>32722</v>
      </c>
      <c r="AW33" s="11" t="str">
        <f t="shared" ca="1" si="18"/>
        <v>No drilling completed today, if maintenance provide context -&gt;</v>
      </c>
      <c r="AX33" s="11"/>
      <c r="AY33" s="15"/>
      <c r="BA33" s="14"/>
      <c r="BB33" t="str">
        <f t="shared" si="0"/>
        <v>25</v>
      </c>
      <c r="BC33" t="str">
        <f t="shared" si="1"/>
        <v>08</v>
      </c>
      <c r="BD33" s="98">
        <f t="shared" si="19"/>
        <v>4</v>
      </c>
      <c r="BE33" t="str">
        <f t="shared" si="3"/>
        <v>4</v>
      </c>
      <c r="BF33" t="str">
        <f t="shared" si="5"/>
        <v>-25084D</v>
      </c>
      <c r="BG33" t="str">
        <f t="shared" si="4"/>
        <v>2025-08</v>
      </c>
    </row>
    <row r="34" spans="2:59">
      <c r="B34" s="1">
        <v>45874</v>
      </c>
      <c r="I34" s="2">
        <f t="shared" ca="1" si="21"/>
        <v>0</v>
      </c>
      <c r="P34" s="130">
        <f t="shared" si="8"/>
        <v>0</v>
      </c>
      <c r="Q34" s="17">
        <f t="shared" si="9"/>
        <v>0</v>
      </c>
      <c r="R34">
        <v>0</v>
      </c>
      <c r="S34" s="9">
        <f t="shared" si="10"/>
        <v>0</v>
      </c>
      <c r="AF34" s="11">
        <f t="shared" ca="1" si="22"/>
        <v>0</v>
      </c>
      <c r="AG34" s="99"/>
      <c r="AH34" s="99"/>
      <c r="AI34" s="99"/>
      <c r="AJ34" s="99"/>
      <c r="AK34" s="99"/>
      <c r="AL34" s="99"/>
      <c r="AM34" s="99"/>
      <c r="AN34" s="99"/>
      <c r="AO34" s="99"/>
      <c r="AP34" s="99"/>
      <c r="AQ34" s="99"/>
      <c r="AS34" s="9">
        <f t="shared" si="16"/>
        <v>0</v>
      </c>
      <c r="AT34" s="142" t="str">
        <f t="shared" si="17"/>
        <v/>
      </c>
      <c r="AU34" s="11">
        <f ca="1">IF(B34&lt;TODAY(),SUM($AT$6:AT34),"")</f>
        <v>103944.25</v>
      </c>
      <c r="AV34" s="11">
        <f ca="1">IF(B34&lt;TODAY(), SUMIFS($AT$8:AT34, $BG$8:BG34, BG34), "")</f>
        <v>32722</v>
      </c>
      <c r="AW34" s="11" t="str">
        <f t="shared" ca="1" si="18"/>
        <v>No drilling completed today, if maintenance provide context -&gt;</v>
      </c>
      <c r="AX34" s="11"/>
      <c r="AY34" s="15"/>
      <c r="BA34" s="14"/>
      <c r="BB34" t="str">
        <f t="shared" si="0"/>
        <v>25</v>
      </c>
      <c r="BC34" t="str">
        <f t="shared" si="1"/>
        <v>08</v>
      </c>
      <c r="BD34" s="98">
        <f t="shared" si="19"/>
        <v>5</v>
      </c>
      <c r="BE34" t="str">
        <f t="shared" si="3"/>
        <v>4</v>
      </c>
      <c r="BF34" t="str">
        <f t="shared" si="5"/>
        <v>-25085D</v>
      </c>
      <c r="BG34" t="str">
        <f t="shared" si="4"/>
        <v>2025-08</v>
      </c>
    </row>
    <row r="35" spans="2:59">
      <c r="B35" s="1">
        <v>45875</v>
      </c>
      <c r="I35" s="2">
        <f t="shared" ca="1" si="21"/>
        <v>0</v>
      </c>
      <c r="P35" s="130">
        <f t="shared" si="8"/>
        <v>0</v>
      </c>
      <c r="Q35" s="17">
        <f t="shared" si="9"/>
        <v>0</v>
      </c>
      <c r="R35">
        <v>0</v>
      </c>
      <c r="S35" s="9">
        <f>IF(Q35&lt;(R35*$R$3),(R35*$R$3),Q35)</f>
        <v>0</v>
      </c>
      <c r="AF35" s="11">
        <f t="shared" ca="1" si="22"/>
        <v>0</v>
      </c>
      <c r="AG35" s="99"/>
      <c r="AH35" s="99"/>
      <c r="AI35" s="99"/>
      <c r="AJ35" s="99"/>
      <c r="AK35" s="99"/>
      <c r="AL35" s="99"/>
      <c r="AM35" s="99"/>
      <c r="AN35" s="99"/>
      <c r="AO35" s="99"/>
      <c r="AP35" s="99"/>
      <c r="AQ35" s="99"/>
      <c r="AS35" s="9">
        <f t="shared" si="16"/>
        <v>0</v>
      </c>
      <c r="AT35" s="142" t="str">
        <f t="shared" si="17"/>
        <v/>
      </c>
      <c r="AU35" s="11">
        <f ca="1">IF(B35&lt;TODAY(),SUM($AT$6:AT35),"")</f>
        <v>103944.25</v>
      </c>
      <c r="AV35" s="11">
        <f ca="1">IF(B35&lt;TODAY(), SUMIFS($AT$8:AT35, $BG$8:BG35, BG35), "")</f>
        <v>32722</v>
      </c>
      <c r="AW35" s="11" t="str">
        <f t="shared" ca="1" si="18"/>
        <v>No drilling completed today, if maintenance provide context -&gt;</v>
      </c>
      <c r="AX35" s="11"/>
      <c r="AY35" s="15"/>
      <c r="BA35" s="14"/>
      <c r="BB35" t="str">
        <f t="shared" si="0"/>
        <v>25</v>
      </c>
      <c r="BC35" t="str">
        <f t="shared" si="1"/>
        <v>08</v>
      </c>
      <c r="BD35" s="98">
        <f t="shared" si="19"/>
        <v>6</v>
      </c>
      <c r="BE35" t="str">
        <f t="shared" si="3"/>
        <v>4</v>
      </c>
      <c r="BF35" t="str">
        <f t="shared" si="5"/>
        <v>-25086D</v>
      </c>
      <c r="BG35" t="str">
        <f t="shared" si="4"/>
        <v>2025-08</v>
      </c>
    </row>
    <row r="36" spans="2:59">
      <c r="B36" s="1">
        <v>45876</v>
      </c>
      <c r="I36" s="2">
        <f t="shared" ca="1" si="21"/>
        <v>0</v>
      </c>
      <c r="P36" s="130">
        <f t="shared" si="8"/>
        <v>0</v>
      </c>
      <c r="Q36" s="17">
        <f t="shared" si="9"/>
        <v>0</v>
      </c>
      <c r="R36">
        <v>0</v>
      </c>
      <c r="S36" s="9">
        <f t="shared" si="10"/>
        <v>0</v>
      </c>
      <c r="AF36" s="11">
        <f t="shared" ca="1" si="22"/>
        <v>0</v>
      </c>
      <c r="AG36" s="99"/>
      <c r="AH36" s="99"/>
      <c r="AI36" s="99"/>
      <c r="AJ36" s="99"/>
      <c r="AK36" s="99"/>
      <c r="AL36" s="99"/>
      <c r="AM36" s="99"/>
      <c r="AN36" s="99"/>
      <c r="AO36" s="99"/>
      <c r="AP36" s="99"/>
      <c r="AQ36" s="99"/>
      <c r="AS36" s="9">
        <f t="shared" si="16"/>
        <v>0</v>
      </c>
      <c r="AT36" s="142" t="str">
        <f t="shared" si="17"/>
        <v/>
      </c>
      <c r="AU36" s="11">
        <f ca="1">IF(B36&lt;TODAY(),SUM($AT$6:AT36),"")</f>
        <v>103944.25</v>
      </c>
      <c r="AV36" s="11">
        <f ca="1">IF(B36&lt;TODAY(), SUMIFS($AT$8:AT36, $BG$8:BG36, BG36), "")</f>
        <v>32722</v>
      </c>
      <c r="AW36" s="11" t="str">
        <f t="shared" ca="1" si="18"/>
        <v>No drilling completed today, if maintenance provide context -&gt;</v>
      </c>
      <c r="AX36" s="11"/>
      <c r="AY36" s="15"/>
      <c r="BA36" s="14"/>
      <c r="BB36" t="str">
        <f t="shared" si="0"/>
        <v>25</v>
      </c>
      <c r="BC36" t="str">
        <f t="shared" si="1"/>
        <v>08</v>
      </c>
      <c r="BD36" s="98">
        <f t="shared" si="19"/>
        <v>7</v>
      </c>
      <c r="BE36" t="str">
        <f t="shared" si="3"/>
        <v>4</v>
      </c>
      <c r="BF36" t="str">
        <f t="shared" si="5"/>
        <v>-25087D</v>
      </c>
      <c r="BG36" t="str">
        <f t="shared" si="4"/>
        <v>2025-08</v>
      </c>
    </row>
    <row r="37" spans="2:59">
      <c r="B37" s="1">
        <v>45877</v>
      </c>
      <c r="I37" s="2"/>
      <c r="P37" s="130">
        <f t="shared" si="8"/>
        <v>0</v>
      </c>
      <c r="Q37" s="17">
        <f t="shared" si="9"/>
        <v>0</v>
      </c>
      <c r="R37">
        <v>0</v>
      </c>
      <c r="S37" s="9">
        <f t="shared" si="10"/>
        <v>0</v>
      </c>
      <c r="AF37" s="11">
        <f t="shared" ca="1" si="22"/>
        <v>0</v>
      </c>
      <c r="AG37" s="99"/>
      <c r="AH37" s="99"/>
      <c r="AI37" s="99"/>
      <c r="AJ37" s="99"/>
      <c r="AK37" s="99"/>
      <c r="AL37" s="99"/>
      <c r="AM37" s="99"/>
      <c r="AN37" s="99"/>
      <c r="AO37" s="99"/>
      <c r="AP37" s="99"/>
      <c r="AQ37" s="99"/>
      <c r="AS37" s="9">
        <f t="shared" si="16"/>
        <v>0</v>
      </c>
      <c r="AT37" s="142" t="str">
        <f t="shared" si="17"/>
        <v/>
      </c>
      <c r="AU37" s="11">
        <f ca="1">IF(B37&lt;TODAY(),SUM($AT$6:AT37),"")</f>
        <v>103944.25</v>
      </c>
      <c r="AV37" s="11">
        <f ca="1">IF(B37&lt;TODAY(), SUMIFS($AT$8:AT37, $BG$8:BG37, BG37), "")</f>
        <v>32722</v>
      </c>
      <c r="AW37" s="11" t="str">
        <f t="shared" ca="1" si="18"/>
        <v>No drilling completed today, if maintenance provide context -&gt;</v>
      </c>
      <c r="AX37" s="11"/>
      <c r="AY37" s="15"/>
      <c r="BA37" s="14"/>
      <c r="BB37" t="str">
        <f t="shared" si="0"/>
        <v>25</v>
      </c>
      <c r="BC37" t="str">
        <f t="shared" si="1"/>
        <v>08</v>
      </c>
      <c r="BD37" s="98">
        <f t="shared" si="19"/>
        <v>8</v>
      </c>
      <c r="BE37" t="str">
        <f t="shared" si="3"/>
        <v>4</v>
      </c>
      <c r="BF37" t="str">
        <f t="shared" si="5"/>
        <v>-25088D</v>
      </c>
      <c r="BG37" t="str">
        <f t="shared" si="4"/>
        <v>2025-08</v>
      </c>
    </row>
    <row r="38" spans="2:59">
      <c r="B38" s="1">
        <v>45878</v>
      </c>
      <c r="I38" s="2"/>
      <c r="P38" s="130">
        <f t="shared" si="8"/>
        <v>0</v>
      </c>
      <c r="Q38" s="17">
        <f t="shared" si="9"/>
        <v>0</v>
      </c>
      <c r="R38">
        <v>0</v>
      </c>
      <c r="S38" s="9">
        <f t="shared" si="10"/>
        <v>0</v>
      </c>
      <c r="AF38" s="11">
        <f t="shared" ca="1" si="22"/>
        <v>0</v>
      </c>
      <c r="AG38" s="99"/>
      <c r="AH38" s="99"/>
      <c r="AI38" s="99"/>
      <c r="AJ38" s="99"/>
      <c r="AK38" s="99"/>
      <c r="AL38" s="99"/>
      <c r="AM38" s="99"/>
      <c r="AN38" s="99"/>
      <c r="AO38" s="99"/>
      <c r="AP38" s="99"/>
      <c r="AQ38" s="99"/>
      <c r="AS38" s="9">
        <f t="shared" si="16"/>
        <v>0</v>
      </c>
      <c r="AT38" s="142" t="str">
        <f t="shared" si="17"/>
        <v/>
      </c>
      <c r="AU38" s="11">
        <f ca="1">IF(B38&lt;TODAY(),SUM($AT$6:AT38),"")</f>
        <v>103944.25</v>
      </c>
      <c r="AV38" s="11">
        <f ca="1">IF(B38&lt;TODAY(), SUMIFS($AT$8:AT38, $BG$8:BG38, BG38), "")</f>
        <v>32722</v>
      </c>
      <c r="AW38" s="11" t="str">
        <f t="shared" ca="1" si="18"/>
        <v>No drilling completed today, if maintenance provide context -&gt;</v>
      </c>
      <c r="AX38" s="11"/>
      <c r="AY38" s="15"/>
      <c r="BA38" s="14"/>
      <c r="BB38" t="str">
        <f t="shared" si="0"/>
        <v>25</v>
      </c>
      <c r="BC38" t="str">
        <f t="shared" si="1"/>
        <v>08</v>
      </c>
      <c r="BD38" s="98">
        <f t="shared" si="19"/>
        <v>9</v>
      </c>
      <c r="BE38" t="str">
        <f t="shared" si="3"/>
        <v>4</v>
      </c>
      <c r="BF38" t="str">
        <f t="shared" si="5"/>
        <v>-25089D</v>
      </c>
      <c r="BG38" t="str">
        <f t="shared" si="4"/>
        <v>2025-08</v>
      </c>
    </row>
    <row r="39" spans="2:59">
      <c r="B39" s="1">
        <v>45879</v>
      </c>
      <c r="I39" s="2"/>
      <c r="P39" s="130">
        <f t="shared" si="8"/>
        <v>0</v>
      </c>
      <c r="Q39" s="17">
        <f t="shared" si="9"/>
        <v>0</v>
      </c>
      <c r="R39">
        <v>0</v>
      </c>
      <c r="S39">
        <f t="shared" si="10"/>
        <v>0</v>
      </c>
      <c r="AF39" s="11">
        <f t="shared" ca="1" si="22"/>
        <v>0</v>
      </c>
      <c r="AG39" s="99"/>
      <c r="AH39" s="99"/>
      <c r="AI39" s="99"/>
      <c r="AJ39" s="99"/>
      <c r="AK39" s="99"/>
      <c r="AL39" s="99"/>
      <c r="AM39" s="99"/>
      <c r="AN39" s="99"/>
      <c r="AO39" s="99"/>
      <c r="AP39" s="99"/>
      <c r="AQ39" s="99"/>
      <c r="AS39" s="9">
        <f t="shared" si="16"/>
        <v>0</v>
      </c>
      <c r="AT39" s="142" t="str">
        <f t="shared" si="17"/>
        <v/>
      </c>
      <c r="AU39" s="11">
        <f ca="1">IF(B39&lt;TODAY(),SUM($AT$6:AT39),"")</f>
        <v>103944.25</v>
      </c>
      <c r="AV39" s="11">
        <f ca="1">IF(B39&lt;TODAY(), SUMIFS($AT$8:AT39, $BG$8:BG39, BG39), "")</f>
        <v>32722</v>
      </c>
      <c r="AW39" s="11" t="str">
        <f t="shared" ca="1" si="18"/>
        <v>No drilling completed today, if maintenance provide context -&gt;</v>
      </c>
      <c r="AX39" s="11"/>
      <c r="AY39" s="15"/>
      <c r="BA39" s="14"/>
      <c r="BB39" t="str">
        <f t="shared" si="0"/>
        <v>25</v>
      </c>
      <c r="BC39" t="str">
        <f t="shared" si="1"/>
        <v>08</v>
      </c>
      <c r="BD39" s="98">
        <f t="shared" si="19"/>
        <v>10</v>
      </c>
      <c r="BE39" t="str">
        <f t="shared" si="3"/>
        <v>4</v>
      </c>
      <c r="BF39" t="str">
        <f t="shared" si="5"/>
        <v>-250810D</v>
      </c>
      <c r="BG39" t="str">
        <f t="shared" si="4"/>
        <v>2025-08</v>
      </c>
    </row>
    <row r="40" spans="2:59">
      <c r="B40" s="1">
        <v>45880</v>
      </c>
      <c r="I40" s="2"/>
      <c r="P40" s="130">
        <f t="shared" si="8"/>
        <v>0</v>
      </c>
      <c r="Q40" s="17">
        <f t="shared" si="9"/>
        <v>0</v>
      </c>
      <c r="R40">
        <v>0</v>
      </c>
      <c r="S40" s="9">
        <f t="shared" si="10"/>
        <v>0</v>
      </c>
      <c r="AF40" s="11">
        <f t="shared" ca="1" si="22"/>
        <v>0</v>
      </c>
      <c r="AG40" s="99"/>
      <c r="AH40" s="99"/>
      <c r="AI40" s="99"/>
      <c r="AJ40" s="99"/>
      <c r="AK40" s="99"/>
      <c r="AL40" s="99"/>
      <c r="AM40" s="99"/>
      <c r="AN40" s="99"/>
      <c r="AO40" s="99"/>
      <c r="AP40" s="99"/>
      <c r="AQ40" s="99"/>
      <c r="AS40" s="9">
        <f t="shared" si="16"/>
        <v>0</v>
      </c>
      <c r="AT40" s="142" t="str">
        <f t="shared" si="17"/>
        <v/>
      </c>
      <c r="AU40" s="11">
        <f ca="1">IF(B40&lt;TODAY(),SUM($AT$6:AT40),"")</f>
        <v>103944.25</v>
      </c>
      <c r="AV40" s="11">
        <f ca="1">IF(B40&lt;TODAY(), SUMIFS($AT$8:AT40, $BG$8:BG40, BG40), "")</f>
        <v>32722</v>
      </c>
      <c r="AW40" s="11" t="str">
        <f t="shared" ca="1" si="18"/>
        <v>No drilling completed today, if maintenance provide context -&gt;</v>
      </c>
      <c r="AX40" s="11"/>
      <c r="AY40" s="15"/>
      <c r="BA40" s="14"/>
      <c r="BB40" t="str">
        <f t="shared" ref="BB40:BB71" si="23">RIGHT(YEAR(B40),2)</f>
        <v>25</v>
      </c>
      <c r="BC40" t="str">
        <f t="shared" ref="BC40:BC71" si="24">_xlfn.TEXTJOIN(,TRUE,"0",MONTH(B40))</f>
        <v>08</v>
      </c>
      <c r="BD40" s="98">
        <f t="shared" si="19"/>
        <v>11</v>
      </c>
      <c r="BE40" t="str">
        <f t="shared" ref="BE40:BE71" si="25">LEFT(B40,1)</f>
        <v>4</v>
      </c>
      <c r="BF40" t="str">
        <f t="shared" si="5"/>
        <v>-250811D</v>
      </c>
      <c r="BG40" t="str">
        <f t="shared" ref="BG40:BG71" si="26">TEXT(B40, "yyyy-mm")</f>
        <v>2025-08</v>
      </c>
    </row>
    <row r="41" spans="2:59">
      <c r="B41" s="1">
        <v>45881</v>
      </c>
      <c r="P41" s="130">
        <f t="shared" si="8"/>
        <v>0</v>
      </c>
      <c r="Q41" s="17">
        <f t="shared" si="9"/>
        <v>0</v>
      </c>
      <c r="R41">
        <v>0</v>
      </c>
      <c r="S41" s="9">
        <f t="shared" si="10"/>
        <v>0</v>
      </c>
      <c r="AF41" s="11">
        <f t="shared" ca="1" si="22"/>
        <v>0</v>
      </c>
      <c r="AG41" s="99"/>
      <c r="AH41" s="99"/>
      <c r="AI41" s="99"/>
      <c r="AJ41" s="99"/>
      <c r="AK41" s="99"/>
      <c r="AL41" s="99"/>
      <c r="AM41" s="99"/>
      <c r="AN41" s="99"/>
      <c r="AO41" s="99"/>
      <c r="AP41" s="99"/>
      <c r="AQ41" s="99"/>
      <c r="AS41" s="9">
        <f t="shared" si="16"/>
        <v>0</v>
      </c>
      <c r="AT41" s="142" t="str">
        <f t="shared" si="17"/>
        <v/>
      </c>
      <c r="AU41" s="11">
        <f ca="1">IF(B41&lt;TODAY(),SUM($AT$6:AT41),"")</f>
        <v>103944.25</v>
      </c>
      <c r="AV41" s="11">
        <f ca="1">IF(B41&lt;TODAY(), SUMIFS($AT$8:AT41, $BG$8:BG41, BG41), "")</f>
        <v>32722</v>
      </c>
      <c r="AW41" s="11" t="str">
        <f t="shared" ca="1" si="18"/>
        <v>No drilling completed today, if maintenance provide context -&gt;</v>
      </c>
      <c r="AX41" s="11"/>
      <c r="AY41" s="15"/>
      <c r="BA41" s="14"/>
      <c r="BB41" t="str">
        <f t="shared" si="23"/>
        <v>25</v>
      </c>
      <c r="BC41" t="str">
        <f t="shared" si="24"/>
        <v>08</v>
      </c>
      <c r="BD41" s="98">
        <f t="shared" si="19"/>
        <v>12</v>
      </c>
      <c r="BE41" t="str">
        <f t="shared" si="25"/>
        <v>4</v>
      </c>
      <c r="BF41" t="str">
        <f t="shared" si="5"/>
        <v>-250812D</v>
      </c>
      <c r="BG41" t="str">
        <f t="shared" si="26"/>
        <v>2025-08</v>
      </c>
    </row>
    <row r="42" spans="2:59">
      <c r="B42" s="1">
        <v>45882</v>
      </c>
      <c r="P42" s="130">
        <f t="shared" si="8"/>
        <v>0</v>
      </c>
      <c r="Q42" s="17">
        <f t="shared" si="9"/>
        <v>0</v>
      </c>
      <c r="R42">
        <v>0</v>
      </c>
      <c r="S42" s="9">
        <f t="shared" si="10"/>
        <v>0</v>
      </c>
      <c r="AF42" s="11">
        <f t="shared" ca="1" si="22"/>
        <v>0</v>
      </c>
      <c r="AG42" s="99"/>
      <c r="AH42" s="99"/>
      <c r="AI42" s="99"/>
      <c r="AJ42" s="99"/>
      <c r="AK42" s="99"/>
      <c r="AL42" s="99"/>
      <c r="AM42" s="99"/>
      <c r="AN42" s="99"/>
      <c r="AO42" s="99"/>
      <c r="AP42" s="99"/>
      <c r="AQ42" s="99"/>
      <c r="AS42" s="9">
        <f t="shared" si="16"/>
        <v>0</v>
      </c>
      <c r="AT42" s="142" t="str">
        <f t="shared" si="17"/>
        <v/>
      </c>
      <c r="AU42" s="11">
        <f ca="1">IF(B42&lt;TODAY(),SUM($AT$6:AT42),"")</f>
        <v>103944.25</v>
      </c>
      <c r="AV42" s="11">
        <f ca="1">IF(B42&lt;TODAY(), SUMIFS($AT$8:AT42, $BG$8:BG42, BG42), "")</f>
        <v>32722</v>
      </c>
      <c r="AW42" s="11" t="str">
        <f t="shared" ca="1" si="18"/>
        <v>No drilling completed today, if maintenance provide context -&gt;</v>
      </c>
      <c r="AY42" s="15"/>
      <c r="BA42" s="14"/>
      <c r="BB42" t="str">
        <f t="shared" si="23"/>
        <v>25</v>
      </c>
      <c r="BC42" t="str">
        <f t="shared" si="24"/>
        <v>08</v>
      </c>
      <c r="BD42" s="98">
        <f t="shared" si="19"/>
        <v>13</v>
      </c>
      <c r="BE42" t="str">
        <f t="shared" si="25"/>
        <v>4</v>
      </c>
      <c r="BF42" t="str">
        <f t="shared" si="5"/>
        <v>-250813D</v>
      </c>
      <c r="BG42" t="str">
        <f t="shared" si="26"/>
        <v>2025-08</v>
      </c>
    </row>
    <row r="43" spans="2:59">
      <c r="B43" s="1">
        <v>45883</v>
      </c>
      <c r="P43" s="130">
        <f t="shared" si="8"/>
        <v>0</v>
      </c>
      <c r="Q43" s="17">
        <f t="shared" si="9"/>
        <v>0</v>
      </c>
      <c r="R43">
        <v>0</v>
      </c>
      <c r="S43" s="9">
        <f t="shared" si="10"/>
        <v>0</v>
      </c>
      <c r="AG43" s="99"/>
      <c r="AH43" s="99"/>
      <c r="AI43" s="99"/>
      <c r="AJ43" s="99"/>
      <c r="AK43" s="99"/>
      <c r="AL43" s="99"/>
      <c r="AM43" s="99"/>
      <c r="AN43" s="99"/>
      <c r="AO43" s="99"/>
      <c r="AP43" s="99"/>
      <c r="AQ43" s="99"/>
      <c r="AS43" s="9">
        <f t="shared" si="16"/>
        <v>0</v>
      </c>
      <c r="AU43" s="11">
        <f ca="1">IF(B43&lt;TODAY(),SUM($AT$6:AT43),"")</f>
        <v>103944.25</v>
      </c>
      <c r="AV43" s="11">
        <f ca="1">IF(B43&lt;TODAY(), SUMIFS($AT$8:AT43, $BG$8:BG43, BG43), "")</f>
        <v>32722</v>
      </c>
      <c r="AY43" s="15"/>
      <c r="BA43" s="14"/>
      <c r="BB43" t="str">
        <f t="shared" si="23"/>
        <v>25</v>
      </c>
      <c r="BC43" t="str">
        <f t="shared" si="24"/>
        <v>08</v>
      </c>
      <c r="BD43" s="98">
        <f t="shared" si="19"/>
        <v>14</v>
      </c>
      <c r="BE43" t="str">
        <f t="shared" si="25"/>
        <v>4</v>
      </c>
      <c r="BF43" t="str">
        <f t="shared" si="5"/>
        <v>-250814D</v>
      </c>
      <c r="BG43" t="str">
        <f t="shared" si="26"/>
        <v>2025-08</v>
      </c>
    </row>
    <row r="44" spans="2:59">
      <c r="B44" s="1">
        <v>45884</v>
      </c>
      <c r="P44" s="130">
        <f t="shared" si="8"/>
        <v>0</v>
      </c>
      <c r="Q44" s="17">
        <f t="shared" si="9"/>
        <v>0</v>
      </c>
      <c r="R44">
        <v>0</v>
      </c>
      <c r="S44" s="9">
        <f t="shared" si="10"/>
        <v>0</v>
      </c>
      <c r="AG44" s="99"/>
      <c r="AH44" s="99"/>
      <c r="AI44" s="99"/>
      <c r="AJ44" s="99"/>
      <c r="AK44" s="99"/>
      <c r="AL44" s="99"/>
      <c r="AM44" s="99"/>
      <c r="AN44" s="99"/>
      <c r="AO44" s="99"/>
      <c r="AP44" s="99"/>
      <c r="AQ44" s="99"/>
      <c r="AS44" s="9">
        <f t="shared" si="16"/>
        <v>0</v>
      </c>
      <c r="AU44" s="11">
        <f ca="1">IF(B44&lt;TODAY(),SUM($AT$6:AT44),"")</f>
        <v>103944.25</v>
      </c>
      <c r="AV44" s="11">
        <f ca="1">IF(B44&lt;TODAY(), SUMIFS($AT$8:AT44, $BG$8:BG44, BG44), "")</f>
        <v>32722</v>
      </c>
      <c r="AY44" s="15"/>
      <c r="BA44" s="14"/>
      <c r="BB44" t="str">
        <f t="shared" si="23"/>
        <v>25</v>
      </c>
      <c r="BC44" t="str">
        <f t="shared" si="24"/>
        <v>08</v>
      </c>
      <c r="BD44" s="98">
        <f t="shared" si="19"/>
        <v>15</v>
      </c>
      <c r="BE44" t="str">
        <f t="shared" si="25"/>
        <v>4</v>
      </c>
      <c r="BF44" t="str">
        <f t="shared" si="5"/>
        <v>-250815D</v>
      </c>
      <c r="BG44" t="str">
        <f t="shared" si="26"/>
        <v>2025-08</v>
      </c>
    </row>
    <row r="45" spans="2:59">
      <c r="B45" s="1">
        <v>45885</v>
      </c>
      <c r="P45" s="130">
        <f t="shared" si="8"/>
        <v>0</v>
      </c>
      <c r="Q45" s="17">
        <f t="shared" si="9"/>
        <v>0</v>
      </c>
      <c r="R45">
        <v>0</v>
      </c>
      <c r="S45" s="9">
        <f t="shared" si="10"/>
        <v>0</v>
      </c>
      <c r="AG45" s="99"/>
      <c r="AH45" s="99"/>
      <c r="AI45" s="99"/>
      <c r="AJ45" s="99"/>
      <c r="AK45" s="99"/>
      <c r="AL45" s="99"/>
      <c r="AM45" s="99"/>
      <c r="AN45" s="99"/>
      <c r="AO45" s="99"/>
      <c r="AP45" s="99"/>
      <c r="AQ45" s="99"/>
      <c r="AS45" s="9">
        <f t="shared" si="16"/>
        <v>0</v>
      </c>
      <c r="AU45" s="11">
        <f ca="1">IF(B45&lt;TODAY(),SUM($AT$6:AT45),"")</f>
        <v>103944.25</v>
      </c>
      <c r="AV45" s="11">
        <f ca="1">IF(B45&lt;TODAY(), SUMIFS($AT$8:AT45, $BG$8:BG45, BG45), "")</f>
        <v>32722</v>
      </c>
      <c r="AY45" s="15"/>
      <c r="BA45" s="14"/>
      <c r="BB45" t="str">
        <f t="shared" si="23"/>
        <v>25</v>
      </c>
      <c r="BC45" t="str">
        <f t="shared" si="24"/>
        <v>08</v>
      </c>
      <c r="BD45" s="98">
        <f t="shared" si="19"/>
        <v>16</v>
      </c>
      <c r="BE45" t="str">
        <f t="shared" si="25"/>
        <v>4</v>
      </c>
      <c r="BF45" t="str">
        <f t="shared" si="5"/>
        <v>-250816D</v>
      </c>
      <c r="BG45" t="str">
        <f t="shared" si="26"/>
        <v>2025-08</v>
      </c>
    </row>
    <row r="46" spans="2:59">
      <c r="B46" s="1">
        <v>45886</v>
      </c>
      <c r="P46" s="130">
        <f t="shared" si="8"/>
        <v>0</v>
      </c>
      <c r="Q46" s="17">
        <f t="shared" si="9"/>
        <v>0</v>
      </c>
      <c r="R46">
        <v>0</v>
      </c>
      <c r="S46" s="9">
        <f t="shared" si="10"/>
        <v>0</v>
      </c>
      <c r="AG46" s="99"/>
      <c r="AH46" s="99"/>
      <c r="AI46" s="99"/>
      <c r="AJ46" s="99"/>
      <c r="AK46" s="99"/>
      <c r="AL46" s="99"/>
      <c r="AM46" s="99"/>
      <c r="AN46" s="99"/>
      <c r="AO46" s="99"/>
      <c r="AP46" s="99"/>
      <c r="AQ46" s="99"/>
      <c r="AS46" s="9">
        <f t="shared" si="16"/>
        <v>0</v>
      </c>
      <c r="AU46" s="11">
        <f ca="1">IF(B46&lt;TODAY(),SUM($AT$6:AT46),"")</f>
        <v>103944.25</v>
      </c>
      <c r="AV46" s="11">
        <f ca="1">IF(B46&lt;TODAY(), SUMIFS($AT$8:AT46, $BG$8:BG46, BG46), "")</f>
        <v>32722</v>
      </c>
      <c r="AY46" s="15"/>
      <c r="BA46" s="14"/>
      <c r="BB46" t="str">
        <f t="shared" si="23"/>
        <v>25</v>
      </c>
      <c r="BC46" t="str">
        <f t="shared" si="24"/>
        <v>08</v>
      </c>
      <c r="BD46" s="98" t="str">
        <f t="shared" ref="BD46:BD54" si="27">_xlfn.TEXTJOIN(,TRUE,"0",DAY(B46))</f>
        <v>017</v>
      </c>
      <c r="BE46" t="str">
        <f t="shared" si="25"/>
        <v>4</v>
      </c>
      <c r="BF46" t="str">
        <f t="shared" si="5"/>
        <v>-2508017D</v>
      </c>
      <c r="BG46" t="str">
        <f t="shared" si="26"/>
        <v>2025-08</v>
      </c>
    </row>
    <row r="47" spans="2:59">
      <c r="B47" s="1">
        <v>45887</v>
      </c>
      <c r="P47" s="130">
        <f t="shared" si="8"/>
        <v>0</v>
      </c>
      <c r="Q47" s="17">
        <f t="shared" si="9"/>
        <v>0</v>
      </c>
      <c r="R47">
        <v>0</v>
      </c>
      <c r="S47" s="9">
        <f t="shared" si="10"/>
        <v>0</v>
      </c>
      <c r="AG47" s="99"/>
      <c r="AH47" s="99"/>
      <c r="AI47" s="99"/>
      <c r="AJ47" s="99"/>
      <c r="AK47" s="99"/>
      <c r="AL47" s="99"/>
      <c r="AM47" s="99"/>
      <c r="AN47" s="99"/>
      <c r="AO47" s="99"/>
      <c r="AP47" s="99"/>
      <c r="AQ47" s="99"/>
      <c r="AS47" s="9">
        <f t="shared" si="16"/>
        <v>0</v>
      </c>
      <c r="AU47" s="11">
        <f ca="1">IF(B47&lt;TODAY(),SUM($AT$6:AT47),"")</f>
        <v>103944.25</v>
      </c>
      <c r="AV47" s="11">
        <f ca="1">IF(B47&lt;TODAY(), SUMIFS($AT$8:AT47, $BG$8:BG47, BG47), "")</f>
        <v>32722</v>
      </c>
      <c r="AY47" s="15"/>
      <c r="BA47" s="14"/>
      <c r="BB47" t="str">
        <f t="shared" si="23"/>
        <v>25</v>
      </c>
      <c r="BC47" t="str">
        <f t="shared" si="24"/>
        <v>08</v>
      </c>
      <c r="BD47" s="98" t="str">
        <f t="shared" si="27"/>
        <v>018</v>
      </c>
      <c r="BE47" t="str">
        <f t="shared" si="25"/>
        <v>4</v>
      </c>
      <c r="BF47" t="str">
        <f t="shared" si="5"/>
        <v>-2508018D</v>
      </c>
      <c r="BG47" t="str">
        <f t="shared" si="26"/>
        <v>2025-08</v>
      </c>
    </row>
    <row r="48" spans="2:59">
      <c r="B48" s="1">
        <v>45888</v>
      </c>
      <c r="P48" s="130">
        <f t="shared" si="8"/>
        <v>0</v>
      </c>
      <c r="Q48" s="17">
        <f t="shared" si="9"/>
        <v>0</v>
      </c>
      <c r="R48">
        <v>0</v>
      </c>
      <c r="S48" s="9">
        <f t="shared" si="10"/>
        <v>0</v>
      </c>
      <c r="AG48" s="99"/>
      <c r="AH48" s="99"/>
      <c r="AI48" s="99"/>
      <c r="AJ48" s="99"/>
      <c r="AK48" s="99"/>
      <c r="AL48" s="99"/>
      <c r="AM48" s="99"/>
      <c r="AN48" s="99"/>
      <c r="AO48" s="99"/>
      <c r="AP48" s="99"/>
      <c r="AQ48" s="99"/>
      <c r="AS48" s="9">
        <f t="shared" si="16"/>
        <v>0</v>
      </c>
      <c r="AU48" s="11">
        <f ca="1">IF(B48&lt;TODAY(),SUM($AT$6:AT48),"")</f>
        <v>103944.25</v>
      </c>
      <c r="AV48" s="11">
        <f ca="1">IF(B48&lt;TODAY(), SUMIFS($AT$8:AT48, $BG$8:BG48, BG48), "")</f>
        <v>32722</v>
      </c>
      <c r="AY48" s="15"/>
      <c r="BA48" s="14"/>
      <c r="BB48" t="str">
        <f t="shared" si="23"/>
        <v>25</v>
      </c>
      <c r="BC48" t="str">
        <f t="shared" si="24"/>
        <v>08</v>
      </c>
      <c r="BD48" s="98" t="str">
        <f t="shared" si="27"/>
        <v>019</v>
      </c>
      <c r="BE48" t="str">
        <f t="shared" si="25"/>
        <v>4</v>
      </c>
      <c r="BF48" t="str">
        <f t="shared" si="5"/>
        <v>-2508019D</v>
      </c>
      <c r="BG48" t="str">
        <f t="shared" si="26"/>
        <v>2025-08</v>
      </c>
    </row>
    <row r="49" spans="2:59">
      <c r="B49" s="1">
        <v>45889</v>
      </c>
      <c r="P49" s="130">
        <f t="shared" si="8"/>
        <v>0</v>
      </c>
      <c r="Q49" s="17">
        <f t="shared" si="9"/>
        <v>0</v>
      </c>
      <c r="R49">
        <v>0</v>
      </c>
      <c r="S49" s="9">
        <f t="shared" si="10"/>
        <v>0</v>
      </c>
      <c r="AG49" s="99"/>
      <c r="AH49" s="99"/>
      <c r="AI49" s="99"/>
      <c r="AJ49" s="99"/>
      <c r="AK49" s="99"/>
      <c r="AL49" s="99"/>
      <c r="AM49" s="99"/>
      <c r="AN49" s="99"/>
      <c r="AO49" s="99"/>
      <c r="AP49" s="99"/>
      <c r="AQ49" s="99"/>
      <c r="AS49" s="9">
        <f t="shared" si="16"/>
        <v>0</v>
      </c>
      <c r="AU49" s="11">
        <f ca="1">IF(B49&lt;TODAY(),SUM($AT$6:AT49),"")</f>
        <v>103944.25</v>
      </c>
      <c r="AV49" s="11">
        <f ca="1">IF(B49&lt;TODAY(), SUMIFS($AT$8:AT49, $BG$8:BG49, BG49), "")</f>
        <v>32722</v>
      </c>
      <c r="AY49" s="15"/>
      <c r="BA49" s="14"/>
      <c r="BB49" t="str">
        <f t="shared" si="23"/>
        <v>25</v>
      </c>
      <c r="BC49" t="str">
        <f t="shared" si="24"/>
        <v>08</v>
      </c>
      <c r="BD49" s="98" t="str">
        <f t="shared" si="27"/>
        <v>020</v>
      </c>
      <c r="BE49" t="str">
        <f t="shared" si="25"/>
        <v>4</v>
      </c>
      <c r="BF49" t="str">
        <f t="shared" si="5"/>
        <v>-2508020D</v>
      </c>
      <c r="BG49" t="str">
        <f t="shared" si="26"/>
        <v>2025-08</v>
      </c>
    </row>
    <row r="50" spans="2:59">
      <c r="B50" s="1">
        <v>45890</v>
      </c>
      <c r="P50" s="130">
        <f t="shared" si="8"/>
        <v>0</v>
      </c>
      <c r="Q50" s="17">
        <f t="shared" si="9"/>
        <v>0</v>
      </c>
      <c r="R50">
        <v>0</v>
      </c>
      <c r="S50" s="9">
        <f t="shared" si="10"/>
        <v>0</v>
      </c>
      <c r="AG50" s="99"/>
      <c r="AH50" s="99"/>
      <c r="AI50" s="99"/>
      <c r="AJ50" s="99"/>
      <c r="AK50" s="99"/>
      <c r="AL50" s="99"/>
      <c r="AM50" s="99"/>
      <c r="AN50" s="99"/>
      <c r="AO50" s="99"/>
      <c r="AP50" s="99"/>
      <c r="AQ50" s="99"/>
      <c r="AS50" s="9">
        <f t="shared" si="16"/>
        <v>0</v>
      </c>
      <c r="AU50" s="11">
        <f ca="1">IF(B50&lt;TODAY(),SUM($AT$6:AT50),"")</f>
        <v>103944.25</v>
      </c>
      <c r="AV50" s="11">
        <f ca="1">IF(B50&lt;TODAY(), SUMIFS($AT$8:AT50, $BG$8:BG50, BG50), "")</f>
        <v>32722</v>
      </c>
      <c r="AY50" s="15"/>
      <c r="BA50" s="14"/>
      <c r="BB50" t="str">
        <f t="shared" si="23"/>
        <v>25</v>
      </c>
      <c r="BC50" t="str">
        <f t="shared" si="24"/>
        <v>08</v>
      </c>
      <c r="BD50" s="98" t="str">
        <f t="shared" si="27"/>
        <v>021</v>
      </c>
      <c r="BE50" t="str">
        <f t="shared" si="25"/>
        <v>4</v>
      </c>
      <c r="BF50" t="str">
        <f t="shared" si="5"/>
        <v>-2508021D</v>
      </c>
      <c r="BG50" t="str">
        <f t="shared" si="26"/>
        <v>2025-08</v>
      </c>
    </row>
    <row r="51" spans="2:59">
      <c r="B51" s="1">
        <v>45891</v>
      </c>
      <c r="P51" s="130">
        <f t="shared" si="8"/>
        <v>0</v>
      </c>
      <c r="Q51" s="17">
        <f t="shared" si="9"/>
        <v>0</v>
      </c>
      <c r="R51">
        <v>0</v>
      </c>
      <c r="S51" s="9">
        <f t="shared" si="10"/>
        <v>0</v>
      </c>
      <c r="AG51" s="99"/>
      <c r="AH51" s="99"/>
      <c r="AI51" s="99"/>
      <c r="AJ51" s="99"/>
      <c r="AK51" s="99"/>
      <c r="AL51" s="99"/>
      <c r="AM51" s="99"/>
      <c r="AN51" s="99"/>
      <c r="AO51" s="99"/>
      <c r="AP51" s="99"/>
      <c r="AQ51" s="99"/>
      <c r="AS51" s="9">
        <f t="shared" si="16"/>
        <v>0</v>
      </c>
      <c r="AU51" s="11">
        <f ca="1">IF(B51&lt;TODAY(),SUM($AT$6:AT51),"")</f>
        <v>103944.25</v>
      </c>
      <c r="AV51" s="11">
        <f ca="1">IF(B51&lt;TODAY(), SUMIFS($AT$8:AT51, $BG$8:BG51, BG51), "")</f>
        <v>32722</v>
      </c>
      <c r="AY51" s="15"/>
      <c r="BA51" s="14"/>
      <c r="BB51" t="str">
        <f t="shared" si="23"/>
        <v>25</v>
      </c>
      <c r="BC51" t="str">
        <f t="shared" si="24"/>
        <v>08</v>
      </c>
      <c r="BD51" s="98" t="str">
        <f t="shared" si="27"/>
        <v>022</v>
      </c>
      <c r="BE51" t="str">
        <f t="shared" si="25"/>
        <v>4</v>
      </c>
      <c r="BF51" t="str">
        <f t="shared" si="5"/>
        <v>-2508022D</v>
      </c>
      <c r="BG51" t="str">
        <f t="shared" si="26"/>
        <v>2025-08</v>
      </c>
    </row>
    <row r="52" spans="2:59">
      <c r="B52" s="1">
        <v>45892</v>
      </c>
      <c r="P52" s="130">
        <f t="shared" si="8"/>
        <v>0</v>
      </c>
      <c r="Q52" s="17">
        <f t="shared" si="9"/>
        <v>0</v>
      </c>
      <c r="R52">
        <v>0</v>
      </c>
      <c r="S52" s="9">
        <f t="shared" si="10"/>
        <v>0</v>
      </c>
      <c r="AG52" s="99"/>
      <c r="AH52" s="99"/>
      <c r="AI52" s="99"/>
      <c r="AJ52" s="99"/>
      <c r="AK52" s="99"/>
      <c r="AL52" s="99"/>
      <c r="AM52" s="99"/>
      <c r="AN52" s="99"/>
      <c r="AO52" s="99"/>
      <c r="AP52" s="99"/>
      <c r="AQ52" s="99"/>
      <c r="AS52" s="9">
        <f t="shared" si="16"/>
        <v>0</v>
      </c>
      <c r="AU52" s="11">
        <f ca="1">IF(B52&lt;TODAY(),SUM($AT$6:AT52),"")</f>
        <v>103944.25</v>
      </c>
      <c r="AV52" s="11">
        <f ca="1">IF(B52&lt;TODAY(), SUMIFS($AT$8:AT52, $BG$8:BG52, BG52), "")</f>
        <v>32722</v>
      </c>
      <c r="AY52" s="15"/>
      <c r="BA52" s="14"/>
      <c r="BB52" t="str">
        <f t="shared" si="23"/>
        <v>25</v>
      </c>
      <c r="BC52" t="str">
        <f t="shared" si="24"/>
        <v>08</v>
      </c>
      <c r="BD52" s="98" t="str">
        <f t="shared" si="27"/>
        <v>023</v>
      </c>
      <c r="BE52" t="str">
        <f t="shared" si="25"/>
        <v>4</v>
      </c>
      <c r="BF52" t="str">
        <f t="shared" si="5"/>
        <v>-2508023D</v>
      </c>
      <c r="BG52" t="str">
        <f t="shared" si="26"/>
        <v>2025-08</v>
      </c>
    </row>
    <row r="53" spans="2:59">
      <c r="B53" s="1">
        <v>45893</v>
      </c>
      <c r="P53" s="130">
        <f t="shared" si="8"/>
        <v>0</v>
      </c>
      <c r="Q53" s="17">
        <f t="shared" si="9"/>
        <v>0</v>
      </c>
      <c r="R53">
        <v>0</v>
      </c>
      <c r="S53" s="9">
        <f t="shared" si="10"/>
        <v>0</v>
      </c>
      <c r="AG53" s="99"/>
      <c r="AH53" s="99"/>
      <c r="AI53" s="99"/>
      <c r="AJ53" s="99"/>
      <c r="AK53" s="99"/>
      <c r="AL53" s="99"/>
      <c r="AM53" s="99"/>
      <c r="AN53" s="99"/>
      <c r="AO53" s="99"/>
      <c r="AP53" s="99"/>
      <c r="AQ53" s="99"/>
      <c r="AS53" s="9">
        <f t="shared" si="16"/>
        <v>0</v>
      </c>
      <c r="AU53" s="11">
        <f ca="1">IF(B53&lt;TODAY(),SUM($AT$6:AT53),"")</f>
        <v>103944.25</v>
      </c>
      <c r="AV53" s="11">
        <f ca="1">IF(B53&lt;TODAY(), SUMIFS($AT$8:AT53, $BG$8:BG53, BG53), "")</f>
        <v>32722</v>
      </c>
      <c r="AY53" s="15"/>
      <c r="BA53" s="14"/>
      <c r="BB53" t="str">
        <f t="shared" si="23"/>
        <v>25</v>
      </c>
      <c r="BC53" t="str">
        <f t="shared" si="24"/>
        <v>08</v>
      </c>
      <c r="BD53" s="98" t="str">
        <f t="shared" si="27"/>
        <v>024</v>
      </c>
      <c r="BE53" t="str">
        <f t="shared" si="25"/>
        <v>4</v>
      </c>
      <c r="BF53" t="str">
        <f t="shared" si="5"/>
        <v>-2508024D</v>
      </c>
      <c r="BG53" t="str">
        <f t="shared" si="26"/>
        <v>2025-08</v>
      </c>
    </row>
    <row r="54" spans="2:59">
      <c r="B54" s="1">
        <v>45894</v>
      </c>
      <c r="P54" s="130">
        <f t="shared" si="8"/>
        <v>0</v>
      </c>
      <c r="Q54" s="17">
        <f t="shared" si="9"/>
        <v>0</v>
      </c>
      <c r="R54">
        <v>0</v>
      </c>
      <c r="S54" s="9">
        <f t="shared" si="10"/>
        <v>0</v>
      </c>
      <c r="AG54" s="99"/>
      <c r="AH54" s="99"/>
      <c r="AI54" s="99"/>
      <c r="AJ54" s="99"/>
      <c r="AK54" s="99"/>
      <c r="AL54" s="99"/>
      <c r="AM54" s="99"/>
      <c r="AN54" s="99"/>
      <c r="AO54" s="99"/>
      <c r="AP54" s="99"/>
      <c r="AQ54" s="99"/>
      <c r="AS54" s="9">
        <f t="shared" si="16"/>
        <v>0</v>
      </c>
      <c r="AU54" s="11">
        <f ca="1">IF(B54&lt;TODAY(),SUM($AT$6:AT54),"")</f>
        <v>103944.25</v>
      </c>
      <c r="AV54" s="11">
        <f ca="1">IF(B54&lt;TODAY(), SUMIFS($AT$8:AT54, $BG$8:BG54, BG54), "")</f>
        <v>32722</v>
      </c>
      <c r="AY54" s="15"/>
      <c r="BA54" s="14"/>
      <c r="BB54" t="str">
        <f t="shared" si="23"/>
        <v>25</v>
      </c>
      <c r="BC54" t="str">
        <f t="shared" si="24"/>
        <v>08</v>
      </c>
      <c r="BD54" s="98" t="str">
        <f t="shared" si="27"/>
        <v>025</v>
      </c>
      <c r="BE54" t="str">
        <f t="shared" si="25"/>
        <v>4</v>
      </c>
      <c r="BF54" t="str">
        <f t="shared" si="5"/>
        <v>-2508025D</v>
      </c>
      <c r="BG54" t="str">
        <f t="shared" si="26"/>
        <v>2025-08</v>
      </c>
    </row>
    <row r="55" spans="2:59">
      <c r="B55" s="1">
        <v>45895</v>
      </c>
      <c r="P55" s="130">
        <f t="shared" si="8"/>
        <v>0</v>
      </c>
      <c r="Q55" s="17">
        <f t="shared" si="9"/>
        <v>0</v>
      </c>
      <c r="R55">
        <v>0</v>
      </c>
      <c r="S55" s="9">
        <f t="shared" si="10"/>
        <v>0</v>
      </c>
      <c r="AG55" s="99"/>
      <c r="AH55" s="99"/>
      <c r="AI55" s="99"/>
      <c r="AJ55" s="99"/>
      <c r="AK55" s="99"/>
      <c r="AL55" s="99"/>
      <c r="AM55" s="99"/>
      <c r="AN55" s="99"/>
      <c r="AO55" s="99"/>
      <c r="AP55" s="99"/>
      <c r="AQ55" s="99"/>
      <c r="AS55" s="9">
        <f t="shared" si="16"/>
        <v>0</v>
      </c>
      <c r="AU55" s="11">
        <f ca="1">IF(B55&lt;TODAY(),SUM($AT$6:AT55),"")</f>
        <v>103944.25</v>
      </c>
      <c r="AV55" s="11">
        <f ca="1">IF(B55&lt;TODAY(), SUMIFS($AT$8:AT55, $BG$8:BG55, BG55), "")</f>
        <v>32722</v>
      </c>
      <c r="AY55" s="15"/>
      <c r="BA55" s="14"/>
      <c r="BB55" t="str">
        <f t="shared" si="23"/>
        <v>25</v>
      </c>
      <c r="BC55" t="str">
        <f t="shared" si="24"/>
        <v>08</v>
      </c>
      <c r="BD55" s="98">
        <f t="shared" ref="BD55:BD76" si="28">DAY(B55)</f>
        <v>26</v>
      </c>
      <c r="BE55" t="str">
        <f t="shared" si="25"/>
        <v>4</v>
      </c>
      <c r="BF55" t="str">
        <f t="shared" si="5"/>
        <v>-250826D</v>
      </c>
      <c r="BG55" t="str">
        <f t="shared" si="26"/>
        <v>2025-08</v>
      </c>
    </row>
    <row r="56" spans="2:59">
      <c r="B56" s="1">
        <v>45896</v>
      </c>
      <c r="P56" s="130">
        <f t="shared" si="8"/>
        <v>0</v>
      </c>
      <c r="Q56" s="17">
        <f t="shared" si="9"/>
        <v>0</v>
      </c>
      <c r="R56">
        <v>0</v>
      </c>
      <c r="S56" s="9">
        <f t="shared" si="10"/>
        <v>0</v>
      </c>
      <c r="AG56" s="99"/>
      <c r="AH56" s="99"/>
      <c r="AI56" s="99"/>
      <c r="AJ56" s="99"/>
      <c r="AK56" s="99"/>
      <c r="AL56" s="99"/>
      <c r="AM56" s="99"/>
      <c r="AN56" s="99"/>
      <c r="AO56" s="99"/>
      <c r="AP56" s="99"/>
      <c r="AQ56" s="99"/>
      <c r="AS56" s="9">
        <f t="shared" si="16"/>
        <v>0</v>
      </c>
      <c r="AU56" s="11">
        <f ca="1">IF(B56&lt;TODAY(),SUM($AT$6:AT56),"")</f>
        <v>103944.25</v>
      </c>
      <c r="AV56" s="11">
        <f ca="1">IF(B56&lt;TODAY(), SUMIFS($AT$8:AT56, $BG$8:BG56, BG56), "")</f>
        <v>32722</v>
      </c>
      <c r="AY56" s="15"/>
      <c r="BA56" s="14"/>
      <c r="BB56" t="str">
        <f t="shared" si="23"/>
        <v>25</v>
      </c>
      <c r="BC56" t="str">
        <f t="shared" si="24"/>
        <v>08</v>
      </c>
      <c r="BD56" s="98">
        <f t="shared" si="28"/>
        <v>27</v>
      </c>
      <c r="BE56" t="str">
        <f t="shared" si="25"/>
        <v>4</v>
      </c>
      <c r="BF56" t="str">
        <f t="shared" si="5"/>
        <v>-250827D</v>
      </c>
      <c r="BG56" t="str">
        <f t="shared" si="26"/>
        <v>2025-08</v>
      </c>
    </row>
    <row r="57" spans="2:59">
      <c r="B57" s="1">
        <v>45897</v>
      </c>
      <c r="P57" s="130">
        <f t="shared" si="8"/>
        <v>0</v>
      </c>
      <c r="Q57" s="17">
        <f t="shared" si="9"/>
        <v>0</v>
      </c>
      <c r="R57">
        <v>0</v>
      </c>
      <c r="S57" s="9">
        <f t="shared" si="10"/>
        <v>0</v>
      </c>
      <c r="AG57" s="99"/>
      <c r="AH57" s="99"/>
      <c r="AI57" s="99"/>
      <c r="AJ57" s="99"/>
      <c r="AK57" s="99"/>
      <c r="AL57" s="99"/>
      <c r="AM57" s="99"/>
      <c r="AN57" s="99"/>
      <c r="AO57" s="99"/>
      <c r="AP57" s="99"/>
      <c r="AQ57" s="99"/>
      <c r="AS57" s="9">
        <f t="shared" si="16"/>
        <v>0</v>
      </c>
      <c r="AU57" s="11">
        <f ca="1">IF(B57&lt;TODAY(),SUM($AT$6:AT57),"")</f>
        <v>103944.25</v>
      </c>
      <c r="AV57" s="11">
        <f ca="1">IF(B57&lt;TODAY(), SUMIFS($AT$8:AT57, $BG$8:BG57, BG57), "")</f>
        <v>32722</v>
      </c>
      <c r="AY57" s="15"/>
      <c r="BA57" s="14"/>
      <c r="BB57" t="str">
        <f t="shared" si="23"/>
        <v>25</v>
      </c>
      <c r="BC57" t="str">
        <f t="shared" si="24"/>
        <v>08</v>
      </c>
      <c r="BD57" s="98">
        <f t="shared" si="28"/>
        <v>28</v>
      </c>
      <c r="BE57" t="str">
        <f t="shared" si="25"/>
        <v>4</v>
      </c>
      <c r="BF57" t="str">
        <f t="shared" si="5"/>
        <v>-250828D</v>
      </c>
      <c r="BG57" t="str">
        <f t="shared" si="26"/>
        <v>2025-08</v>
      </c>
    </row>
    <row r="58" spans="2:59">
      <c r="B58" s="1">
        <v>45898</v>
      </c>
      <c r="P58" s="130">
        <f t="shared" si="8"/>
        <v>0</v>
      </c>
      <c r="Q58" s="17">
        <f t="shared" si="9"/>
        <v>0</v>
      </c>
      <c r="R58">
        <v>0</v>
      </c>
      <c r="S58" s="9">
        <f t="shared" si="10"/>
        <v>0</v>
      </c>
      <c r="AG58" s="99"/>
      <c r="AH58" s="99"/>
      <c r="AI58" s="99"/>
      <c r="AJ58" s="99"/>
      <c r="AK58" s="99"/>
      <c r="AL58" s="99"/>
      <c r="AM58" s="99"/>
      <c r="AN58" s="99"/>
      <c r="AO58" s="99"/>
      <c r="AP58" s="99"/>
      <c r="AQ58" s="99"/>
      <c r="AS58" s="9">
        <f t="shared" si="16"/>
        <v>0</v>
      </c>
      <c r="AU58" s="11">
        <f ca="1">IF(B58&lt;TODAY(),SUM($AT$6:AT58),"")</f>
        <v>103944.25</v>
      </c>
      <c r="AV58" s="11">
        <f ca="1">IF(B58&lt;TODAY(), SUMIFS($AT$8:AT58, $BG$8:BG58, BG58), "")</f>
        <v>32722</v>
      </c>
      <c r="AY58" s="15"/>
      <c r="BA58" s="14"/>
      <c r="BB58" t="str">
        <f t="shared" si="23"/>
        <v>25</v>
      </c>
      <c r="BC58" t="str">
        <f t="shared" si="24"/>
        <v>08</v>
      </c>
      <c r="BD58" s="98">
        <f t="shared" si="28"/>
        <v>29</v>
      </c>
      <c r="BE58" t="str">
        <f t="shared" si="25"/>
        <v>4</v>
      </c>
      <c r="BF58" t="str">
        <f t="shared" si="5"/>
        <v>-250829D</v>
      </c>
      <c r="BG58" t="str">
        <f t="shared" si="26"/>
        <v>2025-08</v>
      </c>
    </row>
    <row r="59" spans="2:59">
      <c r="B59" s="1">
        <v>45899</v>
      </c>
      <c r="P59" s="130">
        <f t="shared" si="8"/>
        <v>0</v>
      </c>
      <c r="Q59" s="17">
        <f t="shared" si="9"/>
        <v>0</v>
      </c>
      <c r="R59">
        <v>0</v>
      </c>
      <c r="S59" s="9">
        <f t="shared" si="10"/>
        <v>0</v>
      </c>
      <c r="AG59" s="99"/>
      <c r="AH59" s="99"/>
      <c r="AI59" s="99"/>
      <c r="AJ59" s="99"/>
      <c r="AK59" s="99"/>
      <c r="AL59" s="99"/>
      <c r="AM59" s="99"/>
      <c r="AN59" s="99"/>
      <c r="AO59" s="99"/>
      <c r="AP59" s="99"/>
      <c r="AQ59" s="99"/>
      <c r="AS59" s="9">
        <f t="shared" si="16"/>
        <v>0</v>
      </c>
      <c r="AU59" s="11">
        <f ca="1">IF(B59&lt;TODAY(),SUM($AT$6:AT59),"")</f>
        <v>103944.25</v>
      </c>
      <c r="AV59" s="11">
        <f ca="1">IF(B59&lt;TODAY(), SUMIFS($AT$8:AT59, $BG$8:BG59, BG59), "")</f>
        <v>32722</v>
      </c>
      <c r="AY59" s="15"/>
      <c r="BA59" s="14"/>
      <c r="BB59" t="str">
        <f t="shared" si="23"/>
        <v>25</v>
      </c>
      <c r="BC59" t="str">
        <f t="shared" si="24"/>
        <v>08</v>
      </c>
      <c r="BD59" s="98">
        <f t="shared" si="28"/>
        <v>30</v>
      </c>
      <c r="BE59" t="str">
        <f t="shared" si="25"/>
        <v>4</v>
      </c>
      <c r="BF59" t="str">
        <f t="shared" si="5"/>
        <v>-250830D</v>
      </c>
      <c r="BG59" t="str">
        <f t="shared" si="26"/>
        <v>2025-08</v>
      </c>
    </row>
    <row r="60" spans="2:59">
      <c r="B60" s="1">
        <v>45900</v>
      </c>
      <c r="P60" s="130">
        <f t="shared" si="8"/>
        <v>0</v>
      </c>
      <c r="Q60" s="17">
        <f t="shared" si="9"/>
        <v>0</v>
      </c>
      <c r="R60">
        <v>0</v>
      </c>
      <c r="S60" s="9">
        <f t="shared" si="10"/>
        <v>0</v>
      </c>
      <c r="AG60" s="99"/>
      <c r="AH60" s="99"/>
      <c r="AI60" s="99"/>
      <c r="AJ60" s="99"/>
      <c r="AK60" s="99"/>
      <c r="AL60" s="99"/>
      <c r="AM60" s="99"/>
      <c r="AN60" s="99"/>
      <c r="AO60" s="99"/>
      <c r="AP60" s="99"/>
      <c r="AQ60" s="99"/>
      <c r="AS60" s="9">
        <f t="shared" si="16"/>
        <v>0</v>
      </c>
      <c r="AU60" s="11">
        <f ca="1">IF(B60&lt;TODAY(),SUM($AT$6:AT60),"")</f>
        <v>103944.25</v>
      </c>
      <c r="AV60" s="11">
        <f ca="1">IF(B60&lt;TODAY(), SUMIFS($AT$8:AT60, $BG$8:BG60, BG60), "")</f>
        <v>32722</v>
      </c>
      <c r="AY60" s="15"/>
      <c r="BA60" s="14"/>
      <c r="BB60" t="str">
        <f t="shared" si="23"/>
        <v>25</v>
      </c>
      <c r="BC60" t="str">
        <f t="shared" si="24"/>
        <v>08</v>
      </c>
      <c r="BD60" s="98">
        <f t="shared" si="28"/>
        <v>31</v>
      </c>
      <c r="BE60" t="str">
        <f t="shared" si="25"/>
        <v>4</v>
      </c>
      <c r="BF60" t="str">
        <f t="shared" si="5"/>
        <v>-250831D</v>
      </c>
      <c r="BG60" t="str">
        <f t="shared" si="26"/>
        <v>2025-08</v>
      </c>
    </row>
    <row r="61" spans="2:59">
      <c r="B61" s="1">
        <v>45901</v>
      </c>
      <c r="P61" s="130">
        <f t="shared" si="8"/>
        <v>0</v>
      </c>
      <c r="Q61" s="17">
        <f t="shared" si="9"/>
        <v>0</v>
      </c>
      <c r="R61">
        <v>0</v>
      </c>
      <c r="S61" s="9">
        <f t="shared" si="10"/>
        <v>0</v>
      </c>
      <c r="AG61" s="99"/>
      <c r="AH61" s="99"/>
      <c r="AI61" s="99"/>
      <c r="AJ61" s="99"/>
      <c r="AK61" s="99"/>
      <c r="AL61" s="99"/>
      <c r="AM61" s="99"/>
      <c r="AN61" s="99"/>
      <c r="AO61" s="99"/>
      <c r="AP61" s="99"/>
      <c r="AQ61" s="99"/>
      <c r="AS61" s="9">
        <f t="shared" si="16"/>
        <v>0</v>
      </c>
      <c r="AU61" s="11">
        <f ca="1">IF(B61&lt;TODAY(),SUM($AT$6:AT61),"")</f>
        <v>103944.25</v>
      </c>
      <c r="AV61" s="11">
        <f ca="1">IF(B61&lt;TODAY(), SUMIFS($AT$8:AT61, $BG$8:BG61, BG61), "")</f>
        <v>0</v>
      </c>
      <c r="AY61" s="15"/>
      <c r="BA61" s="14"/>
      <c r="BB61" t="str">
        <f t="shared" si="23"/>
        <v>25</v>
      </c>
      <c r="BC61" t="str">
        <f t="shared" si="24"/>
        <v>09</v>
      </c>
      <c r="BD61" s="98">
        <f t="shared" si="28"/>
        <v>1</v>
      </c>
      <c r="BE61" t="str">
        <f t="shared" si="25"/>
        <v>4</v>
      </c>
      <c r="BF61" t="str">
        <f t="shared" si="5"/>
        <v>-25091D</v>
      </c>
      <c r="BG61" t="str">
        <f t="shared" si="26"/>
        <v>2025-09</v>
      </c>
    </row>
    <row r="62" spans="2:59">
      <c r="B62" s="1">
        <v>45902</v>
      </c>
      <c r="P62" s="130">
        <f t="shared" si="8"/>
        <v>0</v>
      </c>
      <c r="Q62" s="17">
        <f t="shared" si="9"/>
        <v>0</v>
      </c>
      <c r="R62">
        <v>0</v>
      </c>
      <c r="S62" s="9">
        <f t="shared" si="10"/>
        <v>0</v>
      </c>
      <c r="AG62" s="99"/>
      <c r="AH62" s="99"/>
      <c r="AI62" s="99"/>
      <c r="AJ62" s="99"/>
      <c r="AK62" s="99"/>
      <c r="AL62" s="99"/>
      <c r="AM62" s="99"/>
      <c r="AN62" s="99"/>
      <c r="AO62" s="99"/>
      <c r="AP62" s="99"/>
      <c r="AQ62" s="99"/>
      <c r="AS62" s="9">
        <f t="shared" si="16"/>
        <v>0</v>
      </c>
      <c r="AU62" s="11">
        <f ca="1">IF(B62&lt;TODAY(),SUM($AT$6:AT62),"")</f>
        <v>103944.25</v>
      </c>
      <c r="AV62" s="11">
        <f ca="1">IF(B62&lt;TODAY(), SUMIFS($AT$8:AT62, $BG$8:BG62, BG62), "")</f>
        <v>0</v>
      </c>
      <c r="AY62" s="15"/>
      <c r="BA62" s="14"/>
      <c r="BB62" t="str">
        <f t="shared" si="23"/>
        <v>25</v>
      </c>
      <c r="BC62" t="str">
        <f t="shared" si="24"/>
        <v>09</v>
      </c>
      <c r="BD62" s="98">
        <f t="shared" si="28"/>
        <v>2</v>
      </c>
      <c r="BE62" t="str">
        <f t="shared" si="25"/>
        <v>4</v>
      </c>
      <c r="BF62" t="str">
        <f t="shared" si="5"/>
        <v>-25092D</v>
      </c>
      <c r="BG62" t="str">
        <f t="shared" si="26"/>
        <v>2025-09</v>
      </c>
    </row>
    <row r="63" spans="2:59">
      <c r="B63" s="1">
        <v>45903</v>
      </c>
      <c r="P63" s="130">
        <f t="shared" si="8"/>
        <v>0</v>
      </c>
      <c r="Q63" s="17">
        <f t="shared" si="9"/>
        <v>0</v>
      </c>
      <c r="R63">
        <v>0</v>
      </c>
      <c r="S63" s="9">
        <f t="shared" si="10"/>
        <v>0</v>
      </c>
      <c r="AG63" s="99"/>
      <c r="AH63" s="99"/>
      <c r="AI63" s="99"/>
      <c r="AJ63" s="99"/>
      <c r="AK63" s="99"/>
      <c r="AL63" s="99"/>
      <c r="AM63" s="99"/>
      <c r="AN63" s="99"/>
      <c r="AO63" s="99"/>
      <c r="AP63" s="99"/>
      <c r="AQ63" s="99"/>
      <c r="AS63" s="9">
        <f t="shared" si="16"/>
        <v>0</v>
      </c>
      <c r="AU63" s="11">
        <f ca="1">IF(B63&lt;TODAY(),SUM($AT$6:AT63),"")</f>
        <v>103944.25</v>
      </c>
      <c r="AV63" s="11">
        <f ca="1">IF(B63&lt;TODAY(), SUMIFS($AT$8:AT63, $BG$8:BG63, BG63), "")</f>
        <v>0</v>
      </c>
      <c r="AY63" s="15"/>
      <c r="BA63" s="14"/>
      <c r="BB63" t="str">
        <f t="shared" si="23"/>
        <v>25</v>
      </c>
      <c r="BC63" t="str">
        <f t="shared" si="24"/>
        <v>09</v>
      </c>
      <c r="BD63" s="98">
        <f t="shared" si="28"/>
        <v>3</v>
      </c>
      <c r="BE63" t="str">
        <f t="shared" si="25"/>
        <v>4</v>
      </c>
      <c r="BF63" t="str">
        <f t="shared" si="5"/>
        <v>-25093D</v>
      </c>
      <c r="BG63" t="str">
        <f t="shared" si="26"/>
        <v>2025-09</v>
      </c>
    </row>
    <row r="64" spans="2:59">
      <c r="B64" s="1">
        <v>45904</v>
      </c>
      <c r="P64" s="130">
        <f t="shared" si="8"/>
        <v>0</v>
      </c>
      <c r="Q64" s="17">
        <f t="shared" si="9"/>
        <v>0</v>
      </c>
      <c r="R64">
        <v>0</v>
      </c>
      <c r="S64" s="9">
        <f t="shared" si="10"/>
        <v>0</v>
      </c>
      <c r="AG64" s="99"/>
      <c r="AH64" s="99"/>
      <c r="AI64" s="99"/>
      <c r="AJ64" s="99"/>
      <c r="AK64" s="99"/>
      <c r="AL64" s="99"/>
      <c r="AM64" s="99"/>
      <c r="AN64" s="99"/>
      <c r="AO64" s="99"/>
      <c r="AP64" s="99"/>
      <c r="AQ64" s="99"/>
      <c r="AS64" s="9">
        <f t="shared" si="16"/>
        <v>0</v>
      </c>
      <c r="AU64" s="11">
        <f ca="1">IF(B64&lt;TODAY(),SUM($AT$6:AT64),"")</f>
        <v>103944.25</v>
      </c>
      <c r="AV64" s="11">
        <f ca="1">IF(B64&lt;TODAY(), SUMIFS($AT$8:AT64, $BG$8:BG64, BG64), "")</f>
        <v>0</v>
      </c>
      <c r="AY64" s="15"/>
      <c r="BA64" s="14"/>
      <c r="BB64" t="str">
        <f t="shared" si="23"/>
        <v>25</v>
      </c>
      <c r="BC64" t="str">
        <f t="shared" si="24"/>
        <v>09</v>
      </c>
      <c r="BD64" s="98">
        <f t="shared" si="28"/>
        <v>4</v>
      </c>
      <c r="BE64" t="str">
        <f t="shared" si="25"/>
        <v>4</v>
      </c>
      <c r="BF64" t="str">
        <f t="shared" si="5"/>
        <v>-25094D</v>
      </c>
      <c r="BG64" t="str">
        <f t="shared" si="26"/>
        <v>2025-09</v>
      </c>
    </row>
    <row r="65" spans="2:59">
      <c r="B65" s="1">
        <v>45905</v>
      </c>
      <c r="P65" s="130">
        <f t="shared" si="8"/>
        <v>0</v>
      </c>
      <c r="Q65" s="17">
        <f t="shared" si="9"/>
        <v>0</v>
      </c>
      <c r="R65">
        <v>0</v>
      </c>
      <c r="S65" s="9">
        <f t="shared" si="10"/>
        <v>0</v>
      </c>
      <c r="AG65" s="99"/>
      <c r="AH65" s="99"/>
      <c r="AI65" s="99"/>
      <c r="AJ65" s="99"/>
      <c r="AK65" s="99"/>
      <c r="AL65" s="99"/>
      <c r="AM65" s="99"/>
      <c r="AN65" s="99"/>
      <c r="AO65" s="99"/>
      <c r="AP65" s="99"/>
      <c r="AQ65" s="99"/>
      <c r="AS65" s="9">
        <f t="shared" si="16"/>
        <v>0</v>
      </c>
      <c r="AU65" s="11">
        <f ca="1">IF(B65&lt;TODAY(),SUM($AT$6:AT65),"")</f>
        <v>103944.25</v>
      </c>
      <c r="AV65" s="11">
        <f ca="1">IF(B65&lt;TODAY(), SUMIFS($AT$8:AT65, $BG$8:BG65, BG65), "")</f>
        <v>0</v>
      </c>
      <c r="AY65" s="15"/>
      <c r="BA65" s="14"/>
      <c r="BB65" t="str">
        <f t="shared" si="23"/>
        <v>25</v>
      </c>
      <c r="BC65" t="str">
        <f t="shared" si="24"/>
        <v>09</v>
      </c>
      <c r="BD65" s="98">
        <f t="shared" si="28"/>
        <v>5</v>
      </c>
      <c r="BE65" t="str">
        <f t="shared" si="25"/>
        <v>4</v>
      </c>
      <c r="BF65" t="str">
        <f t="shared" si="5"/>
        <v>-25095D</v>
      </c>
      <c r="BG65" t="str">
        <f t="shared" si="26"/>
        <v>2025-09</v>
      </c>
    </row>
    <row r="66" spans="2:59">
      <c r="B66" s="1">
        <v>45906</v>
      </c>
      <c r="P66" s="130">
        <f t="shared" si="8"/>
        <v>0</v>
      </c>
      <c r="Q66" s="17">
        <f t="shared" si="9"/>
        <v>0</v>
      </c>
      <c r="R66">
        <v>0</v>
      </c>
      <c r="S66" s="9">
        <f t="shared" si="10"/>
        <v>0</v>
      </c>
      <c r="AG66" s="99"/>
      <c r="AH66" s="99"/>
      <c r="AI66" s="99"/>
      <c r="AJ66" s="99"/>
      <c r="AK66" s="99"/>
      <c r="AL66" s="99"/>
      <c r="AM66" s="99"/>
      <c r="AN66" s="99"/>
      <c r="AO66" s="99"/>
      <c r="AP66" s="99"/>
      <c r="AQ66" s="99"/>
      <c r="AS66" s="9">
        <f t="shared" si="16"/>
        <v>0</v>
      </c>
      <c r="AU66" s="11">
        <f ca="1">IF(B66&lt;TODAY(),SUM($AT$6:AT66),"")</f>
        <v>103944.25</v>
      </c>
      <c r="AV66" s="11">
        <f ca="1">IF(B66&lt;TODAY(), SUMIFS($AT$8:AT66, $BG$8:BG66, BG66), "")</f>
        <v>0</v>
      </c>
      <c r="AY66" s="15"/>
      <c r="BA66" s="14"/>
      <c r="BB66" t="str">
        <f t="shared" si="23"/>
        <v>25</v>
      </c>
      <c r="BC66" t="str">
        <f t="shared" si="24"/>
        <v>09</v>
      </c>
      <c r="BD66" s="98">
        <f t="shared" si="28"/>
        <v>6</v>
      </c>
      <c r="BE66" t="str">
        <f t="shared" si="25"/>
        <v>4</v>
      </c>
      <c r="BF66" t="str">
        <f t="shared" si="5"/>
        <v>-25096D</v>
      </c>
      <c r="BG66" t="str">
        <f t="shared" si="26"/>
        <v>2025-09</v>
      </c>
    </row>
    <row r="67" spans="2:59">
      <c r="B67" s="1">
        <v>45907</v>
      </c>
      <c r="P67" s="130">
        <f t="shared" si="8"/>
        <v>0</v>
      </c>
      <c r="Q67" s="17">
        <f t="shared" si="9"/>
        <v>0</v>
      </c>
      <c r="R67">
        <v>0</v>
      </c>
      <c r="S67" s="9">
        <f t="shared" si="10"/>
        <v>0</v>
      </c>
      <c r="AG67" s="99"/>
      <c r="AH67" s="99"/>
      <c r="AI67" s="99"/>
      <c r="AJ67" s="99"/>
      <c r="AK67" s="99"/>
      <c r="AL67" s="99"/>
      <c r="AM67" s="99"/>
      <c r="AN67" s="99"/>
      <c r="AO67" s="99"/>
      <c r="AP67" s="99"/>
      <c r="AQ67" s="99"/>
      <c r="AS67" s="9">
        <f t="shared" si="16"/>
        <v>0</v>
      </c>
      <c r="AU67" s="11">
        <f ca="1">IF(B67&lt;TODAY(),SUM($AT$6:AT67),"")</f>
        <v>103944.25</v>
      </c>
      <c r="AV67" s="11">
        <f ca="1">IF(B67&lt;TODAY(), SUMIFS($AT$8:AT67, $BG$8:BG67, BG67), "")</f>
        <v>0</v>
      </c>
      <c r="AY67" s="15"/>
      <c r="BA67" s="14"/>
      <c r="BB67" t="str">
        <f t="shared" si="23"/>
        <v>25</v>
      </c>
      <c r="BC67" t="str">
        <f t="shared" si="24"/>
        <v>09</v>
      </c>
      <c r="BD67" s="98">
        <f t="shared" si="28"/>
        <v>7</v>
      </c>
      <c r="BE67" t="str">
        <f t="shared" si="25"/>
        <v>4</v>
      </c>
      <c r="BF67" t="str">
        <f t="shared" si="5"/>
        <v>-25097D</v>
      </c>
      <c r="BG67" t="str">
        <f t="shared" si="26"/>
        <v>2025-09</v>
      </c>
    </row>
    <row r="68" spans="2:59">
      <c r="B68" s="1">
        <v>45908</v>
      </c>
      <c r="P68" s="130">
        <f t="shared" si="8"/>
        <v>0</v>
      </c>
      <c r="Q68" s="17">
        <f t="shared" si="9"/>
        <v>0</v>
      </c>
      <c r="R68">
        <v>0</v>
      </c>
      <c r="S68" s="9">
        <f t="shared" si="10"/>
        <v>0</v>
      </c>
      <c r="AG68" s="99"/>
      <c r="AH68" s="99"/>
      <c r="AI68" s="99"/>
      <c r="AJ68" s="99"/>
      <c r="AK68" s="99"/>
      <c r="AL68" s="99"/>
      <c r="AM68" s="99"/>
      <c r="AN68" s="99"/>
      <c r="AO68" s="99"/>
      <c r="AP68" s="99"/>
      <c r="AQ68" s="99"/>
      <c r="AS68" s="9">
        <f t="shared" si="16"/>
        <v>0</v>
      </c>
      <c r="AU68" s="11">
        <f ca="1">IF(B68&lt;TODAY(),SUM($AT$6:AT68),"")</f>
        <v>103944.25</v>
      </c>
      <c r="AV68" s="11">
        <f ca="1">IF(B68&lt;TODAY(), SUMIFS($AT$8:AT68, $BG$8:BG68, BG68), "")</f>
        <v>0</v>
      </c>
      <c r="AY68" s="15"/>
      <c r="BA68" s="14"/>
      <c r="BB68" t="str">
        <f t="shared" si="23"/>
        <v>25</v>
      </c>
      <c r="BC68" t="str">
        <f t="shared" si="24"/>
        <v>09</v>
      </c>
      <c r="BD68" s="98">
        <f t="shared" si="28"/>
        <v>8</v>
      </c>
      <c r="BE68" t="str">
        <f t="shared" si="25"/>
        <v>4</v>
      </c>
      <c r="BF68" t="str">
        <f t="shared" si="5"/>
        <v>-25098D</v>
      </c>
      <c r="BG68" t="str">
        <f t="shared" si="26"/>
        <v>2025-09</v>
      </c>
    </row>
    <row r="69" spans="2:59">
      <c r="B69" s="1">
        <v>45909</v>
      </c>
      <c r="P69" s="130">
        <f t="shared" si="8"/>
        <v>0</v>
      </c>
      <c r="Q69" s="17">
        <f t="shared" si="9"/>
        <v>0</v>
      </c>
      <c r="R69">
        <v>0</v>
      </c>
      <c r="S69" s="9">
        <f t="shared" si="10"/>
        <v>0</v>
      </c>
      <c r="AG69" s="99"/>
      <c r="AH69" s="99"/>
      <c r="AI69" s="99"/>
      <c r="AJ69" s="99"/>
      <c r="AK69" s="99"/>
      <c r="AL69" s="99"/>
      <c r="AM69" s="99"/>
      <c r="AN69" s="99"/>
      <c r="AO69" s="99"/>
      <c r="AP69" s="99"/>
      <c r="AQ69" s="99"/>
      <c r="AS69" s="9">
        <f t="shared" si="16"/>
        <v>0</v>
      </c>
      <c r="AU69" s="11">
        <f ca="1">IF(B69&lt;TODAY(),SUM($AT$6:AT69),"")</f>
        <v>103944.25</v>
      </c>
      <c r="AV69" s="11">
        <f ca="1">IF(B69&lt;TODAY(), SUMIFS($AT$8:AT69, $BG$8:BG69, BG69), "")</f>
        <v>0</v>
      </c>
      <c r="AY69" s="15"/>
      <c r="BA69" s="14"/>
      <c r="BB69" t="str">
        <f t="shared" si="23"/>
        <v>25</v>
      </c>
      <c r="BC69" t="str">
        <f t="shared" si="24"/>
        <v>09</v>
      </c>
      <c r="BD69" s="98">
        <f t="shared" si="28"/>
        <v>9</v>
      </c>
      <c r="BE69" t="str">
        <f t="shared" si="25"/>
        <v>4</v>
      </c>
      <c r="BF69" t="str">
        <f t="shared" si="5"/>
        <v>-25099D</v>
      </c>
      <c r="BG69" t="str">
        <f t="shared" si="26"/>
        <v>2025-09</v>
      </c>
    </row>
    <row r="70" spans="2:59">
      <c r="B70" s="1">
        <v>45910</v>
      </c>
      <c r="P70" s="130">
        <f t="shared" si="8"/>
        <v>0</v>
      </c>
      <c r="Q70" s="17">
        <f t="shared" si="9"/>
        <v>0</v>
      </c>
      <c r="R70">
        <v>0</v>
      </c>
      <c r="S70" s="9">
        <f t="shared" si="10"/>
        <v>0</v>
      </c>
      <c r="AG70" s="99"/>
      <c r="AH70" s="99"/>
      <c r="AI70" s="99"/>
      <c r="AJ70" s="99"/>
      <c r="AK70" s="99"/>
      <c r="AL70" s="99"/>
      <c r="AM70" s="99"/>
      <c r="AN70" s="99"/>
      <c r="AO70" s="99"/>
      <c r="AP70" s="99"/>
      <c r="AQ70" s="99"/>
      <c r="AS70" s="9">
        <f t="shared" si="16"/>
        <v>0</v>
      </c>
      <c r="AU70" s="11">
        <f ca="1">IF(B70&lt;TODAY(),SUM($AT$6:AT70),"")</f>
        <v>103944.25</v>
      </c>
      <c r="AV70" s="11">
        <f ca="1">IF(B70&lt;TODAY(), SUMIFS($AT$8:AT70, $BG$8:BG70, BG70), "")</f>
        <v>0</v>
      </c>
      <c r="AY70" s="15"/>
      <c r="BA70" s="14"/>
      <c r="BB70" t="str">
        <f t="shared" si="23"/>
        <v>25</v>
      </c>
      <c r="BC70" t="str">
        <f t="shared" si="24"/>
        <v>09</v>
      </c>
      <c r="BD70" s="98">
        <f t="shared" si="28"/>
        <v>10</v>
      </c>
      <c r="BE70" t="str">
        <f t="shared" si="25"/>
        <v>4</v>
      </c>
      <c r="BF70" t="str">
        <f t="shared" si="5"/>
        <v>-250910D</v>
      </c>
      <c r="BG70" t="str">
        <f t="shared" si="26"/>
        <v>2025-09</v>
      </c>
    </row>
    <row r="71" spans="2:59">
      <c r="B71" s="1">
        <v>45911</v>
      </c>
      <c r="P71" s="130">
        <f t="shared" si="8"/>
        <v>0</v>
      </c>
      <c r="Q71" s="17">
        <f t="shared" si="9"/>
        <v>0</v>
      </c>
      <c r="R71">
        <v>0</v>
      </c>
      <c r="S71" s="9">
        <f t="shared" si="10"/>
        <v>0</v>
      </c>
      <c r="AG71" s="99"/>
      <c r="AH71" s="99"/>
      <c r="AI71" s="99"/>
      <c r="AJ71" s="99"/>
      <c r="AK71" s="99"/>
      <c r="AL71" s="99"/>
      <c r="AM71" s="99"/>
      <c r="AN71" s="99"/>
      <c r="AO71" s="99"/>
      <c r="AP71" s="99"/>
      <c r="AQ71" s="99"/>
      <c r="AS71" s="9">
        <f t="shared" si="16"/>
        <v>0</v>
      </c>
      <c r="AU71" s="11">
        <f ca="1">IF(B71&lt;TODAY(),SUM($AT$6:AT71),"")</f>
        <v>103944.25</v>
      </c>
      <c r="AV71" s="11">
        <f ca="1">IF(B71&lt;TODAY(), SUMIFS($AT$8:AT71, $BG$8:BG71, BG71), "")</f>
        <v>0</v>
      </c>
      <c r="AY71" s="15"/>
      <c r="BA71" s="14"/>
      <c r="BB71" t="str">
        <f t="shared" si="23"/>
        <v>25</v>
      </c>
      <c r="BC71" t="str">
        <f t="shared" si="24"/>
        <v>09</v>
      </c>
      <c r="BD71" s="98">
        <f t="shared" si="28"/>
        <v>11</v>
      </c>
      <c r="BE71" t="str">
        <f t="shared" si="25"/>
        <v>4</v>
      </c>
      <c r="BF71" t="str">
        <f t="shared" si="5"/>
        <v>-250911D</v>
      </c>
      <c r="BG71" t="str">
        <f t="shared" si="26"/>
        <v>2025-09</v>
      </c>
    </row>
    <row r="72" spans="2:59">
      <c r="B72" s="1">
        <v>45912</v>
      </c>
      <c r="P72" s="130">
        <f t="shared" si="8"/>
        <v>0</v>
      </c>
      <c r="Q72" s="17">
        <f t="shared" si="9"/>
        <v>0</v>
      </c>
      <c r="R72">
        <v>0</v>
      </c>
      <c r="S72" s="9">
        <f t="shared" si="10"/>
        <v>0</v>
      </c>
      <c r="AG72" s="99"/>
      <c r="AH72" s="99"/>
      <c r="AI72" s="99"/>
      <c r="AJ72" s="99"/>
      <c r="AK72" s="99"/>
      <c r="AL72" s="99"/>
      <c r="AM72" s="99"/>
      <c r="AN72" s="99"/>
      <c r="AO72" s="99"/>
      <c r="AP72" s="99"/>
      <c r="AQ72" s="99"/>
      <c r="AS72" s="9">
        <f t="shared" si="16"/>
        <v>0</v>
      </c>
      <c r="AU72" s="11">
        <f ca="1">IF(B72&lt;TODAY(),SUM($AT$6:AT72),"")</f>
        <v>103944.25</v>
      </c>
      <c r="AV72" s="11">
        <f ca="1">IF(B72&lt;TODAY(), SUMIFS($AT$8:AT72, $BG$8:BG72, BG72), "")</f>
        <v>0</v>
      </c>
      <c r="AY72" s="15"/>
      <c r="BA72" s="14"/>
      <c r="BB72" t="str">
        <f t="shared" ref="BB72:BB103" si="29">RIGHT(YEAR(B72),2)</f>
        <v>25</v>
      </c>
      <c r="BC72" t="str">
        <f t="shared" ref="BC72:BC106" si="30">_xlfn.TEXTJOIN(,TRUE,"0",MONTH(B72))</f>
        <v>09</v>
      </c>
      <c r="BD72" s="98">
        <f t="shared" si="28"/>
        <v>12</v>
      </c>
      <c r="BE72" t="str">
        <f t="shared" ref="BE72:BE103" si="31">LEFT(B72,1)</f>
        <v>4</v>
      </c>
      <c r="BF72" t="str">
        <f t="shared" si="5"/>
        <v>-250912D</v>
      </c>
      <c r="BG72" t="str">
        <f t="shared" ref="BG72:BG103" si="32">TEXT(B72, "yyyy-mm")</f>
        <v>2025-09</v>
      </c>
    </row>
    <row r="73" spans="2:59">
      <c r="B73" s="1">
        <v>45913</v>
      </c>
      <c r="P73" s="130">
        <f t="shared" si="8"/>
        <v>0</v>
      </c>
      <c r="Q73" s="17">
        <f t="shared" si="9"/>
        <v>0</v>
      </c>
      <c r="R73">
        <v>0</v>
      </c>
      <c r="S73" s="9">
        <f t="shared" si="10"/>
        <v>0</v>
      </c>
      <c r="AG73" s="99"/>
      <c r="AH73" s="99"/>
      <c r="AI73" s="99"/>
      <c r="AJ73" s="99"/>
      <c r="AK73" s="99"/>
      <c r="AL73" s="99"/>
      <c r="AM73" s="99"/>
      <c r="AN73" s="99"/>
      <c r="AO73" s="99"/>
      <c r="AP73" s="99"/>
      <c r="AQ73" s="99"/>
      <c r="AS73" s="9">
        <f t="shared" si="16"/>
        <v>0</v>
      </c>
      <c r="AU73" s="11">
        <f ca="1">IF(B73&lt;TODAY(),SUM($AT$6:AT73),"")</f>
        <v>103944.25</v>
      </c>
      <c r="AV73" s="11">
        <f ca="1">IF(B73&lt;TODAY(), SUMIFS($AT$8:AT73, $BG$8:BG73, BG73), "")</f>
        <v>0</v>
      </c>
      <c r="AY73" s="15"/>
      <c r="BA73" s="14"/>
      <c r="BB73" t="str">
        <f t="shared" si="29"/>
        <v>25</v>
      </c>
      <c r="BC73" t="str">
        <f t="shared" si="30"/>
        <v>09</v>
      </c>
      <c r="BD73" s="98">
        <f t="shared" si="28"/>
        <v>13</v>
      </c>
      <c r="BE73" t="str">
        <f t="shared" si="31"/>
        <v>4</v>
      </c>
      <c r="BF73" t="str">
        <f t="shared" ref="BF73:BF136" si="33">CONCATENATE(BA73,"-",BB73,BC73,BD73,"D")</f>
        <v>-250913D</v>
      </c>
      <c r="BG73" t="str">
        <f t="shared" si="32"/>
        <v>2025-09</v>
      </c>
    </row>
    <row r="74" spans="2:59">
      <c r="B74" s="1">
        <v>45914</v>
      </c>
      <c r="P74" s="130">
        <f t="shared" si="8"/>
        <v>0</v>
      </c>
      <c r="Q74" s="17">
        <f t="shared" si="9"/>
        <v>0</v>
      </c>
      <c r="R74">
        <v>0</v>
      </c>
      <c r="S74" s="9">
        <f t="shared" si="10"/>
        <v>0</v>
      </c>
      <c r="AG74" s="99"/>
      <c r="AH74" s="99"/>
      <c r="AI74" s="99"/>
      <c r="AJ74" s="99"/>
      <c r="AK74" s="99"/>
      <c r="AL74" s="99"/>
      <c r="AM74" s="99"/>
      <c r="AN74" s="99"/>
      <c r="AO74" s="99"/>
      <c r="AP74" s="99"/>
      <c r="AQ74" s="99"/>
      <c r="AS74" s="9">
        <f t="shared" si="16"/>
        <v>0</v>
      </c>
      <c r="AU74" s="11">
        <f ca="1">IF(B74&lt;TODAY(),SUM($AT$6:AT74),"")</f>
        <v>103944.25</v>
      </c>
      <c r="AV74" s="11">
        <f ca="1">IF(B74&lt;TODAY(), SUMIFS($AT$8:AT74, $BG$8:BG74, BG74), "")</f>
        <v>0</v>
      </c>
      <c r="AY74" s="15"/>
      <c r="BA74" s="14"/>
      <c r="BB74" t="str">
        <f t="shared" si="29"/>
        <v>25</v>
      </c>
      <c r="BC74" t="str">
        <f t="shared" si="30"/>
        <v>09</v>
      </c>
      <c r="BD74" s="98">
        <f t="shared" si="28"/>
        <v>14</v>
      </c>
      <c r="BE74" t="str">
        <f t="shared" si="31"/>
        <v>4</v>
      </c>
      <c r="BF74" t="str">
        <f t="shared" si="33"/>
        <v>-250914D</v>
      </c>
      <c r="BG74" t="str">
        <f t="shared" si="32"/>
        <v>2025-09</v>
      </c>
    </row>
    <row r="75" spans="2:59">
      <c r="B75" s="1">
        <v>45915</v>
      </c>
      <c r="P75" s="130">
        <f t="shared" si="8"/>
        <v>0</v>
      </c>
      <c r="Q75" s="17">
        <f t="shared" si="9"/>
        <v>0</v>
      </c>
      <c r="R75">
        <v>0</v>
      </c>
      <c r="S75" s="9">
        <f t="shared" si="10"/>
        <v>0</v>
      </c>
      <c r="AG75" s="99"/>
      <c r="AH75" s="99"/>
      <c r="AI75" s="99"/>
      <c r="AJ75" s="99"/>
      <c r="AK75" s="99"/>
      <c r="AL75" s="99"/>
      <c r="AM75" s="99"/>
      <c r="AN75" s="99"/>
      <c r="AO75" s="99"/>
      <c r="AP75" s="99"/>
      <c r="AQ75" s="99"/>
      <c r="AS75" s="9">
        <f t="shared" si="16"/>
        <v>0</v>
      </c>
      <c r="AU75" s="11">
        <f ca="1">IF(B75&lt;TODAY(),SUM($AT$6:AT75),"")</f>
        <v>103944.25</v>
      </c>
      <c r="AV75" s="11">
        <f ca="1">IF(B75&lt;TODAY(), SUMIFS($AT$8:AT75, $BG$8:BG75, BG75), "")</f>
        <v>0</v>
      </c>
      <c r="AY75" s="15"/>
      <c r="BA75" s="14"/>
      <c r="BB75" t="str">
        <f t="shared" si="29"/>
        <v>25</v>
      </c>
      <c r="BC75" t="str">
        <f t="shared" si="30"/>
        <v>09</v>
      </c>
      <c r="BD75" s="98">
        <f t="shared" si="28"/>
        <v>15</v>
      </c>
      <c r="BE75" t="str">
        <f t="shared" si="31"/>
        <v>4</v>
      </c>
      <c r="BF75" t="str">
        <f t="shared" si="33"/>
        <v>-250915D</v>
      </c>
      <c r="BG75" t="str">
        <f t="shared" si="32"/>
        <v>2025-09</v>
      </c>
    </row>
    <row r="76" spans="2:59">
      <c r="B76" s="1">
        <v>45916</v>
      </c>
      <c r="P76" s="130">
        <f t="shared" si="8"/>
        <v>0</v>
      </c>
      <c r="Q76" s="17">
        <f t="shared" si="9"/>
        <v>0</v>
      </c>
      <c r="R76">
        <v>0</v>
      </c>
      <c r="S76" s="9">
        <f t="shared" si="10"/>
        <v>0</v>
      </c>
      <c r="AG76" s="99"/>
      <c r="AH76" s="99"/>
      <c r="AI76" s="99"/>
      <c r="AJ76" s="99"/>
      <c r="AK76" s="99"/>
      <c r="AL76" s="99"/>
      <c r="AM76" s="99"/>
      <c r="AN76" s="99"/>
      <c r="AO76" s="99"/>
      <c r="AP76" s="99"/>
      <c r="AQ76" s="99"/>
      <c r="AS76" s="9">
        <f t="shared" si="16"/>
        <v>0</v>
      </c>
      <c r="AU76" s="11">
        <f ca="1">IF(B76&lt;TODAY(),SUM($AT$6:AT76),"")</f>
        <v>103944.25</v>
      </c>
      <c r="AV76" s="11">
        <f ca="1">IF(B76&lt;TODAY(), SUMIFS($AT$8:AT76, $BG$8:BG76, BG76), "")</f>
        <v>0</v>
      </c>
      <c r="AY76" s="15"/>
      <c r="BA76" s="14"/>
      <c r="BB76" t="str">
        <f t="shared" si="29"/>
        <v>25</v>
      </c>
      <c r="BC76" t="str">
        <f t="shared" si="30"/>
        <v>09</v>
      </c>
      <c r="BD76" s="98">
        <f t="shared" si="28"/>
        <v>16</v>
      </c>
      <c r="BE76" t="str">
        <f t="shared" si="31"/>
        <v>4</v>
      </c>
      <c r="BF76" t="str">
        <f t="shared" si="33"/>
        <v>-250916D</v>
      </c>
      <c r="BG76" t="str">
        <f t="shared" si="32"/>
        <v>2025-09</v>
      </c>
    </row>
    <row r="77" spans="2:59">
      <c r="B77" s="1">
        <v>45917</v>
      </c>
      <c r="P77" s="130">
        <f t="shared" si="8"/>
        <v>0</v>
      </c>
      <c r="Q77" s="17">
        <f t="shared" si="9"/>
        <v>0</v>
      </c>
      <c r="R77">
        <v>0</v>
      </c>
      <c r="S77" s="9">
        <f t="shared" si="10"/>
        <v>0</v>
      </c>
      <c r="AG77" s="99"/>
      <c r="AH77" s="99"/>
      <c r="AI77" s="99"/>
      <c r="AJ77" s="99"/>
      <c r="AK77" s="99"/>
      <c r="AL77" s="99"/>
      <c r="AM77" s="99"/>
      <c r="AN77" s="99"/>
      <c r="AO77" s="99"/>
      <c r="AP77" s="99"/>
      <c r="AQ77" s="99"/>
      <c r="AS77" s="9">
        <f t="shared" si="16"/>
        <v>0</v>
      </c>
      <c r="AU77" s="11">
        <f ca="1">IF(B77&lt;TODAY(),SUM($AT$6:AT77),"")</f>
        <v>103944.25</v>
      </c>
      <c r="AV77" s="11">
        <f ca="1">IF(B77&lt;TODAY(), SUMIFS($AT$8:AT77, $BG$8:BG77, BG77), "")</f>
        <v>0</v>
      </c>
      <c r="AY77" s="15"/>
      <c r="BA77" s="14"/>
      <c r="BB77" t="str">
        <f t="shared" si="29"/>
        <v>25</v>
      </c>
      <c r="BC77" t="str">
        <f t="shared" si="30"/>
        <v>09</v>
      </c>
      <c r="BD77" s="98" t="str">
        <f t="shared" ref="BD77:BD85" si="34">_xlfn.TEXTJOIN(,TRUE,"0",DAY(B77))</f>
        <v>017</v>
      </c>
      <c r="BE77" t="str">
        <f t="shared" si="31"/>
        <v>4</v>
      </c>
      <c r="BF77" t="str">
        <f t="shared" si="33"/>
        <v>-2509017D</v>
      </c>
      <c r="BG77" t="str">
        <f t="shared" si="32"/>
        <v>2025-09</v>
      </c>
    </row>
    <row r="78" spans="2:59">
      <c r="B78" s="1">
        <v>45918</v>
      </c>
      <c r="P78" s="130">
        <f t="shared" si="8"/>
        <v>0</v>
      </c>
      <c r="Q78" s="17">
        <f t="shared" si="9"/>
        <v>0</v>
      </c>
      <c r="R78">
        <v>0</v>
      </c>
      <c r="S78" s="9">
        <f t="shared" si="10"/>
        <v>0</v>
      </c>
      <c r="AG78" s="99"/>
      <c r="AH78" s="99"/>
      <c r="AI78" s="99"/>
      <c r="AJ78" s="99"/>
      <c r="AK78" s="99"/>
      <c r="AL78" s="99"/>
      <c r="AM78" s="99"/>
      <c r="AN78" s="99"/>
      <c r="AO78" s="99"/>
      <c r="AP78" s="99"/>
      <c r="AQ78" s="99"/>
      <c r="AS78" s="9">
        <f t="shared" si="16"/>
        <v>0</v>
      </c>
      <c r="AU78" s="11">
        <f ca="1">IF(B78&lt;TODAY(),SUM($AT$6:AT78),"")</f>
        <v>103944.25</v>
      </c>
      <c r="AV78" s="11">
        <f ca="1">IF(B78&lt;TODAY(), SUMIFS($AT$8:AT78, $BG$8:BG78, BG78), "")</f>
        <v>0</v>
      </c>
      <c r="AY78" s="15"/>
      <c r="BA78" s="14"/>
      <c r="BB78" t="str">
        <f t="shared" si="29"/>
        <v>25</v>
      </c>
      <c r="BC78" t="str">
        <f t="shared" si="30"/>
        <v>09</v>
      </c>
      <c r="BD78" s="98" t="str">
        <f t="shared" si="34"/>
        <v>018</v>
      </c>
      <c r="BE78" t="str">
        <f t="shared" si="31"/>
        <v>4</v>
      </c>
      <c r="BF78" t="str">
        <f t="shared" si="33"/>
        <v>-2509018D</v>
      </c>
      <c r="BG78" t="str">
        <f t="shared" si="32"/>
        <v>2025-09</v>
      </c>
    </row>
    <row r="79" spans="2:59">
      <c r="B79" s="1">
        <v>45919</v>
      </c>
      <c r="P79" s="130">
        <f t="shared" si="8"/>
        <v>0</v>
      </c>
      <c r="Q79" s="17">
        <f t="shared" si="9"/>
        <v>0</v>
      </c>
      <c r="R79">
        <v>0</v>
      </c>
      <c r="S79" s="9">
        <f t="shared" si="10"/>
        <v>0</v>
      </c>
      <c r="AG79" s="99"/>
      <c r="AH79" s="99"/>
      <c r="AI79" s="99"/>
      <c r="AJ79" s="99"/>
      <c r="AK79" s="99"/>
      <c r="AL79" s="99"/>
      <c r="AM79" s="99"/>
      <c r="AN79" s="99"/>
      <c r="AO79" s="99"/>
      <c r="AP79" s="99"/>
      <c r="AQ79" s="99"/>
      <c r="AS79" s="9">
        <f t="shared" si="16"/>
        <v>0</v>
      </c>
      <c r="AU79" s="11">
        <f ca="1">IF(B79&lt;TODAY(),SUM($AT$6:AT79),"")</f>
        <v>103944.25</v>
      </c>
      <c r="AV79" s="11">
        <f ca="1">IF(B79&lt;TODAY(), SUMIFS($AT$8:AT79, $BG$8:BG79, BG79), "")</f>
        <v>0</v>
      </c>
      <c r="AY79" s="15"/>
      <c r="BA79" s="14"/>
      <c r="BB79" t="str">
        <f t="shared" si="29"/>
        <v>25</v>
      </c>
      <c r="BC79" t="str">
        <f t="shared" si="30"/>
        <v>09</v>
      </c>
      <c r="BD79" s="98" t="str">
        <f t="shared" si="34"/>
        <v>019</v>
      </c>
      <c r="BE79" t="str">
        <f t="shared" si="31"/>
        <v>4</v>
      </c>
      <c r="BF79" t="str">
        <f t="shared" si="33"/>
        <v>-2509019D</v>
      </c>
      <c r="BG79" t="str">
        <f t="shared" si="32"/>
        <v>2025-09</v>
      </c>
    </row>
    <row r="80" spans="2:59">
      <c r="B80" s="1">
        <v>45920</v>
      </c>
      <c r="P80" s="130">
        <f t="shared" si="8"/>
        <v>0</v>
      </c>
      <c r="Q80" s="17">
        <f t="shared" si="9"/>
        <v>0</v>
      </c>
      <c r="R80">
        <v>0</v>
      </c>
      <c r="S80" s="9">
        <f t="shared" si="10"/>
        <v>0</v>
      </c>
      <c r="AG80" s="99"/>
      <c r="AH80" s="99"/>
      <c r="AI80" s="99"/>
      <c r="AJ80" s="99"/>
      <c r="AK80" s="99"/>
      <c r="AL80" s="99"/>
      <c r="AM80" s="99"/>
      <c r="AN80" s="99"/>
      <c r="AO80" s="99"/>
      <c r="AP80" s="99"/>
      <c r="AQ80" s="99"/>
      <c r="AS80" s="9">
        <f t="shared" si="16"/>
        <v>0</v>
      </c>
      <c r="AU80" s="11">
        <f ca="1">IF(B80&lt;TODAY(),SUM($AT$6:AT80),"")</f>
        <v>103944.25</v>
      </c>
      <c r="AV80" s="11">
        <f ca="1">IF(B80&lt;TODAY(), SUMIFS($AT$8:AT80, $BG$8:BG80, BG80), "")</f>
        <v>0</v>
      </c>
      <c r="AY80" s="15"/>
      <c r="BA80" s="14"/>
      <c r="BB80" t="str">
        <f t="shared" si="29"/>
        <v>25</v>
      </c>
      <c r="BC80" t="str">
        <f t="shared" si="30"/>
        <v>09</v>
      </c>
      <c r="BD80" s="98" t="str">
        <f t="shared" si="34"/>
        <v>020</v>
      </c>
      <c r="BE80" t="str">
        <f t="shared" si="31"/>
        <v>4</v>
      </c>
      <c r="BF80" t="str">
        <f t="shared" si="33"/>
        <v>-2509020D</v>
      </c>
      <c r="BG80" t="str">
        <f t="shared" si="32"/>
        <v>2025-09</v>
      </c>
    </row>
    <row r="81" spans="2:59">
      <c r="B81" s="1">
        <v>45921</v>
      </c>
      <c r="P81" s="130">
        <f t="shared" si="8"/>
        <v>0</v>
      </c>
      <c r="Q81" s="17">
        <f t="shared" si="9"/>
        <v>0</v>
      </c>
      <c r="R81">
        <v>0</v>
      </c>
      <c r="S81" s="9">
        <f t="shared" si="10"/>
        <v>0</v>
      </c>
      <c r="AG81" s="99"/>
      <c r="AH81" s="99"/>
      <c r="AI81" s="99"/>
      <c r="AJ81" s="99"/>
      <c r="AK81" s="99"/>
      <c r="AL81" s="99"/>
      <c r="AM81" s="99"/>
      <c r="AN81" s="99"/>
      <c r="AO81" s="99"/>
      <c r="AP81" s="99"/>
      <c r="AQ81" s="99"/>
      <c r="AS81" s="9">
        <f t="shared" si="16"/>
        <v>0</v>
      </c>
      <c r="AU81" s="11">
        <f ca="1">IF(B81&lt;TODAY(),SUM($AT$6:AT81),"")</f>
        <v>103944.25</v>
      </c>
      <c r="AV81" s="11">
        <f ca="1">IF(B81&lt;TODAY(), SUMIFS($AT$8:AT81, $BG$8:BG81, BG81), "")</f>
        <v>0</v>
      </c>
      <c r="AY81" s="15"/>
      <c r="BA81" s="14"/>
      <c r="BB81" t="str">
        <f t="shared" si="29"/>
        <v>25</v>
      </c>
      <c r="BC81" t="str">
        <f t="shared" si="30"/>
        <v>09</v>
      </c>
      <c r="BD81" s="98" t="str">
        <f t="shared" si="34"/>
        <v>021</v>
      </c>
      <c r="BE81" t="str">
        <f t="shared" si="31"/>
        <v>4</v>
      </c>
      <c r="BF81" t="str">
        <f t="shared" si="33"/>
        <v>-2509021D</v>
      </c>
      <c r="BG81" t="str">
        <f t="shared" si="32"/>
        <v>2025-09</v>
      </c>
    </row>
    <row r="82" spans="2:59">
      <c r="B82" s="1">
        <v>45922</v>
      </c>
      <c r="P82" s="130">
        <f t="shared" ref="P82:P145" si="35">J82+K82+L82+M82+N82+O82</f>
        <v>0</v>
      </c>
      <c r="Q82" s="17">
        <f t="shared" ref="Q82:Q145" si="36">(J82*$J$3)+(K82*$K$3)+(L82*$L$3)+(M82*$M$3)+(N82*$N$3)+(O82*$O$3)</f>
        <v>0</v>
      </c>
      <c r="R82">
        <v>0</v>
      </c>
      <c r="S82" s="9">
        <f t="shared" ref="S82:S145" si="37">IF(Q82&lt;(R82*$R$3),(R82*$R$3),Q82)</f>
        <v>0</v>
      </c>
      <c r="AG82" s="99"/>
      <c r="AH82" s="99"/>
      <c r="AI82" s="99"/>
      <c r="AJ82" s="99"/>
      <c r="AK82" s="99"/>
      <c r="AL82" s="99"/>
      <c r="AM82" s="99"/>
      <c r="AN82" s="99"/>
      <c r="AO82" s="99"/>
      <c r="AP82" s="99"/>
      <c r="AQ82" s="99"/>
      <c r="AS82" s="9">
        <f t="shared" si="16"/>
        <v>0</v>
      </c>
      <c r="AU82" s="11">
        <f ca="1">IF(B82&lt;TODAY(),SUM($AT$6:AT82),"")</f>
        <v>103944.25</v>
      </c>
      <c r="AV82" s="11">
        <f ca="1">IF(B82&lt;TODAY(), SUMIFS($AT$8:AT82, $BG$8:BG82, BG82), "")</f>
        <v>0</v>
      </c>
      <c r="AY82" s="15"/>
      <c r="BA82" s="14"/>
      <c r="BB82" t="str">
        <f t="shared" si="29"/>
        <v>25</v>
      </c>
      <c r="BC82" t="str">
        <f t="shared" si="30"/>
        <v>09</v>
      </c>
      <c r="BD82" s="98" t="str">
        <f t="shared" si="34"/>
        <v>022</v>
      </c>
      <c r="BE82" t="str">
        <f t="shared" si="31"/>
        <v>4</v>
      </c>
      <c r="BF82" t="str">
        <f t="shared" si="33"/>
        <v>-2509022D</v>
      </c>
      <c r="BG82" t="str">
        <f t="shared" si="32"/>
        <v>2025-09</v>
      </c>
    </row>
    <row r="83" spans="2:59">
      <c r="B83" s="1">
        <v>45923</v>
      </c>
      <c r="P83" s="130">
        <f t="shared" si="35"/>
        <v>0</v>
      </c>
      <c r="Q83" s="17">
        <f t="shared" si="36"/>
        <v>0</v>
      </c>
      <c r="R83">
        <v>0</v>
      </c>
      <c r="S83" s="9">
        <f t="shared" si="37"/>
        <v>0</v>
      </c>
      <c r="AG83" s="99"/>
      <c r="AH83" s="99"/>
      <c r="AI83" s="99"/>
      <c r="AJ83" s="99"/>
      <c r="AK83" s="99"/>
      <c r="AL83" s="99"/>
      <c r="AM83" s="99"/>
      <c r="AN83" s="99"/>
      <c r="AO83" s="99"/>
      <c r="AP83" s="99"/>
      <c r="AQ83" s="99"/>
      <c r="AS83" s="9">
        <f t="shared" ref="AS83:AS146" si="38">($AG$3*AG83)+($AH$3*AH83)+($AI$3*AI83)+($AJ$3*AJ83)+($AK$3*AK83)+($AL$3*AL83)+($AM$3*AM83)+($AN$3*AN83)+($AO$3*AO83)+($AP$3*AP83)+AR83</f>
        <v>0</v>
      </c>
      <c r="AU83" s="11">
        <f ca="1">IF(B83&lt;TODAY(),SUM($AT$6:AT83),"")</f>
        <v>103944.25</v>
      </c>
      <c r="AV83" s="11">
        <f ca="1">IF(B83&lt;TODAY(), SUMIFS($AT$8:AT83, $BG$8:BG83, BG83), "")</f>
        <v>0</v>
      </c>
      <c r="AY83" s="15"/>
      <c r="BA83" s="14"/>
      <c r="BB83" t="str">
        <f t="shared" si="29"/>
        <v>25</v>
      </c>
      <c r="BC83" t="str">
        <f t="shared" si="30"/>
        <v>09</v>
      </c>
      <c r="BD83" s="98" t="str">
        <f t="shared" si="34"/>
        <v>023</v>
      </c>
      <c r="BE83" t="str">
        <f t="shared" si="31"/>
        <v>4</v>
      </c>
      <c r="BF83" t="str">
        <f t="shared" si="33"/>
        <v>-2509023D</v>
      </c>
      <c r="BG83" t="str">
        <f t="shared" si="32"/>
        <v>2025-09</v>
      </c>
    </row>
    <row r="84" spans="2:59">
      <c r="B84" s="1">
        <v>45924</v>
      </c>
      <c r="P84" s="130">
        <f t="shared" si="35"/>
        <v>0</v>
      </c>
      <c r="Q84" s="17">
        <f t="shared" si="36"/>
        <v>0</v>
      </c>
      <c r="R84">
        <v>0</v>
      </c>
      <c r="S84" s="9">
        <f t="shared" si="37"/>
        <v>0</v>
      </c>
      <c r="AG84" s="99"/>
      <c r="AH84" s="99"/>
      <c r="AI84" s="99"/>
      <c r="AJ84" s="99"/>
      <c r="AK84" s="99"/>
      <c r="AL84" s="99"/>
      <c r="AM84" s="99"/>
      <c r="AN84" s="99"/>
      <c r="AO84" s="99"/>
      <c r="AP84" s="99"/>
      <c r="AQ84" s="99"/>
      <c r="AS84" s="9">
        <f t="shared" si="38"/>
        <v>0</v>
      </c>
      <c r="AU84" s="11">
        <f ca="1">IF(B84&lt;TODAY(),SUM($AT$6:AT84),"")</f>
        <v>103944.25</v>
      </c>
      <c r="AV84" s="11">
        <f ca="1">IF(B84&lt;TODAY(), SUMIFS($AT$8:AT84, $BG$8:BG84, BG84), "")</f>
        <v>0</v>
      </c>
      <c r="AY84" s="15"/>
      <c r="BA84" s="14"/>
      <c r="BB84" t="str">
        <f t="shared" si="29"/>
        <v>25</v>
      </c>
      <c r="BC84" t="str">
        <f t="shared" si="30"/>
        <v>09</v>
      </c>
      <c r="BD84" s="98" t="str">
        <f t="shared" si="34"/>
        <v>024</v>
      </c>
      <c r="BE84" t="str">
        <f t="shared" si="31"/>
        <v>4</v>
      </c>
      <c r="BF84" t="str">
        <f t="shared" si="33"/>
        <v>-2509024D</v>
      </c>
      <c r="BG84" t="str">
        <f t="shared" si="32"/>
        <v>2025-09</v>
      </c>
    </row>
    <row r="85" spans="2:59">
      <c r="B85" s="1">
        <v>45925</v>
      </c>
      <c r="P85" s="130">
        <f t="shared" si="35"/>
        <v>0</v>
      </c>
      <c r="Q85" s="17">
        <f t="shared" si="36"/>
        <v>0</v>
      </c>
      <c r="R85">
        <v>0</v>
      </c>
      <c r="S85" s="9">
        <f t="shared" si="37"/>
        <v>0</v>
      </c>
      <c r="AG85" s="99"/>
      <c r="AH85" s="99"/>
      <c r="AI85" s="99"/>
      <c r="AJ85" s="99"/>
      <c r="AK85" s="99"/>
      <c r="AL85" s="99"/>
      <c r="AM85" s="99"/>
      <c r="AN85" s="99"/>
      <c r="AO85" s="99"/>
      <c r="AP85" s="99"/>
      <c r="AQ85" s="99"/>
      <c r="AS85" s="9">
        <f t="shared" si="38"/>
        <v>0</v>
      </c>
      <c r="AU85" s="11">
        <f ca="1">IF(B85&lt;TODAY(),SUM($AT$6:AT85),"")</f>
        <v>103944.25</v>
      </c>
      <c r="AV85" s="11">
        <f ca="1">IF(B85&lt;TODAY(), SUMIFS($AT$8:AT85, $BG$8:BG85, BG85), "")</f>
        <v>0</v>
      </c>
      <c r="AY85" s="15"/>
      <c r="BA85" s="14"/>
      <c r="BB85" t="str">
        <f t="shared" si="29"/>
        <v>25</v>
      </c>
      <c r="BC85" t="str">
        <f t="shared" si="30"/>
        <v>09</v>
      </c>
      <c r="BD85" s="98" t="str">
        <f t="shared" si="34"/>
        <v>025</v>
      </c>
      <c r="BE85" t="str">
        <f t="shared" si="31"/>
        <v>4</v>
      </c>
      <c r="BF85" t="str">
        <f t="shared" si="33"/>
        <v>-2509025D</v>
      </c>
      <c r="BG85" t="str">
        <f t="shared" si="32"/>
        <v>2025-09</v>
      </c>
    </row>
    <row r="86" spans="2:59">
      <c r="B86" s="1">
        <v>45926</v>
      </c>
      <c r="P86" s="130">
        <f t="shared" si="35"/>
        <v>0</v>
      </c>
      <c r="Q86" s="17">
        <f t="shared" si="36"/>
        <v>0</v>
      </c>
      <c r="R86">
        <v>0</v>
      </c>
      <c r="S86" s="9">
        <f t="shared" si="37"/>
        <v>0</v>
      </c>
      <c r="AG86" s="99"/>
      <c r="AH86" s="99"/>
      <c r="AI86" s="99"/>
      <c r="AJ86" s="99"/>
      <c r="AK86" s="99"/>
      <c r="AL86" s="99"/>
      <c r="AM86" s="99"/>
      <c r="AN86" s="99"/>
      <c r="AO86" s="99"/>
      <c r="AP86" s="99"/>
      <c r="AQ86" s="99"/>
      <c r="AS86" s="9">
        <f t="shared" si="38"/>
        <v>0</v>
      </c>
      <c r="AU86" s="11">
        <f ca="1">IF(B86&lt;TODAY(),SUM($AT$6:AT86),"")</f>
        <v>103944.25</v>
      </c>
      <c r="AV86" s="11">
        <f ca="1">IF(B86&lt;TODAY(), SUMIFS($AT$8:AT86, $BG$8:BG86, BG86), "")</f>
        <v>0</v>
      </c>
      <c r="AY86" s="15"/>
      <c r="BA86" s="14"/>
      <c r="BB86" t="str">
        <f t="shared" si="29"/>
        <v>25</v>
      </c>
      <c r="BC86" t="str">
        <f t="shared" si="30"/>
        <v>09</v>
      </c>
      <c r="BD86" s="98">
        <f t="shared" ref="BD86:BD106" si="39">DAY(B86)</f>
        <v>26</v>
      </c>
      <c r="BE86" t="str">
        <f t="shared" si="31"/>
        <v>4</v>
      </c>
      <c r="BF86" t="str">
        <f t="shared" si="33"/>
        <v>-250926D</v>
      </c>
      <c r="BG86" t="str">
        <f t="shared" si="32"/>
        <v>2025-09</v>
      </c>
    </row>
    <row r="87" spans="2:59">
      <c r="B87" s="1">
        <v>45927</v>
      </c>
      <c r="P87" s="130">
        <f t="shared" si="35"/>
        <v>0</v>
      </c>
      <c r="Q87" s="17">
        <f t="shared" si="36"/>
        <v>0</v>
      </c>
      <c r="R87">
        <v>0</v>
      </c>
      <c r="S87" s="9">
        <f t="shared" si="37"/>
        <v>0</v>
      </c>
      <c r="AG87" s="99"/>
      <c r="AH87" s="99"/>
      <c r="AI87" s="99"/>
      <c r="AJ87" s="99"/>
      <c r="AK87" s="99"/>
      <c r="AL87" s="99"/>
      <c r="AM87" s="99"/>
      <c r="AN87" s="99"/>
      <c r="AO87" s="99"/>
      <c r="AP87" s="99"/>
      <c r="AQ87" s="99"/>
      <c r="AS87" s="9">
        <f t="shared" si="38"/>
        <v>0</v>
      </c>
      <c r="AU87" s="11">
        <f ca="1">IF(B87&lt;TODAY(),SUM($AT$6:AT87),"")</f>
        <v>103944.25</v>
      </c>
      <c r="AV87" s="11">
        <f ca="1">IF(B87&lt;TODAY(), SUMIFS($AT$8:AT87, $BG$8:BG87, BG87), "")</f>
        <v>0</v>
      </c>
      <c r="AY87" s="15"/>
      <c r="BA87" s="14"/>
      <c r="BB87" t="str">
        <f t="shared" si="29"/>
        <v>25</v>
      </c>
      <c r="BC87" t="str">
        <f t="shared" si="30"/>
        <v>09</v>
      </c>
      <c r="BD87" s="98">
        <f t="shared" si="39"/>
        <v>27</v>
      </c>
      <c r="BE87" t="str">
        <f t="shared" si="31"/>
        <v>4</v>
      </c>
      <c r="BF87" t="str">
        <f t="shared" si="33"/>
        <v>-250927D</v>
      </c>
      <c r="BG87" t="str">
        <f t="shared" si="32"/>
        <v>2025-09</v>
      </c>
    </row>
    <row r="88" spans="2:59">
      <c r="B88" s="1">
        <v>45928</v>
      </c>
      <c r="P88" s="130">
        <f t="shared" si="35"/>
        <v>0</v>
      </c>
      <c r="Q88" s="17">
        <f t="shared" si="36"/>
        <v>0</v>
      </c>
      <c r="R88">
        <v>0</v>
      </c>
      <c r="S88" s="9">
        <f t="shared" si="37"/>
        <v>0</v>
      </c>
      <c r="AG88" s="99"/>
      <c r="AH88" s="99"/>
      <c r="AI88" s="99"/>
      <c r="AJ88" s="99"/>
      <c r="AK88" s="99"/>
      <c r="AL88" s="99"/>
      <c r="AM88" s="99"/>
      <c r="AN88" s="99"/>
      <c r="AO88" s="99"/>
      <c r="AP88" s="99"/>
      <c r="AQ88" s="99"/>
      <c r="AS88" s="9">
        <f t="shared" si="38"/>
        <v>0</v>
      </c>
      <c r="AU88" s="11">
        <f ca="1">IF(B88&lt;TODAY(),SUM($AT$6:AT88),"")</f>
        <v>103944.25</v>
      </c>
      <c r="AV88" s="11">
        <f ca="1">IF(B88&lt;TODAY(), SUMIFS($AT$8:AT88, $BG$8:BG88, BG88), "")</f>
        <v>0</v>
      </c>
      <c r="AY88" s="15"/>
      <c r="BA88" s="14"/>
      <c r="BB88" t="str">
        <f t="shared" si="29"/>
        <v>25</v>
      </c>
      <c r="BC88" t="str">
        <f t="shared" si="30"/>
        <v>09</v>
      </c>
      <c r="BD88" s="98">
        <f t="shared" si="39"/>
        <v>28</v>
      </c>
      <c r="BE88" t="str">
        <f t="shared" si="31"/>
        <v>4</v>
      </c>
      <c r="BF88" t="str">
        <f t="shared" si="33"/>
        <v>-250928D</v>
      </c>
      <c r="BG88" t="str">
        <f t="shared" si="32"/>
        <v>2025-09</v>
      </c>
    </row>
    <row r="89" spans="2:59">
      <c r="B89" s="1">
        <v>45929</v>
      </c>
      <c r="P89" s="130">
        <f t="shared" si="35"/>
        <v>0</v>
      </c>
      <c r="Q89" s="17">
        <f t="shared" si="36"/>
        <v>0</v>
      </c>
      <c r="R89">
        <v>0</v>
      </c>
      <c r="S89" s="9">
        <f t="shared" si="37"/>
        <v>0</v>
      </c>
      <c r="AG89" s="99"/>
      <c r="AH89" s="99"/>
      <c r="AI89" s="99"/>
      <c r="AJ89" s="99"/>
      <c r="AK89" s="99"/>
      <c r="AL89" s="99"/>
      <c r="AM89" s="99"/>
      <c r="AN89" s="99"/>
      <c r="AO89" s="99"/>
      <c r="AP89" s="99"/>
      <c r="AQ89" s="99"/>
      <c r="AS89" s="9">
        <f t="shared" si="38"/>
        <v>0</v>
      </c>
      <c r="AU89" s="11">
        <f ca="1">IF(B89&lt;TODAY(),SUM($AT$6:AT89),"")</f>
        <v>103944.25</v>
      </c>
      <c r="AV89" s="11">
        <f ca="1">IF(B89&lt;TODAY(), SUMIFS($AT$8:AT89, $BG$8:BG89, BG89), "")</f>
        <v>0</v>
      </c>
      <c r="AY89" s="15"/>
      <c r="BA89" s="14"/>
      <c r="BB89" t="str">
        <f t="shared" si="29"/>
        <v>25</v>
      </c>
      <c r="BC89" t="str">
        <f t="shared" si="30"/>
        <v>09</v>
      </c>
      <c r="BD89" s="98">
        <f t="shared" si="39"/>
        <v>29</v>
      </c>
      <c r="BE89" t="str">
        <f t="shared" si="31"/>
        <v>4</v>
      </c>
      <c r="BF89" t="str">
        <f t="shared" si="33"/>
        <v>-250929D</v>
      </c>
      <c r="BG89" t="str">
        <f t="shared" si="32"/>
        <v>2025-09</v>
      </c>
    </row>
    <row r="90" spans="2:59">
      <c r="B90" s="1">
        <v>45930</v>
      </c>
      <c r="P90" s="130">
        <f t="shared" si="35"/>
        <v>0</v>
      </c>
      <c r="Q90" s="17">
        <f t="shared" si="36"/>
        <v>0</v>
      </c>
      <c r="R90">
        <v>0</v>
      </c>
      <c r="S90" s="9">
        <f t="shared" si="37"/>
        <v>0</v>
      </c>
      <c r="AG90" s="99"/>
      <c r="AH90" s="99"/>
      <c r="AI90" s="99"/>
      <c r="AJ90" s="99"/>
      <c r="AK90" s="99"/>
      <c r="AL90" s="99"/>
      <c r="AM90" s="99"/>
      <c r="AN90" s="99"/>
      <c r="AO90" s="99"/>
      <c r="AP90" s="99"/>
      <c r="AQ90" s="99"/>
      <c r="AS90" s="9">
        <f t="shared" si="38"/>
        <v>0</v>
      </c>
      <c r="AU90" s="11">
        <f ca="1">IF(B90&lt;TODAY(),SUM($AT$6:AT90),"")</f>
        <v>103944.25</v>
      </c>
      <c r="AV90" s="11">
        <f ca="1">IF(B90&lt;TODAY(), SUMIFS($AT$8:AT90, $BG$8:BG90, BG90), "")</f>
        <v>0</v>
      </c>
      <c r="AY90" s="15"/>
      <c r="BA90" s="14"/>
      <c r="BB90" t="str">
        <f t="shared" si="29"/>
        <v>25</v>
      </c>
      <c r="BC90" t="str">
        <f t="shared" si="30"/>
        <v>09</v>
      </c>
      <c r="BD90" s="98">
        <f t="shared" si="39"/>
        <v>30</v>
      </c>
      <c r="BE90" t="str">
        <f t="shared" si="31"/>
        <v>4</v>
      </c>
      <c r="BF90" t="str">
        <f t="shared" si="33"/>
        <v>-250930D</v>
      </c>
      <c r="BG90" t="str">
        <f t="shared" si="32"/>
        <v>2025-09</v>
      </c>
    </row>
    <row r="91" spans="2:59">
      <c r="B91" s="1">
        <v>45931</v>
      </c>
      <c r="P91" s="130">
        <f t="shared" si="35"/>
        <v>0</v>
      </c>
      <c r="Q91" s="17">
        <f t="shared" si="36"/>
        <v>0</v>
      </c>
      <c r="R91">
        <v>0</v>
      </c>
      <c r="S91" s="9">
        <f t="shared" si="37"/>
        <v>0</v>
      </c>
      <c r="AG91" s="99"/>
      <c r="AH91" s="99"/>
      <c r="AI91" s="99"/>
      <c r="AJ91" s="99"/>
      <c r="AK91" s="99"/>
      <c r="AL91" s="99"/>
      <c r="AM91" s="99"/>
      <c r="AN91" s="99"/>
      <c r="AO91" s="99"/>
      <c r="AP91" s="99"/>
      <c r="AQ91" s="99"/>
      <c r="AS91" s="9">
        <f t="shared" si="38"/>
        <v>0</v>
      </c>
      <c r="AU91" s="11">
        <f ca="1">IF(B91&lt;TODAY(),SUM($AT$6:AT91),"")</f>
        <v>103944.25</v>
      </c>
      <c r="AV91" s="11">
        <f ca="1">IF(B91&lt;TODAY(), SUMIFS($AT$8:AT91, $BG$8:BG91, BG91), "")</f>
        <v>0</v>
      </c>
      <c r="AY91" s="15"/>
      <c r="BA91" s="14"/>
      <c r="BB91" t="str">
        <f t="shared" si="29"/>
        <v>25</v>
      </c>
      <c r="BC91" t="str">
        <f t="shared" si="30"/>
        <v>010</v>
      </c>
      <c r="BD91" s="98">
        <f t="shared" si="39"/>
        <v>1</v>
      </c>
      <c r="BE91" t="str">
        <f t="shared" si="31"/>
        <v>4</v>
      </c>
      <c r="BF91" t="str">
        <f t="shared" si="33"/>
        <v>-250101D</v>
      </c>
      <c r="BG91" t="str">
        <f t="shared" si="32"/>
        <v>2025-10</v>
      </c>
    </row>
    <row r="92" spans="2:59">
      <c r="B92" s="1">
        <v>45932</v>
      </c>
      <c r="P92" s="130">
        <f t="shared" si="35"/>
        <v>0</v>
      </c>
      <c r="Q92" s="17">
        <f t="shared" si="36"/>
        <v>0</v>
      </c>
      <c r="R92">
        <v>0</v>
      </c>
      <c r="S92" s="9">
        <f t="shared" si="37"/>
        <v>0</v>
      </c>
      <c r="AG92" s="99"/>
      <c r="AH92" s="99"/>
      <c r="AI92" s="99"/>
      <c r="AJ92" s="99"/>
      <c r="AK92" s="99"/>
      <c r="AL92" s="99"/>
      <c r="AM92" s="99"/>
      <c r="AN92" s="99"/>
      <c r="AO92" s="99"/>
      <c r="AP92" s="99"/>
      <c r="AQ92" s="99"/>
      <c r="AS92" s="9">
        <f t="shared" si="38"/>
        <v>0</v>
      </c>
      <c r="AU92" s="11">
        <f ca="1">IF(B92&lt;TODAY(),SUM($AT$6:AT92),"")</f>
        <v>103944.25</v>
      </c>
      <c r="AV92" s="11">
        <f ca="1">IF(B92&lt;TODAY(), SUMIFS($AT$8:AT92, $BG$8:BG92, BG92), "")</f>
        <v>0</v>
      </c>
      <c r="AY92" s="15"/>
      <c r="BA92" s="14"/>
      <c r="BB92" t="str">
        <f t="shared" si="29"/>
        <v>25</v>
      </c>
      <c r="BC92" t="str">
        <f t="shared" si="30"/>
        <v>010</v>
      </c>
      <c r="BD92" s="98">
        <f t="shared" si="39"/>
        <v>2</v>
      </c>
      <c r="BE92" t="str">
        <f t="shared" si="31"/>
        <v>4</v>
      </c>
      <c r="BF92" t="str">
        <f t="shared" si="33"/>
        <v>-250102D</v>
      </c>
      <c r="BG92" t="str">
        <f t="shared" si="32"/>
        <v>2025-10</v>
      </c>
    </row>
    <row r="93" spans="2:59">
      <c r="B93" s="1">
        <v>45933</v>
      </c>
      <c r="P93" s="130">
        <f t="shared" si="35"/>
        <v>0</v>
      </c>
      <c r="Q93" s="17">
        <f t="shared" si="36"/>
        <v>0</v>
      </c>
      <c r="R93">
        <v>0</v>
      </c>
      <c r="S93" s="9">
        <f t="shared" si="37"/>
        <v>0</v>
      </c>
      <c r="AG93" s="99"/>
      <c r="AH93" s="99"/>
      <c r="AI93" s="99"/>
      <c r="AJ93" s="99"/>
      <c r="AK93" s="99"/>
      <c r="AL93" s="99"/>
      <c r="AM93" s="99"/>
      <c r="AN93" s="99"/>
      <c r="AO93" s="99"/>
      <c r="AP93" s="99"/>
      <c r="AQ93" s="99"/>
      <c r="AS93" s="9">
        <f t="shared" si="38"/>
        <v>0</v>
      </c>
      <c r="AU93" s="11">
        <f ca="1">IF(B93&lt;TODAY(),SUM($AT$6:AT93),"")</f>
        <v>103944.25</v>
      </c>
      <c r="AV93" s="11">
        <f ca="1">IF(B93&lt;TODAY(), SUMIFS($AT$8:AT93, $BG$8:BG93, BG93), "")</f>
        <v>0</v>
      </c>
      <c r="AY93" s="15"/>
      <c r="BA93" s="14"/>
      <c r="BB93" t="str">
        <f t="shared" si="29"/>
        <v>25</v>
      </c>
      <c r="BC93" t="str">
        <f t="shared" si="30"/>
        <v>010</v>
      </c>
      <c r="BD93" s="98">
        <f t="shared" si="39"/>
        <v>3</v>
      </c>
      <c r="BE93" t="str">
        <f t="shared" si="31"/>
        <v>4</v>
      </c>
      <c r="BF93" t="str">
        <f t="shared" si="33"/>
        <v>-250103D</v>
      </c>
      <c r="BG93" t="str">
        <f t="shared" si="32"/>
        <v>2025-10</v>
      </c>
    </row>
    <row r="94" spans="2:59">
      <c r="B94" s="1">
        <v>45934</v>
      </c>
      <c r="P94" s="130">
        <f t="shared" si="35"/>
        <v>0</v>
      </c>
      <c r="Q94" s="17">
        <f t="shared" si="36"/>
        <v>0</v>
      </c>
      <c r="R94">
        <v>0</v>
      </c>
      <c r="S94" s="9">
        <f t="shared" si="37"/>
        <v>0</v>
      </c>
      <c r="AG94" s="99"/>
      <c r="AH94" s="99"/>
      <c r="AI94" s="99"/>
      <c r="AJ94" s="99"/>
      <c r="AK94" s="99"/>
      <c r="AL94" s="99"/>
      <c r="AM94" s="99"/>
      <c r="AN94" s="99"/>
      <c r="AO94" s="99"/>
      <c r="AP94" s="99"/>
      <c r="AQ94" s="99"/>
      <c r="AS94" s="9">
        <f t="shared" si="38"/>
        <v>0</v>
      </c>
      <c r="AU94" s="11">
        <f ca="1">IF(B94&lt;TODAY(),SUM($AT$6:AT94),"")</f>
        <v>103944.25</v>
      </c>
      <c r="AV94" s="11">
        <f ca="1">IF(B94&lt;TODAY(), SUMIFS($AT$8:AT94, $BG$8:BG94, BG94), "")</f>
        <v>0</v>
      </c>
      <c r="AY94" s="15"/>
      <c r="BA94" s="14"/>
      <c r="BB94" t="str">
        <f t="shared" si="29"/>
        <v>25</v>
      </c>
      <c r="BC94" t="str">
        <f t="shared" si="30"/>
        <v>010</v>
      </c>
      <c r="BD94" s="98">
        <f t="shared" si="39"/>
        <v>4</v>
      </c>
      <c r="BE94" t="str">
        <f t="shared" si="31"/>
        <v>4</v>
      </c>
      <c r="BF94" t="str">
        <f t="shared" si="33"/>
        <v>-250104D</v>
      </c>
      <c r="BG94" t="str">
        <f t="shared" si="32"/>
        <v>2025-10</v>
      </c>
    </row>
    <row r="95" spans="2:59">
      <c r="B95" s="1">
        <v>45935</v>
      </c>
      <c r="P95" s="130">
        <f t="shared" si="35"/>
        <v>0</v>
      </c>
      <c r="Q95" s="17">
        <f t="shared" si="36"/>
        <v>0</v>
      </c>
      <c r="R95">
        <v>0</v>
      </c>
      <c r="S95" s="9">
        <f t="shared" si="37"/>
        <v>0</v>
      </c>
      <c r="AG95" s="99"/>
      <c r="AH95" s="99"/>
      <c r="AI95" s="99"/>
      <c r="AJ95" s="99"/>
      <c r="AK95" s="99"/>
      <c r="AL95" s="99"/>
      <c r="AM95" s="99"/>
      <c r="AN95" s="99"/>
      <c r="AO95" s="99"/>
      <c r="AP95" s="99"/>
      <c r="AQ95" s="99"/>
      <c r="AS95" s="9">
        <f t="shared" si="38"/>
        <v>0</v>
      </c>
      <c r="AU95" s="11">
        <f ca="1">IF(B95&lt;TODAY(),SUM($AT$6:AT95),"")</f>
        <v>103944.25</v>
      </c>
      <c r="AV95" s="11">
        <f ca="1">IF(B95&lt;TODAY(), SUMIFS($AT$8:AT95, $BG$8:BG95, BG95), "")</f>
        <v>0</v>
      </c>
      <c r="AY95" s="15"/>
      <c r="BA95" s="14"/>
      <c r="BB95" t="str">
        <f t="shared" si="29"/>
        <v>25</v>
      </c>
      <c r="BC95" t="str">
        <f t="shared" si="30"/>
        <v>010</v>
      </c>
      <c r="BD95" s="98">
        <f t="shared" si="39"/>
        <v>5</v>
      </c>
      <c r="BE95" t="str">
        <f t="shared" si="31"/>
        <v>4</v>
      </c>
      <c r="BF95" t="str">
        <f t="shared" si="33"/>
        <v>-250105D</v>
      </c>
      <c r="BG95" t="str">
        <f t="shared" si="32"/>
        <v>2025-10</v>
      </c>
    </row>
    <row r="96" spans="2:59">
      <c r="B96" s="1">
        <v>45936</v>
      </c>
      <c r="P96" s="130">
        <f t="shared" si="35"/>
        <v>0</v>
      </c>
      <c r="Q96" s="17">
        <f t="shared" si="36"/>
        <v>0</v>
      </c>
      <c r="R96">
        <v>0</v>
      </c>
      <c r="S96" s="9">
        <f t="shared" si="37"/>
        <v>0</v>
      </c>
      <c r="AG96" s="99"/>
      <c r="AH96" s="99"/>
      <c r="AI96" s="99"/>
      <c r="AJ96" s="99"/>
      <c r="AK96" s="99"/>
      <c r="AL96" s="99"/>
      <c r="AM96" s="99"/>
      <c r="AN96" s="99"/>
      <c r="AO96" s="99"/>
      <c r="AP96" s="99"/>
      <c r="AQ96" s="99"/>
      <c r="AS96" s="9">
        <f t="shared" si="38"/>
        <v>0</v>
      </c>
      <c r="AU96" s="11">
        <f ca="1">IF(B96&lt;TODAY(),SUM($AT$6:AT96),"")</f>
        <v>103944.25</v>
      </c>
      <c r="AV96" s="11">
        <f ca="1">IF(B96&lt;TODAY(), SUMIFS($AT$8:AT96, $BG$8:BG96, BG96), "")</f>
        <v>0</v>
      </c>
      <c r="AY96" s="15"/>
      <c r="BA96" s="14"/>
      <c r="BB96" t="str">
        <f t="shared" si="29"/>
        <v>25</v>
      </c>
      <c r="BC96" t="str">
        <f t="shared" si="30"/>
        <v>010</v>
      </c>
      <c r="BD96" s="98">
        <f t="shared" si="39"/>
        <v>6</v>
      </c>
      <c r="BE96" t="str">
        <f t="shared" si="31"/>
        <v>4</v>
      </c>
      <c r="BF96" t="str">
        <f t="shared" si="33"/>
        <v>-250106D</v>
      </c>
      <c r="BG96" t="str">
        <f t="shared" si="32"/>
        <v>2025-10</v>
      </c>
    </row>
    <row r="97" spans="2:59">
      <c r="B97" s="1">
        <v>45937</v>
      </c>
      <c r="P97" s="130">
        <f t="shared" si="35"/>
        <v>0</v>
      </c>
      <c r="Q97" s="17">
        <f t="shared" si="36"/>
        <v>0</v>
      </c>
      <c r="R97">
        <v>0</v>
      </c>
      <c r="S97" s="9">
        <f t="shared" si="37"/>
        <v>0</v>
      </c>
      <c r="AG97" s="99"/>
      <c r="AH97" s="99"/>
      <c r="AI97" s="99"/>
      <c r="AJ97" s="99"/>
      <c r="AK97" s="99"/>
      <c r="AL97" s="99"/>
      <c r="AM97" s="99"/>
      <c r="AN97" s="99"/>
      <c r="AO97" s="99"/>
      <c r="AP97" s="99"/>
      <c r="AQ97" s="99"/>
      <c r="AS97" s="9">
        <f t="shared" si="38"/>
        <v>0</v>
      </c>
      <c r="AU97" s="11">
        <f ca="1">IF(B97&lt;TODAY(),SUM($AT$6:AT97),"")</f>
        <v>103944.25</v>
      </c>
      <c r="AV97" s="11">
        <f ca="1">IF(B97&lt;TODAY(), SUMIFS($AT$8:AT97, $BG$8:BG97, BG97), "")</f>
        <v>0</v>
      </c>
      <c r="AY97" s="15"/>
      <c r="BA97" s="14"/>
      <c r="BB97" t="str">
        <f t="shared" si="29"/>
        <v>25</v>
      </c>
      <c r="BC97" t="str">
        <f t="shared" si="30"/>
        <v>010</v>
      </c>
      <c r="BD97" s="98">
        <f t="shared" si="39"/>
        <v>7</v>
      </c>
      <c r="BE97" t="str">
        <f t="shared" si="31"/>
        <v>4</v>
      </c>
      <c r="BF97" t="str">
        <f t="shared" si="33"/>
        <v>-250107D</v>
      </c>
      <c r="BG97" t="str">
        <f t="shared" si="32"/>
        <v>2025-10</v>
      </c>
    </row>
    <row r="98" spans="2:59">
      <c r="B98" s="1">
        <v>45938</v>
      </c>
      <c r="P98" s="130">
        <f t="shared" si="35"/>
        <v>0</v>
      </c>
      <c r="Q98" s="17">
        <f t="shared" si="36"/>
        <v>0</v>
      </c>
      <c r="R98">
        <v>0</v>
      </c>
      <c r="S98" s="9">
        <f t="shared" si="37"/>
        <v>0</v>
      </c>
      <c r="AG98" s="99"/>
      <c r="AH98" s="99"/>
      <c r="AI98" s="99"/>
      <c r="AJ98" s="99"/>
      <c r="AK98" s="99"/>
      <c r="AL98" s="99"/>
      <c r="AM98" s="99"/>
      <c r="AN98" s="99"/>
      <c r="AO98" s="99"/>
      <c r="AP98" s="99"/>
      <c r="AQ98" s="99"/>
      <c r="AS98" s="9">
        <f t="shared" si="38"/>
        <v>0</v>
      </c>
      <c r="AU98" s="11">
        <f ca="1">IF(B98&lt;TODAY(),SUM($AT$6:AT98),"")</f>
        <v>103944.25</v>
      </c>
      <c r="AV98" s="11">
        <f ca="1">IF(B98&lt;TODAY(), SUMIFS($AT$8:AT98, $BG$8:BG98, BG98), "")</f>
        <v>0</v>
      </c>
      <c r="AY98" s="15"/>
      <c r="BA98" s="14"/>
      <c r="BB98" t="str">
        <f t="shared" si="29"/>
        <v>25</v>
      </c>
      <c r="BC98" t="str">
        <f t="shared" si="30"/>
        <v>010</v>
      </c>
      <c r="BD98" s="98">
        <f t="shared" si="39"/>
        <v>8</v>
      </c>
      <c r="BE98" t="str">
        <f t="shared" si="31"/>
        <v>4</v>
      </c>
      <c r="BF98" t="str">
        <f t="shared" si="33"/>
        <v>-250108D</v>
      </c>
      <c r="BG98" t="str">
        <f t="shared" si="32"/>
        <v>2025-10</v>
      </c>
    </row>
    <row r="99" spans="2:59">
      <c r="B99" s="1">
        <v>45939</v>
      </c>
      <c r="P99" s="130">
        <f t="shared" si="35"/>
        <v>0</v>
      </c>
      <c r="Q99" s="17">
        <f t="shared" si="36"/>
        <v>0</v>
      </c>
      <c r="R99">
        <v>0</v>
      </c>
      <c r="S99" s="9">
        <f t="shared" si="37"/>
        <v>0</v>
      </c>
      <c r="AG99" s="99"/>
      <c r="AH99" s="99"/>
      <c r="AI99" s="99"/>
      <c r="AJ99" s="99"/>
      <c r="AK99" s="99"/>
      <c r="AL99" s="99"/>
      <c r="AM99" s="99"/>
      <c r="AN99" s="99"/>
      <c r="AO99" s="99"/>
      <c r="AP99" s="99"/>
      <c r="AQ99" s="99"/>
      <c r="AS99" s="9">
        <f t="shared" si="38"/>
        <v>0</v>
      </c>
      <c r="AU99" s="11">
        <f ca="1">IF(B99&lt;TODAY(),SUM($AT$6:AT99),"")</f>
        <v>103944.25</v>
      </c>
      <c r="AV99" s="11">
        <f ca="1">IF(B99&lt;TODAY(), SUMIFS($AT$8:AT99, $BG$8:BG99, BG99), "")</f>
        <v>0</v>
      </c>
      <c r="AY99" s="15"/>
      <c r="BA99" s="14"/>
      <c r="BB99" t="str">
        <f t="shared" si="29"/>
        <v>25</v>
      </c>
      <c r="BC99" t="str">
        <f t="shared" si="30"/>
        <v>010</v>
      </c>
      <c r="BD99" s="98">
        <f t="shared" si="39"/>
        <v>9</v>
      </c>
      <c r="BE99" t="str">
        <f t="shared" si="31"/>
        <v>4</v>
      </c>
      <c r="BF99" t="str">
        <f t="shared" si="33"/>
        <v>-250109D</v>
      </c>
      <c r="BG99" t="str">
        <f t="shared" si="32"/>
        <v>2025-10</v>
      </c>
    </row>
    <row r="100" spans="2:59">
      <c r="B100" s="1">
        <v>45940</v>
      </c>
      <c r="P100" s="130">
        <f t="shared" si="35"/>
        <v>0</v>
      </c>
      <c r="Q100" s="17">
        <f t="shared" si="36"/>
        <v>0</v>
      </c>
      <c r="R100">
        <v>0</v>
      </c>
      <c r="S100" s="9">
        <f t="shared" si="37"/>
        <v>0</v>
      </c>
      <c r="AG100" s="99"/>
      <c r="AH100" s="99"/>
      <c r="AI100" s="99"/>
      <c r="AJ100" s="99"/>
      <c r="AK100" s="99"/>
      <c r="AL100" s="99"/>
      <c r="AM100" s="99"/>
      <c r="AN100" s="99"/>
      <c r="AO100" s="99"/>
      <c r="AP100" s="99"/>
      <c r="AQ100" s="99"/>
      <c r="AS100" s="9">
        <f t="shared" si="38"/>
        <v>0</v>
      </c>
      <c r="AU100" s="11">
        <f ca="1">IF(B100&lt;TODAY(),SUM($AT$6:AT100),"")</f>
        <v>103944.25</v>
      </c>
      <c r="AV100" s="11">
        <f ca="1">IF(B100&lt;TODAY(), SUMIFS($AT$8:AT100, $BG$8:BG100, BG100), "")</f>
        <v>0</v>
      </c>
      <c r="AY100" s="15"/>
      <c r="BA100" s="14"/>
      <c r="BB100" t="str">
        <f t="shared" si="29"/>
        <v>25</v>
      </c>
      <c r="BC100" t="str">
        <f t="shared" si="30"/>
        <v>010</v>
      </c>
      <c r="BD100" s="98">
        <f t="shared" si="39"/>
        <v>10</v>
      </c>
      <c r="BE100" t="str">
        <f t="shared" si="31"/>
        <v>4</v>
      </c>
      <c r="BF100" t="str">
        <f t="shared" si="33"/>
        <v>-2501010D</v>
      </c>
      <c r="BG100" t="str">
        <f t="shared" si="32"/>
        <v>2025-10</v>
      </c>
    </row>
    <row r="101" spans="2:59">
      <c r="B101" s="1">
        <v>45941</v>
      </c>
      <c r="P101" s="130">
        <f t="shared" si="35"/>
        <v>0</v>
      </c>
      <c r="Q101" s="17">
        <f t="shared" si="36"/>
        <v>0</v>
      </c>
      <c r="R101">
        <v>0</v>
      </c>
      <c r="S101" s="9">
        <f t="shared" si="37"/>
        <v>0</v>
      </c>
      <c r="AG101" s="99"/>
      <c r="AH101" s="99"/>
      <c r="AI101" s="99"/>
      <c r="AJ101" s="99"/>
      <c r="AK101" s="99"/>
      <c r="AL101" s="99"/>
      <c r="AM101" s="99"/>
      <c r="AN101" s="99"/>
      <c r="AO101" s="99"/>
      <c r="AP101" s="99"/>
      <c r="AQ101" s="99"/>
      <c r="AS101" s="9">
        <f t="shared" si="38"/>
        <v>0</v>
      </c>
      <c r="AU101" s="11">
        <f ca="1">IF(B101&lt;TODAY(),SUM($AT$6:AT101),"")</f>
        <v>103944.25</v>
      </c>
      <c r="AV101" s="11">
        <f ca="1">IF(B101&lt;TODAY(), SUMIFS($AT$8:AT101, $BG$8:BG101, BG101), "")</f>
        <v>0</v>
      </c>
      <c r="AY101" s="15"/>
      <c r="BA101" s="14"/>
      <c r="BB101" t="str">
        <f t="shared" si="29"/>
        <v>25</v>
      </c>
      <c r="BC101" t="str">
        <f t="shared" si="30"/>
        <v>010</v>
      </c>
      <c r="BD101" s="98">
        <f t="shared" si="39"/>
        <v>11</v>
      </c>
      <c r="BE101" t="str">
        <f t="shared" si="31"/>
        <v>4</v>
      </c>
      <c r="BF101" t="str">
        <f t="shared" si="33"/>
        <v>-2501011D</v>
      </c>
      <c r="BG101" t="str">
        <f t="shared" si="32"/>
        <v>2025-10</v>
      </c>
    </row>
    <row r="102" spans="2:59">
      <c r="B102" s="1">
        <v>45942</v>
      </c>
      <c r="P102" s="130">
        <f t="shared" si="35"/>
        <v>0</v>
      </c>
      <c r="Q102" s="17">
        <f t="shared" si="36"/>
        <v>0</v>
      </c>
      <c r="R102">
        <v>0</v>
      </c>
      <c r="S102" s="9">
        <f t="shared" si="37"/>
        <v>0</v>
      </c>
      <c r="AG102" s="99"/>
      <c r="AH102" s="99"/>
      <c r="AI102" s="99"/>
      <c r="AJ102" s="99"/>
      <c r="AK102" s="99"/>
      <c r="AL102" s="99"/>
      <c r="AM102" s="99"/>
      <c r="AN102" s="99"/>
      <c r="AO102" s="99"/>
      <c r="AP102" s="99"/>
      <c r="AQ102" s="99"/>
      <c r="AS102" s="9">
        <f t="shared" si="38"/>
        <v>0</v>
      </c>
      <c r="AU102" s="11">
        <f ca="1">IF(B102&lt;TODAY(),SUM($AT$6:AT102),"")</f>
        <v>103944.25</v>
      </c>
      <c r="AV102" s="11">
        <f ca="1">IF(B102&lt;TODAY(), SUMIFS($AT$8:AT102, $BG$8:BG102, BG102), "")</f>
        <v>0</v>
      </c>
      <c r="AY102" s="15"/>
      <c r="BA102" s="14"/>
      <c r="BB102" t="str">
        <f t="shared" si="29"/>
        <v>25</v>
      </c>
      <c r="BC102" t="str">
        <f t="shared" si="30"/>
        <v>010</v>
      </c>
      <c r="BD102" s="98">
        <f t="shared" si="39"/>
        <v>12</v>
      </c>
      <c r="BE102" t="str">
        <f t="shared" si="31"/>
        <v>4</v>
      </c>
      <c r="BF102" t="str">
        <f t="shared" si="33"/>
        <v>-2501012D</v>
      </c>
      <c r="BG102" t="str">
        <f t="shared" si="32"/>
        <v>2025-10</v>
      </c>
    </row>
    <row r="103" spans="2:59">
      <c r="B103" s="1">
        <v>45943</v>
      </c>
      <c r="P103" s="130">
        <f t="shared" si="35"/>
        <v>0</v>
      </c>
      <c r="Q103" s="17">
        <f t="shared" si="36"/>
        <v>0</v>
      </c>
      <c r="R103">
        <v>0</v>
      </c>
      <c r="S103" s="9">
        <f t="shared" si="37"/>
        <v>0</v>
      </c>
      <c r="AG103" s="99"/>
      <c r="AH103" s="99"/>
      <c r="AI103" s="99"/>
      <c r="AJ103" s="99"/>
      <c r="AK103" s="99"/>
      <c r="AL103" s="99"/>
      <c r="AM103" s="99"/>
      <c r="AN103" s="99"/>
      <c r="AO103" s="99"/>
      <c r="AP103" s="99"/>
      <c r="AQ103" s="99"/>
      <c r="AS103" s="9">
        <f t="shared" si="38"/>
        <v>0</v>
      </c>
      <c r="AU103" s="11">
        <f ca="1">IF(B103&lt;TODAY(),SUM($AT$6:AT103),"")</f>
        <v>103944.25</v>
      </c>
      <c r="AV103" s="11">
        <f ca="1">IF(B103&lt;TODAY(), SUMIFS($AT$8:AT103, $BG$8:BG103, BG103), "")</f>
        <v>0</v>
      </c>
      <c r="AY103" s="15"/>
      <c r="BA103" s="14"/>
      <c r="BB103" t="str">
        <f t="shared" si="29"/>
        <v>25</v>
      </c>
      <c r="BC103" t="str">
        <f t="shared" si="30"/>
        <v>010</v>
      </c>
      <c r="BD103" s="98">
        <f t="shared" si="39"/>
        <v>13</v>
      </c>
      <c r="BE103" t="str">
        <f t="shared" si="31"/>
        <v>4</v>
      </c>
      <c r="BF103" t="str">
        <f t="shared" si="33"/>
        <v>-2501013D</v>
      </c>
      <c r="BG103" t="str">
        <f t="shared" si="32"/>
        <v>2025-10</v>
      </c>
    </row>
    <row r="104" spans="2:59">
      <c r="B104" s="1">
        <v>45944</v>
      </c>
      <c r="P104" s="130">
        <f t="shared" si="35"/>
        <v>0</v>
      </c>
      <c r="Q104" s="17">
        <f t="shared" si="36"/>
        <v>0</v>
      </c>
      <c r="R104">
        <v>0</v>
      </c>
      <c r="S104" s="9">
        <f t="shared" si="37"/>
        <v>0</v>
      </c>
      <c r="AG104" s="99"/>
      <c r="AH104" s="99"/>
      <c r="AI104" s="99"/>
      <c r="AJ104" s="99"/>
      <c r="AK104" s="99"/>
      <c r="AL104" s="99"/>
      <c r="AM104" s="99"/>
      <c r="AN104" s="99"/>
      <c r="AO104" s="99"/>
      <c r="AP104" s="99"/>
      <c r="AQ104" s="99"/>
      <c r="AS104" s="9">
        <f t="shared" si="38"/>
        <v>0</v>
      </c>
      <c r="AU104" s="11">
        <f ca="1">IF(B104&lt;TODAY(),SUM($AT$6:AT104),"")</f>
        <v>103944.25</v>
      </c>
      <c r="AV104" s="11">
        <f ca="1">IF(B104&lt;TODAY(), SUMIFS($AT$8:AT104, $BG$8:BG104, BG104), "")</f>
        <v>0</v>
      </c>
      <c r="AY104" s="15"/>
      <c r="BA104" s="14"/>
      <c r="BB104" t="str">
        <f t="shared" ref="BB104:BB137" si="40">RIGHT(YEAR(B104),2)</f>
        <v>25</v>
      </c>
      <c r="BC104" t="str">
        <f t="shared" si="30"/>
        <v>010</v>
      </c>
      <c r="BD104" s="98">
        <f t="shared" si="39"/>
        <v>14</v>
      </c>
      <c r="BE104" t="str">
        <f t="shared" ref="BE104:BE137" si="41">LEFT(B104,1)</f>
        <v>4</v>
      </c>
      <c r="BF104" t="str">
        <f t="shared" si="33"/>
        <v>-2501014D</v>
      </c>
      <c r="BG104" t="str">
        <f t="shared" ref="BG104:BG137" si="42">TEXT(B104, "yyyy-mm")</f>
        <v>2025-10</v>
      </c>
    </row>
    <row r="105" spans="2:59">
      <c r="B105" s="1">
        <v>45945</v>
      </c>
      <c r="P105" s="130">
        <f t="shared" si="35"/>
        <v>0</v>
      </c>
      <c r="Q105" s="17">
        <f t="shared" si="36"/>
        <v>0</v>
      </c>
      <c r="R105">
        <v>0</v>
      </c>
      <c r="S105" s="9">
        <f t="shared" si="37"/>
        <v>0</v>
      </c>
      <c r="AG105" s="99"/>
      <c r="AH105" s="99"/>
      <c r="AI105" s="99"/>
      <c r="AJ105" s="99"/>
      <c r="AK105" s="99"/>
      <c r="AL105" s="99"/>
      <c r="AM105" s="99"/>
      <c r="AN105" s="99"/>
      <c r="AO105" s="99"/>
      <c r="AP105" s="99"/>
      <c r="AQ105" s="99"/>
      <c r="AS105" s="9">
        <f t="shared" si="38"/>
        <v>0</v>
      </c>
      <c r="AU105" s="11">
        <f ca="1">IF(B105&lt;TODAY(),SUM($AT$6:AT105),"")</f>
        <v>103944.25</v>
      </c>
      <c r="AV105" s="11">
        <f ca="1">IF(B105&lt;TODAY(), SUMIFS($AT$8:AT105, $BG$8:BG105, BG105), "")</f>
        <v>0</v>
      </c>
      <c r="AY105" s="15"/>
      <c r="BA105" s="14"/>
      <c r="BB105" t="str">
        <f t="shared" si="40"/>
        <v>25</v>
      </c>
      <c r="BC105" t="str">
        <f t="shared" si="30"/>
        <v>010</v>
      </c>
      <c r="BD105" s="98">
        <f t="shared" si="39"/>
        <v>15</v>
      </c>
      <c r="BE105" t="str">
        <f t="shared" si="41"/>
        <v>4</v>
      </c>
      <c r="BF105" t="str">
        <f t="shared" si="33"/>
        <v>-2501015D</v>
      </c>
      <c r="BG105" t="str">
        <f t="shared" si="42"/>
        <v>2025-10</v>
      </c>
    </row>
    <row r="106" spans="2:59">
      <c r="B106" s="1">
        <v>45946</v>
      </c>
      <c r="P106" s="130">
        <f t="shared" si="35"/>
        <v>0</v>
      </c>
      <c r="Q106" s="17">
        <f t="shared" si="36"/>
        <v>0</v>
      </c>
      <c r="R106">
        <v>0</v>
      </c>
      <c r="S106" s="9">
        <f t="shared" si="37"/>
        <v>0</v>
      </c>
      <c r="AG106" s="99"/>
      <c r="AH106" s="99"/>
      <c r="AI106" s="99"/>
      <c r="AJ106" s="99"/>
      <c r="AK106" s="99"/>
      <c r="AL106" s="99"/>
      <c r="AM106" s="99"/>
      <c r="AN106" s="99"/>
      <c r="AO106" s="99"/>
      <c r="AP106" s="99"/>
      <c r="AQ106" s="99"/>
      <c r="AS106" s="9">
        <f t="shared" si="38"/>
        <v>0</v>
      </c>
      <c r="AU106" s="11">
        <f ca="1">IF(B106&lt;TODAY(),SUM($AT$6:AT106),"")</f>
        <v>103944.25</v>
      </c>
      <c r="AV106" s="11">
        <f ca="1">IF(B106&lt;TODAY(), SUMIFS($AT$8:AT106, $BG$8:BG106, BG106), "")</f>
        <v>0</v>
      </c>
      <c r="AY106" s="15"/>
      <c r="BA106" s="14"/>
      <c r="BB106" t="str">
        <f t="shared" si="40"/>
        <v>25</v>
      </c>
      <c r="BC106" t="str">
        <f t="shared" si="30"/>
        <v>010</v>
      </c>
      <c r="BD106" s="98">
        <f t="shared" si="39"/>
        <v>16</v>
      </c>
      <c r="BE106" t="str">
        <f t="shared" si="41"/>
        <v>4</v>
      </c>
      <c r="BF106" t="str">
        <f t="shared" si="33"/>
        <v>-2501016D</v>
      </c>
      <c r="BG106" t="str">
        <f t="shared" si="42"/>
        <v>2025-10</v>
      </c>
    </row>
    <row r="107" spans="2:59">
      <c r="B107" s="1">
        <v>45947</v>
      </c>
      <c r="P107" s="130">
        <f t="shared" si="35"/>
        <v>0</v>
      </c>
      <c r="Q107" s="17">
        <f t="shared" si="36"/>
        <v>0</v>
      </c>
      <c r="R107">
        <v>0</v>
      </c>
      <c r="S107" s="9">
        <f t="shared" si="37"/>
        <v>0</v>
      </c>
      <c r="AG107" s="99"/>
      <c r="AH107" s="99"/>
      <c r="AI107" s="99"/>
      <c r="AJ107" s="99"/>
      <c r="AK107" s="99"/>
      <c r="AL107" s="99"/>
      <c r="AM107" s="99"/>
      <c r="AN107" s="99"/>
      <c r="AO107" s="99"/>
      <c r="AP107" s="99"/>
      <c r="AQ107" s="99"/>
      <c r="AS107" s="9">
        <f t="shared" si="38"/>
        <v>0</v>
      </c>
      <c r="AU107" s="11">
        <f ca="1">IF(B107&lt;TODAY(),SUM($AT$6:AT107),"")</f>
        <v>103944.25</v>
      </c>
      <c r="AV107" s="11">
        <f ca="1">IF(B107&lt;TODAY(), SUMIFS($AT$8:AT107, $BG$8:BG107, BG107), "")</f>
        <v>0</v>
      </c>
      <c r="AY107" s="15"/>
      <c r="BA107" s="14"/>
      <c r="BB107" t="str">
        <f t="shared" si="40"/>
        <v>25</v>
      </c>
      <c r="BC107" t="str">
        <f t="shared" ref="BC107:BC137" si="43">_xlfn.TEXTJOIN(,TRUE,MONTH(B107))</f>
        <v>10</v>
      </c>
      <c r="BD107" s="98" t="str">
        <f t="shared" ref="BD107:BD115" si="44">_xlfn.TEXTJOIN(,TRUE,"0",DAY(B107))</f>
        <v>017</v>
      </c>
      <c r="BE107" t="str">
        <f t="shared" si="41"/>
        <v>4</v>
      </c>
      <c r="BF107" t="str">
        <f t="shared" si="33"/>
        <v>-2510017D</v>
      </c>
      <c r="BG107" t="str">
        <f t="shared" si="42"/>
        <v>2025-10</v>
      </c>
    </row>
    <row r="108" spans="2:59">
      <c r="B108" s="1">
        <v>45948</v>
      </c>
      <c r="P108" s="130">
        <f t="shared" si="35"/>
        <v>0</v>
      </c>
      <c r="Q108" s="17">
        <f t="shared" si="36"/>
        <v>0</v>
      </c>
      <c r="R108">
        <v>0</v>
      </c>
      <c r="S108" s="9">
        <f t="shared" si="37"/>
        <v>0</v>
      </c>
      <c r="AG108" s="99"/>
      <c r="AH108" s="99"/>
      <c r="AI108" s="99"/>
      <c r="AJ108" s="99"/>
      <c r="AK108" s="99"/>
      <c r="AL108" s="99"/>
      <c r="AM108" s="99"/>
      <c r="AN108" s="99"/>
      <c r="AO108" s="99"/>
      <c r="AP108" s="99"/>
      <c r="AQ108" s="99"/>
      <c r="AS108" s="9">
        <f t="shared" si="38"/>
        <v>0</v>
      </c>
      <c r="AU108" s="11">
        <f ca="1">IF(B108&lt;TODAY(),SUM($AT$6:AT108),"")</f>
        <v>103944.25</v>
      </c>
      <c r="AV108" s="11">
        <f ca="1">IF(B108&lt;TODAY(), SUMIFS($AT$8:AT108, $BG$8:BG108, BG108), "")</f>
        <v>0</v>
      </c>
      <c r="AY108" s="15"/>
      <c r="BA108" s="14"/>
      <c r="BB108" t="str">
        <f t="shared" si="40"/>
        <v>25</v>
      </c>
      <c r="BC108" t="str">
        <f t="shared" si="43"/>
        <v>10</v>
      </c>
      <c r="BD108" s="98" t="str">
        <f t="shared" si="44"/>
        <v>018</v>
      </c>
      <c r="BE108" t="str">
        <f t="shared" si="41"/>
        <v>4</v>
      </c>
      <c r="BF108" t="str">
        <f t="shared" si="33"/>
        <v>-2510018D</v>
      </c>
      <c r="BG108" t="str">
        <f t="shared" si="42"/>
        <v>2025-10</v>
      </c>
    </row>
    <row r="109" spans="2:59">
      <c r="B109" s="1">
        <v>45949</v>
      </c>
      <c r="P109" s="130">
        <f t="shared" si="35"/>
        <v>0</v>
      </c>
      <c r="Q109" s="17">
        <f t="shared" si="36"/>
        <v>0</v>
      </c>
      <c r="R109">
        <v>0</v>
      </c>
      <c r="S109" s="9">
        <f t="shared" si="37"/>
        <v>0</v>
      </c>
      <c r="AG109" s="99"/>
      <c r="AH109" s="99"/>
      <c r="AI109" s="99"/>
      <c r="AJ109" s="99"/>
      <c r="AK109" s="99"/>
      <c r="AL109" s="99"/>
      <c r="AM109" s="99"/>
      <c r="AN109" s="99"/>
      <c r="AO109" s="99"/>
      <c r="AP109" s="99"/>
      <c r="AQ109" s="99"/>
      <c r="AS109" s="9">
        <f t="shared" si="38"/>
        <v>0</v>
      </c>
      <c r="AU109" s="11">
        <f ca="1">IF(B109&lt;TODAY(),SUM($AT$6:AT109),"")</f>
        <v>103944.25</v>
      </c>
      <c r="AV109" s="11">
        <f ca="1">IF(B109&lt;TODAY(), SUMIFS($AT$8:AT109, $BG$8:BG109, BG109), "")</f>
        <v>0</v>
      </c>
      <c r="AY109" s="15"/>
      <c r="BA109" s="14"/>
      <c r="BB109" t="str">
        <f t="shared" si="40"/>
        <v>25</v>
      </c>
      <c r="BC109" t="str">
        <f t="shared" si="43"/>
        <v>10</v>
      </c>
      <c r="BD109" s="98" t="str">
        <f t="shared" si="44"/>
        <v>019</v>
      </c>
      <c r="BE109" t="str">
        <f t="shared" si="41"/>
        <v>4</v>
      </c>
      <c r="BF109" t="str">
        <f t="shared" si="33"/>
        <v>-2510019D</v>
      </c>
      <c r="BG109" t="str">
        <f t="shared" si="42"/>
        <v>2025-10</v>
      </c>
    </row>
    <row r="110" spans="2:59">
      <c r="B110" s="1">
        <v>45950</v>
      </c>
      <c r="P110" s="130">
        <f t="shared" si="35"/>
        <v>0</v>
      </c>
      <c r="Q110" s="17">
        <f t="shared" si="36"/>
        <v>0</v>
      </c>
      <c r="R110">
        <v>0</v>
      </c>
      <c r="S110" s="9">
        <f t="shared" si="37"/>
        <v>0</v>
      </c>
      <c r="AG110" s="99"/>
      <c r="AH110" s="99"/>
      <c r="AI110" s="99"/>
      <c r="AJ110" s="99"/>
      <c r="AK110" s="99"/>
      <c r="AL110" s="99"/>
      <c r="AM110" s="99"/>
      <c r="AN110" s="99"/>
      <c r="AO110" s="99"/>
      <c r="AP110" s="99"/>
      <c r="AQ110" s="99"/>
      <c r="AS110" s="9">
        <f t="shared" si="38"/>
        <v>0</v>
      </c>
      <c r="AU110" s="11">
        <f ca="1">IF(B110&lt;TODAY(),SUM($AT$6:AT110),"")</f>
        <v>103944.25</v>
      </c>
      <c r="AV110" s="11">
        <f ca="1">IF(B110&lt;TODAY(), SUMIFS($AT$8:AT110, $BG$8:BG110, BG110), "")</f>
        <v>0</v>
      </c>
      <c r="AY110" s="15"/>
      <c r="BA110" s="14"/>
      <c r="BB110" t="str">
        <f t="shared" si="40"/>
        <v>25</v>
      </c>
      <c r="BC110" t="str">
        <f t="shared" si="43"/>
        <v>10</v>
      </c>
      <c r="BD110" s="98" t="str">
        <f t="shared" si="44"/>
        <v>020</v>
      </c>
      <c r="BE110" t="str">
        <f t="shared" si="41"/>
        <v>4</v>
      </c>
      <c r="BF110" t="str">
        <f t="shared" si="33"/>
        <v>-2510020D</v>
      </c>
      <c r="BG110" t="str">
        <f t="shared" si="42"/>
        <v>2025-10</v>
      </c>
    </row>
    <row r="111" spans="2:59">
      <c r="B111" s="1">
        <v>45951</v>
      </c>
      <c r="P111" s="130">
        <f t="shared" si="35"/>
        <v>0</v>
      </c>
      <c r="Q111" s="17">
        <f t="shared" si="36"/>
        <v>0</v>
      </c>
      <c r="R111">
        <v>0</v>
      </c>
      <c r="S111" s="9">
        <f t="shared" si="37"/>
        <v>0</v>
      </c>
      <c r="AG111" s="99"/>
      <c r="AH111" s="99"/>
      <c r="AI111" s="99"/>
      <c r="AJ111" s="99"/>
      <c r="AK111" s="99"/>
      <c r="AL111" s="99"/>
      <c r="AM111" s="99"/>
      <c r="AN111" s="99"/>
      <c r="AO111" s="99"/>
      <c r="AP111" s="99"/>
      <c r="AQ111" s="99"/>
      <c r="AS111" s="9">
        <f t="shared" si="38"/>
        <v>0</v>
      </c>
      <c r="AU111" s="11">
        <f ca="1">IF(B111&lt;TODAY(),SUM($AT$6:AT111),"")</f>
        <v>103944.25</v>
      </c>
      <c r="AV111" s="11">
        <f ca="1">IF(B111&lt;TODAY(), SUMIFS($AT$8:AT111, $BG$8:BG111, BG111), "")</f>
        <v>0</v>
      </c>
      <c r="AY111" s="15"/>
      <c r="BA111" s="14"/>
      <c r="BB111" t="str">
        <f t="shared" si="40"/>
        <v>25</v>
      </c>
      <c r="BC111" t="str">
        <f t="shared" si="43"/>
        <v>10</v>
      </c>
      <c r="BD111" s="98" t="str">
        <f t="shared" si="44"/>
        <v>021</v>
      </c>
      <c r="BE111" t="str">
        <f t="shared" si="41"/>
        <v>4</v>
      </c>
      <c r="BF111" t="str">
        <f t="shared" si="33"/>
        <v>-2510021D</v>
      </c>
      <c r="BG111" t="str">
        <f t="shared" si="42"/>
        <v>2025-10</v>
      </c>
    </row>
    <row r="112" spans="2:59">
      <c r="B112" s="1">
        <v>45952</v>
      </c>
      <c r="P112" s="130">
        <f t="shared" si="35"/>
        <v>0</v>
      </c>
      <c r="Q112" s="17">
        <f t="shared" si="36"/>
        <v>0</v>
      </c>
      <c r="R112">
        <v>0</v>
      </c>
      <c r="S112" s="9">
        <f t="shared" si="37"/>
        <v>0</v>
      </c>
      <c r="AG112" s="99"/>
      <c r="AH112" s="99"/>
      <c r="AI112" s="99"/>
      <c r="AJ112" s="99"/>
      <c r="AK112" s="99"/>
      <c r="AL112" s="99"/>
      <c r="AM112" s="99"/>
      <c r="AN112" s="99"/>
      <c r="AO112" s="99"/>
      <c r="AP112" s="99"/>
      <c r="AQ112" s="99"/>
      <c r="AS112" s="9">
        <f t="shared" si="38"/>
        <v>0</v>
      </c>
      <c r="AU112" s="11">
        <f ca="1">IF(B112&lt;TODAY(),SUM($AT$6:AT112),"")</f>
        <v>103944.25</v>
      </c>
      <c r="AV112" s="11">
        <f ca="1">IF(B112&lt;TODAY(), SUMIFS($AT$8:AT112, $BG$8:BG112, BG112), "")</f>
        <v>0</v>
      </c>
      <c r="AY112" s="15"/>
      <c r="BA112" s="14"/>
      <c r="BB112" t="str">
        <f t="shared" si="40"/>
        <v>25</v>
      </c>
      <c r="BC112" t="str">
        <f t="shared" si="43"/>
        <v>10</v>
      </c>
      <c r="BD112" s="98" t="str">
        <f t="shared" si="44"/>
        <v>022</v>
      </c>
      <c r="BE112" t="str">
        <f t="shared" si="41"/>
        <v>4</v>
      </c>
      <c r="BF112" t="str">
        <f t="shared" si="33"/>
        <v>-2510022D</v>
      </c>
      <c r="BG112" t="str">
        <f t="shared" si="42"/>
        <v>2025-10</v>
      </c>
    </row>
    <row r="113" spans="2:59">
      <c r="B113" s="1">
        <v>45953</v>
      </c>
      <c r="P113" s="130">
        <f t="shared" si="35"/>
        <v>0</v>
      </c>
      <c r="Q113" s="17">
        <f t="shared" si="36"/>
        <v>0</v>
      </c>
      <c r="R113">
        <v>0</v>
      </c>
      <c r="S113" s="9">
        <f t="shared" si="37"/>
        <v>0</v>
      </c>
      <c r="AG113" s="99"/>
      <c r="AH113" s="99"/>
      <c r="AI113" s="99"/>
      <c r="AJ113" s="99"/>
      <c r="AK113" s="99"/>
      <c r="AL113" s="99"/>
      <c r="AM113" s="99"/>
      <c r="AN113" s="99"/>
      <c r="AO113" s="99"/>
      <c r="AP113" s="99"/>
      <c r="AQ113" s="99"/>
      <c r="AS113" s="9">
        <f t="shared" si="38"/>
        <v>0</v>
      </c>
      <c r="AU113" s="11">
        <f ca="1">IF(B113&lt;TODAY(),SUM($AT$6:AT113),"")</f>
        <v>103944.25</v>
      </c>
      <c r="AV113" s="11">
        <f ca="1">IF(B113&lt;TODAY(), SUMIFS($AT$8:AT113, $BG$8:BG113, BG113), "")</f>
        <v>0</v>
      </c>
      <c r="AY113" s="15"/>
      <c r="BA113" s="14"/>
      <c r="BB113" t="str">
        <f t="shared" si="40"/>
        <v>25</v>
      </c>
      <c r="BC113" t="str">
        <f t="shared" si="43"/>
        <v>10</v>
      </c>
      <c r="BD113" s="98" t="str">
        <f t="shared" si="44"/>
        <v>023</v>
      </c>
      <c r="BE113" t="str">
        <f t="shared" si="41"/>
        <v>4</v>
      </c>
      <c r="BF113" t="str">
        <f t="shared" si="33"/>
        <v>-2510023D</v>
      </c>
      <c r="BG113" t="str">
        <f t="shared" si="42"/>
        <v>2025-10</v>
      </c>
    </row>
    <row r="114" spans="2:59">
      <c r="B114" s="1">
        <v>45954</v>
      </c>
      <c r="P114" s="130">
        <f t="shared" si="35"/>
        <v>0</v>
      </c>
      <c r="Q114" s="17">
        <f t="shared" si="36"/>
        <v>0</v>
      </c>
      <c r="R114">
        <v>0</v>
      </c>
      <c r="S114" s="9">
        <f t="shared" si="37"/>
        <v>0</v>
      </c>
      <c r="AG114" s="99"/>
      <c r="AH114" s="99"/>
      <c r="AI114" s="99"/>
      <c r="AJ114" s="99"/>
      <c r="AK114" s="99"/>
      <c r="AL114" s="99"/>
      <c r="AM114" s="99"/>
      <c r="AN114" s="99"/>
      <c r="AO114" s="99"/>
      <c r="AP114" s="99"/>
      <c r="AQ114" s="99"/>
      <c r="AS114" s="9">
        <f t="shared" si="38"/>
        <v>0</v>
      </c>
      <c r="AU114" s="11">
        <f ca="1">IF(B114&lt;TODAY(),SUM($AT$6:AT114),"")</f>
        <v>103944.25</v>
      </c>
      <c r="AV114" s="11">
        <f ca="1">IF(B114&lt;TODAY(), SUMIFS($AT$8:AT114, $BG$8:BG114, BG114), "")</f>
        <v>0</v>
      </c>
      <c r="AY114" s="15"/>
      <c r="BA114" s="14"/>
      <c r="BB114" t="str">
        <f t="shared" si="40"/>
        <v>25</v>
      </c>
      <c r="BC114" t="str">
        <f t="shared" si="43"/>
        <v>10</v>
      </c>
      <c r="BD114" s="98" t="str">
        <f t="shared" si="44"/>
        <v>024</v>
      </c>
      <c r="BE114" t="str">
        <f t="shared" si="41"/>
        <v>4</v>
      </c>
      <c r="BF114" t="str">
        <f t="shared" si="33"/>
        <v>-2510024D</v>
      </c>
      <c r="BG114" t="str">
        <f t="shared" si="42"/>
        <v>2025-10</v>
      </c>
    </row>
    <row r="115" spans="2:59">
      <c r="B115" s="1">
        <v>45955</v>
      </c>
      <c r="P115" s="130">
        <f t="shared" si="35"/>
        <v>0</v>
      </c>
      <c r="Q115" s="17">
        <f t="shared" si="36"/>
        <v>0</v>
      </c>
      <c r="R115">
        <v>0</v>
      </c>
      <c r="S115" s="9">
        <f t="shared" si="37"/>
        <v>0</v>
      </c>
      <c r="AG115" s="99"/>
      <c r="AH115" s="99"/>
      <c r="AI115" s="99"/>
      <c r="AJ115" s="99"/>
      <c r="AK115" s="99"/>
      <c r="AL115" s="99"/>
      <c r="AM115" s="99"/>
      <c r="AN115" s="99"/>
      <c r="AO115" s="99"/>
      <c r="AP115" s="99"/>
      <c r="AQ115" s="99"/>
      <c r="AS115" s="9">
        <f t="shared" si="38"/>
        <v>0</v>
      </c>
      <c r="AU115" s="11">
        <f ca="1">IF(B115&lt;TODAY(),SUM($AT$6:AT115),"")</f>
        <v>103944.25</v>
      </c>
      <c r="AV115" s="11">
        <f ca="1">IF(B115&lt;TODAY(), SUMIFS($AT$8:AT115, $BG$8:BG115, BG115), "")</f>
        <v>0</v>
      </c>
      <c r="AY115" s="15"/>
      <c r="BA115" s="14"/>
      <c r="BB115" t="str">
        <f t="shared" si="40"/>
        <v>25</v>
      </c>
      <c r="BC115" t="str">
        <f t="shared" si="43"/>
        <v>10</v>
      </c>
      <c r="BD115" s="98" t="str">
        <f t="shared" si="44"/>
        <v>025</v>
      </c>
      <c r="BE115" t="str">
        <f t="shared" si="41"/>
        <v>4</v>
      </c>
      <c r="BF115" t="str">
        <f t="shared" si="33"/>
        <v>-2510025D</v>
      </c>
      <c r="BG115" t="str">
        <f t="shared" si="42"/>
        <v>2025-10</v>
      </c>
    </row>
    <row r="116" spans="2:59">
      <c r="B116" s="1">
        <v>45956</v>
      </c>
      <c r="P116" s="130">
        <f t="shared" si="35"/>
        <v>0</v>
      </c>
      <c r="Q116" s="17">
        <f t="shared" si="36"/>
        <v>0</v>
      </c>
      <c r="R116">
        <v>0</v>
      </c>
      <c r="S116" s="9">
        <f t="shared" si="37"/>
        <v>0</v>
      </c>
      <c r="AG116" s="99"/>
      <c r="AH116" s="99"/>
      <c r="AI116" s="99"/>
      <c r="AJ116" s="99"/>
      <c r="AK116" s="99"/>
      <c r="AL116" s="99"/>
      <c r="AM116" s="99"/>
      <c r="AN116" s="99"/>
      <c r="AO116" s="99"/>
      <c r="AP116" s="99"/>
      <c r="AQ116" s="99"/>
      <c r="AS116" s="9">
        <f t="shared" si="38"/>
        <v>0</v>
      </c>
      <c r="AU116" s="11">
        <f ca="1">IF(B116&lt;TODAY(),SUM($AT$6:AT116),"")</f>
        <v>103944.25</v>
      </c>
      <c r="AV116" s="11">
        <f ca="1">IF(B116&lt;TODAY(), SUMIFS($AT$8:AT116, $BG$8:BG116, BG116), "")</f>
        <v>0</v>
      </c>
      <c r="AY116" s="15"/>
      <c r="BA116" s="14"/>
      <c r="BB116" t="str">
        <f t="shared" si="40"/>
        <v>25</v>
      </c>
      <c r="BC116" t="str">
        <f t="shared" si="43"/>
        <v>10</v>
      </c>
      <c r="BD116" s="98">
        <f t="shared" ref="BD116:BD137" si="45">DAY(B116)</f>
        <v>26</v>
      </c>
      <c r="BE116" t="str">
        <f t="shared" si="41"/>
        <v>4</v>
      </c>
      <c r="BF116" t="str">
        <f t="shared" si="33"/>
        <v>-251026D</v>
      </c>
      <c r="BG116" t="str">
        <f t="shared" si="42"/>
        <v>2025-10</v>
      </c>
    </row>
    <row r="117" spans="2:59">
      <c r="B117" s="1">
        <v>45957</v>
      </c>
      <c r="P117" s="130">
        <f t="shared" si="35"/>
        <v>0</v>
      </c>
      <c r="Q117" s="17">
        <f t="shared" si="36"/>
        <v>0</v>
      </c>
      <c r="R117">
        <v>0</v>
      </c>
      <c r="S117" s="9">
        <f t="shared" si="37"/>
        <v>0</v>
      </c>
      <c r="AG117" s="99"/>
      <c r="AH117" s="99"/>
      <c r="AI117" s="99"/>
      <c r="AJ117" s="99"/>
      <c r="AK117" s="99"/>
      <c r="AL117" s="99"/>
      <c r="AM117" s="99"/>
      <c r="AN117" s="99"/>
      <c r="AO117" s="99"/>
      <c r="AP117" s="99"/>
      <c r="AQ117" s="99"/>
      <c r="AS117" s="9">
        <f t="shared" si="38"/>
        <v>0</v>
      </c>
      <c r="AU117" s="11">
        <f ca="1">IF(B117&lt;TODAY(),SUM($AT$6:AT117),"")</f>
        <v>103944.25</v>
      </c>
      <c r="AV117" s="11">
        <f ca="1">IF(B117&lt;TODAY(), SUMIFS($AT$8:AT117, $BG$8:BG117, BG117), "")</f>
        <v>0</v>
      </c>
      <c r="AY117" s="15"/>
      <c r="BA117" s="14"/>
      <c r="BB117" t="str">
        <f t="shared" si="40"/>
        <v>25</v>
      </c>
      <c r="BC117" t="str">
        <f t="shared" si="43"/>
        <v>10</v>
      </c>
      <c r="BD117" s="98">
        <f t="shared" si="45"/>
        <v>27</v>
      </c>
      <c r="BE117" t="str">
        <f t="shared" si="41"/>
        <v>4</v>
      </c>
      <c r="BF117" t="str">
        <f t="shared" si="33"/>
        <v>-251027D</v>
      </c>
      <c r="BG117" t="str">
        <f t="shared" si="42"/>
        <v>2025-10</v>
      </c>
    </row>
    <row r="118" spans="2:59">
      <c r="B118" s="1">
        <v>45958</v>
      </c>
      <c r="P118" s="130">
        <f t="shared" si="35"/>
        <v>0</v>
      </c>
      <c r="Q118" s="17">
        <f t="shared" si="36"/>
        <v>0</v>
      </c>
      <c r="R118">
        <v>0</v>
      </c>
      <c r="S118" s="9">
        <f t="shared" si="37"/>
        <v>0</v>
      </c>
      <c r="AG118" s="99"/>
      <c r="AH118" s="99"/>
      <c r="AI118" s="99"/>
      <c r="AJ118" s="99"/>
      <c r="AK118" s="99"/>
      <c r="AL118" s="99"/>
      <c r="AM118" s="99"/>
      <c r="AN118" s="99"/>
      <c r="AO118" s="99"/>
      <c r="AP118" s="99"/>
      <c r="AQ118" s="99"/>
      <c r="AS118" s="9">
        <f t="shared" si="38"/>
        <v>0</v>
      </c>
      <c r="AU118" s="11">
        <f ca="1">IF(B118&lt;TODAY(),SUM($AT$6:AT118),"")</f>
        <v>103944.25</v>
      </c>
      <c r="AV118" s="11">
        <f ca="1">IF(B118&lt;TODAY(), SUMIFS($AT$8:AT118, $BG$8:BG118, BG118), "")</f>
        <v>0</v>
      </c>
      <c r="AY118" s="15"/>
      <c r="BA118" s="14"/>
      <c r="BB118" t="str">
        <f t="shared" si="40"/>
        <v>25</v>
      </c>
      <c r="BC118" t="str">
        <f t="shared" si="43"/>
        <v>10</v>
      </c>
      <c r="BD118" s="98">
        <f t="shared" si="45"/>
        <v>28</v>
      </c>
      <c r="BE118" t="str">
        <f t="shared" si="41"/>
        <v>4</v>
      </c>
      <c r="BF118" t="str">
        <f t="shared" si="33"/>
        <v>-251028D</v>
      </c>
      <c r="BG118" t="str">
        <f t="shared" si="42"/>
        <v>2025-10</v>
      </c>
    </row>
    <row r="119" spans="2:59">
      <c r="B119" s="1">
        <v>45959</v>
      </c>
      <c r="P119" s="130">
        <f t="shared" si="35"/>
        <v>0</v>
      </c>
      <c r="Q119" s="17">
        <f t="shared" si="36"/>
        <v>0</v>
      </c>
      <c r="R119">
        <v>0</v>
      </c>
      <c r="S119" s="9">
        <f t="shared" si="37"/>
        <v>0</v>
      </c>
      <c r="AG119" s="99"/>
      <c r="AH119" s="99"/>
      <c r="AI119" s="99"/>
      <c r="AJ119" s="99"/>
      <c r="AK119" s="99"/>
      <c r="AL119" s="99"/>
      <c r="AM119" s="99"/>
      <c r="AN119" s="99"/>
      <c r="AO119" s="99"/>
      <c r="AP119" s="99"/>
      <c r="AQ119" s="99"/>
      <c r="AS119" s="9">
        <f t="shared" si="38"/>
        <v>0</v>
      </c>
      <c r="AU119" s="11">
        <f ca="1">IF(B119&lt;TODAY(),SUM($AT$6:AT119),"")</f>
        <v>103944.25</v>
      </c>
      <c r="AV119" s="11">
        <f ca="1">IF(B119&lt;TODAY(), SUMIFS($AT$8:AT119, $BG$8:BG119, BG119), "")</f>
        <v>0</v>
      </c>
      <c r="AY119" s="15"/>
      <c r="BA119" s="14"/>
      <c r="BB119" t="str">
        <f t="shared" si="40"/>
        <v>25</v>
      </c>
      <c r="BC119" t="str">
        <f t="shared" si="43"/>
        <v>10</v>
      </c>
      <c r="BD119" s="98">
        <f t="shared" si="45"/>
        <v>29</v>
      </c>
      <c r="BE119" t="str">
        <f t="shared" si="41"/>
        <v>4</v>
      </c>
      <c r="BF119" t="str">
        <f t="shared" si="33"/>
        <v>-251029D</v>
      </c>
      <c r="BG119" t="str">
        <f t="shared" si="42"/>
        <v>2025-10</v>
      </c>
    </row>
    <row r="120" spans="2:59">
      <c r="B120" s="1">
        <v>45960</v>
      </c>
      <c r="P120" s="130">
        <f t="shared" si="35"/>
        <v>0</v>
      </c>
      <c r="Q120" s="17">
        <f t="shared" si="36"/>
        <v>0</v>
      </c>
      <c r="R120">
        <v>0</v>
      </c>
      <c r="S120" s="9">
        <f t="shared" si="37"/>
        <v>0</v>
      </c>
      <c r="AG120" s="99"/>
      <c r="AH120" s="99"/>
      <c r="AI120" s="99"/>
      <c r="AJ120" s="99"/>
      <c r="AK120" s="99"/>
      <c r="AL120" s="99"/>
      <c r="AM120" s="99"/>
      <c r="AN120" s="99"/>
      <c r="AO120" s="99"/>
      <c r="AP120" s="99"/>
      <c r="AQ120" s="99"/>
      <c r="AS120" s="9">
        <f t="shared" si="38"/>
        <v>0</v>
      </c>
      <c r="AU120" s="11">
        <f ca="1">IF(B120&lt;TODAY(),SUM($AT$6:AT120),"")</f>
        <v>103944.25</v>
      </c>
      <c r="AV120" s="11">
        <f ca="1">IF(B120&lt;TODAY(), SUMIFS($AT$8:AT120, $BG$8:BG120, BG120), "")</f>
        <v>0</v>
      </c>
      <c r="AY120" s="15"/>
      <c r="BA120" s="14"/>
      <c r="BB120" t="str">
        <f t="shared" si="40"/>
        <v>25</v>
      </c>
      <c r="BC120" t="str">
        <f t="shared" si="43"/>
        <v>10</v>
      </c>
      <c r="BD120" s="98">
        <f t="shared" si="45"/>
        <v>30</v>
      </c>
      <c r="BE120" t="str">
        <f t="shared" si="41"/>
        <v>4</v>
      </c>
      <c r="BF120" t="str">
        <f t="shared" si="33"/>
        <v>-251030D</v>
      </c>
      <c r="BG120" t="str">
        <f t="shared" si="42"/>
        <v>2025-10</v>
      </c>
    </row>
    <row r="121" spans="2:59">
      <c r="B121" s="1">
        <v>45961</v>
      </c>
      <c r="P121" s="130">
        <f t="shared" si="35"/>
        <v>0</v>
      </c>
      <c r="Q121" s="17">
        <f t="shared" si="36"/>
        <v>0</v>
      </c>
      <c r="R121">
        <v>0</v>
      </c>
      <c r="S121" s="9">
        <f t="shared" si="37"/>
        <v>0</v>
      </c>
      <c r="AG121" s="99"/>
      <c r="AH121" s="99"/>
      <c r="AI121" s="99"/>
      <c r="AJ121" s="99"/>
      <c r="AK121" s="99"/>
      <c r="AL121" s="99"/>
      <c r="AM121" s="99"/>
      <c r="AN121" s="99"/>
      <c r="AO121" s="99"/>
      <c r="AP121" s="99"/>
      <c r="AQ121" s="99"/>
      <c r="AS121" s="9">
        <f t="shared" si="38"/>
        <v>0</v>
      </c>
      <c r="AU121" s="11">
        <f ca="1">IF(B121&lt;TODAY(),SUM($AT$6:AT121),"")</f>
        <v>103944.25</v>
      </c>
      <c r="AV121" s="11">
        <f ca="1">IF(B121&lt;TODAY(), SUMIFS($AT$8:AT121, $BG$8:BG121, BG121), "")</f>
        <v>0</v>
      </c>
      <c r="AY121" s="15"/>
      <c r="BA121" s="14"/>
      <c r="BB121" t="str">
        <f t="shared" si="40"/>
        <v>25</v>
      </c>
      <c r="BC121" t="str">
        <f t="shared" si="43"/>
        <v>10</v>
      </c>
      <c r="BD121" s="98">
        <f t="shared" si="45"/>
        <v>31</v>
      </c>
      <c r="BE121" t="str">
        <f t="shared" si="41"/>
        <v>4</v>
      </c>
      <c r="BF121" t="str">
        <f t="shared" si="33"/>
        <v>-251031D</v>
      </c>
      <c r="BG121" t="str">
        <f t="shared" si="42"/>
        <v>2025-10</v>
      </c>
    </row>
    <row r="122" spans="2:59">
      <c r="B122" s="1">
        <v>45962</v>
      </c>
      <c r="P122" s="130">
        <f t="shared" si="35"/>
        <v>0</v>
      </c>
      <c r="Q122" s="17">
        <f t="shared" si="36"/>
        <v>0</v>
      </c>
      <c r="R122">
        <v>0</v>
      </c>
      <c r="S122" s="9">
        <f t="shared" si="37"/>
        <v>0</v>
      </c>
      <c r="AG122" s="99"/>
      <c r="AH122" s="99"/>
      <c r="AI122" s="99"/>
      <c r="AJ122" s="99"/>
      <c r="AK122" s="99"/>
      <c r="AL122" s="99"/>
      <c r="AM122" s="99"/>
      <c r="AN122" s="99"/>
      <c r="AO122" s="99"/>
      <c r="AP122" s="99"/>
      <c r="AQ122" s="99"/>
      <c r="AS122" s="9">
        <f t="shared" si="38"/>
        <v>0</v>
      </c>
      <c r="AU122" s="11">
        <f ca="1">IF(B122&lt;TODAY(),SUM($AT$6:AT122),"")</f>
        <v>103944.25</v>
      </c>
      <c r="AV122" s="11">
        <f ca="1">IF(B122&lt;TODAY(), SUMIFS($AT$8:AT122, $BG$8:BG122, BG122), "")</f>
        <v>0</v>
      </c>
      <c r="AY122" s="15"/>
      <c r="BA122" s="14"/>
      <c r="BB122" t="str">
        <f t="shared" si="40"/>
        <v>25</v>
      </c>
      <c r="BC122" t="str">
        <f t="shared" si="43"/>
        <v>11</v>
      </c>
      <c r="BD122" s="98">
        <f t="shared" si="45"/>
        <v>1</v>
      </c>
      <c r="BE122" t="str">
        <f t="shared" si="41"/>
        <v>4</v>
      </c>
      <c r="BF122" t="str">
        <f t="shared" si="33"/>
        <v>-25111D</v>
      </c>
      <c r="BG122" t="str">
        <f t="shared" si="42"/>
        <v>2025-11</v>
      </c>
    </row>
    <row r="123" spans="2:59">
      <c r="B123" s="1">
        <v>45963</v>
      </c>
      <c r="P123" s="130">
        <f t="shared" si="35"/>
        <v>0</v>
      </c>
      <c r="Q123" s="17">
        <f t="shared" si="36"/>
        <v>0</v>
      </c>
      <c r="R123">
        <v>0</v>
      </c>
      <c r="S123" s="9">
        <f t="shared" si="37"/>
        <v>0</v>
      </c>
      <c r="AG123" s="99"/>
      <c r="AH123" s="99"/>
      <c r="AI123" s="99"/>
      <c r="AJ123" s="99"/>
      <c r="AK123" s="99"/>
      <c r="AL123" s="99"/>
      <c r="AM123" s="99"/>
      <c r="AN123" s="99"/>
      <c r="AO123" s="99"/>
      <c r="AP123" s="99"/>
      <c r="AQ123" s="99"/>
      <c r="AS123" s="9">
        <f t="shared" si="38"/>
        <v>0</v>
      </c>
      <c r="AU123" s="11">
        <f ca="1">IF(B123&lt;TODAY(),SUM($AT$6:AT123),"")</f>
        <v>103944.25</v>
      </c>
      <c r="AV123" s="11">
        <f ca="1">IF(B123&lt;TODAY(), SUMIFS($AT$8:AT123, $BG$8:BG123, BG123), "")</f>
        <v>0</v>
      </c>
      <c r="AY123" s="15"/>
      <c r="BA123" s="14"/>
      <c r="BB123" t="str">
        <f t="shared" si="40"/>
        <v>25</v>
      </c>
      <c r="BC123" t="str">
        <f t="shared" si="43"/>
        <v>11</v>
      </c>
      <c r="BD123" s="98">
        <f t="shared" si="45"/>
        <v>2</v>
      </c>
      <c r="BE123" t="str">
        <f t="shared" si="41"/>
        <v>4</v>
      </c>
      <c r="BF123" t="str">
        <f t="shared" si="33"/>
        <v>-25112D</v>
      </c>
      <c r="BG123" t="str">
        <f t="shared" si="42"/>
        <v>2025-11</v>
      </c>
    </row>
    <row r="124" spans="2:59">
      <c r="B124" s="1">
        <v>45964</v>
      </c>
      <c r="P124" s="130">
        <f t="shared" si="35"/>
        <v>0</v>
      </c>
      <c r="Q124" s="17">
        <f t="shared" si="36"/>
        <v>0</v>
      </c>
      <c r="R124">
        <v>0</v>
      </c>
      <c r="S124" s="9">
        <f t="shared" si="37"/>
        <v>0</v>
      </c>
      <c r="AG124" s="99"/>
      <c r="AH124" s="99"/>
      <c r="AI124" s="99"/>
      <c r="AJ124" s="99"/>
      <c r="AK124" s="99"/>
      <c r="AL124" s="99"/>
      <c r="AM124" s="99"/>
      <c r="AN124" s="99"/>
      <c r="AO124" s="99"/>
      <c r="AP124" s="99"/>
      <c r="AQ124" s="99"/>
      <c r="AS124" s="9">
        <f t="shared" si="38"/>
        <v>0</v>
      </c>
      <c r="AU124" s="11">
        <f ca="1">IF(B124&lt;TODAY(),SUM($AT$6:AT124),"")</f>
        <v>103944.25</v>
      </c>
      <c r="AV124" s="11">
        <f ca="1">IF(B124&lt;TODAY(), SUMIFS($AT$8:AT124, $BG$8:BG124, BG124), "")</f>
        <v>0</v>
      </c>
      <c r="AY124" s="15"/>
      <c r="BA124" s="14"/>
      <c r="BB124" t="str">
        <f t="shared" si="40"/>
        <v>25</v>
      </c>
      <c r="BC124" t="str">
        <f t="shared" si="43"/>
        <v>11</v>
      </c>
      <c r="BD124" s="98">
        <f t="shared" si="45"/>
        <v>3</v>
      </c>
      <c r="BE124" t="str">
        <f t="shared" si="41"/>
        <v>4</v>
      </c>
      <c r="BF124" t="str">
        <f t="shared" si="33"/>
        <v>-25113D</v>
      </c>
      <c r="BG124" t="str">
        <f t="shared" si="42"/>
        <v>2025-11</v>
      </c>
    </row>
    <row r="125" spans="2:59">
      <c r="B125" s="1">
        <v>45965</v>
      </c>
      <c r="P125" s="130">
        <f t="shared" si="35"/>
        <v>0</v>
      </c>
      <c r="Q125" s="17">
        <f t="shared" si="36"/>
        <v>0</v>
      </c>
      <c r="R125">
        <v>0</v>
      </c>
      <c r="S125" s="9">
        <f t="shared" si="37"/>
        <v>0</v>
      </c>
      <c r="AG125" s="99"/>
      <c r="AH125" s="99"/>
      <c r="AI125" s="99"/>
      <c r="AJ125" s="99"/>
      <c r="AK125" s="99"/>
      <c r="AL125" s="99"/>
      <c r="AM125" s="99"/>
      <c r="AN125" s="99"/>
      <c r="AO125" s="99"/>
      <c r="AP125" s="99"/>
      <c r="AQ125" s="99"/>
      <c r="AS125" s="9">
        <f t="shared" si="38"/>
        <v>0</v>
      </c>
      <c r="AU125" s="11">
        <f ca="1">IF(B125&lt;TODAY(),SUM($AT$6:AT125),"")</f>
        <v>103944.25</v>
      </c>
      <c r="AV125" s="11">
        <f ca="1">IF(B125&lt;TODAY(), SUMIFS($AT$8:AT125, $BG$8:BG125, BG125), "")</f>
        <v>0</v>
      </c>
      <c r="AY125" s="15"/>
      <c r="BA125" s="14"/>
      <c r="BB125" t="str">
        <f t="shared" si="40"/>
        <v>25</v>
      </c>
      <c r="BC125" t="str">
        <f t="shared" si="43"/>
        <v>11</v>
      </c>
      <c r="BD125" s="98">
        <f t="shared" si="45"/>
        <v>4</v>
      </c>
      <c r="BE125" t="str">
        <f t="shared" si="41"/>
        <v>4</v>
      </c>
      <c r="BF125" t="str">
        <f t="shared" si="33"/>
        <v>-25114D</v>
      </c>
      <c r="BG125" t="str">
        <f t="shared" si="42"/>
        <v>2025-11</v>
      </c>
    </row>
    <row r="126" spans="2:59">
      <c r="B126" s="1">
        <v>45966</v>
      </c>
      <c r="P126" s="130">
        <f t="shared" si="35"/>
        <v>0</v>
      </c>
      <c r="Q126" s="17">
        <f t="shared" si="36"/>
        <v>0</v>
      </c>
      <c r="R126">
        <v>0</v>
      </c>
      <c r="S126" s="9">
        <f t="shared" si="37"/>
        <v>0</v>
      </c>
      <c r="AG126" s="99"/>
      <c r="AH126" s="99"/>
      <c r="AI126" s="99"/>
      <c r="AJ126" s="99"/>
      <c r="AK126" s="99"/>
      <c r="AL126" s="99"/>
      <c r="AM126" s="99"/>
      <c r="AN126" s="99"/>
      <c r="AO126" s="99"/>
      <c r="AP126" s="99"/>
      <c r="AQ126" s="99"/>
      <c r="AS126" s="9">
        <f t="shared" si="38"/>
        <v>0</v>
      </c>
      <c r="AU126" s="11">
        <f ca="1">IF(B126&lt;TODAY(),SUM($AT$6:AT126),"")</f>
        <v>103944.25</v>
      </c>
      <c r="AV126" s="11">
        <f ca="1">IF(B126&lt;TODAY(), SUMIFS($AT$8:AT126, $BG$8:BG126, BG126), "")</f>
        <v>0</v>
      </c>
      <c r="AY126" s="15"/>
      <c r="BA126" s="14"/>
      <c r="BB126" t="str">
        <f t="shared" si="40"/>
        <v>25</v>
      </c>
      <c r="BC126" t="str">
        <f t="shared" si="43"/>
        <v>11</v>
      </c>
      <c r="BD126" s="98">
        <f t="shared" si="45"/>
        <v>5</v>
      </c>
      <c r="BE126" t="str">
        <f t="shared" si="41"/>
        <v>4</v>
      </c>
      <c r="BF126" t="str">
        <f t="shared" si="33"/>
        <v>-25115D</v>
      </c>
      <c r="BG126" t="str">
        <f t="shared" si="42"/>
        <v>2025-11</v>
      </c>
    </row>
    <row r="127" spans="2:59">
      <c r="B127" s="1">
        <v>45967</v>
      </c>
      <c r="P127" s="130">
        <f t="shared" si="35"/>
        <v>0</v>
      </c>
      <c r="Q127" s="17">
        <f t="shared" si="36"/>
        <v>0</v>
      </c>
      <c r="R127">
        <v>0</v>
      </c>
      <c r="S127" s="9">
        <f t="shared" si="37"/>
        <v>0</v>
      </c>
      <c r="AG127" s="99"/>
      <c r="AH127" s="99"/>
      <c r="AI127" s="99"/>
      <c r="AJ127" s="99"/>
      <c r="AK127" s="99"/>
      <c r="AL127" s="99"/>
      <c r="AM127" s="99"/>
      <c r="AN127" s="99"/>
      <c r="AO127" s="99"/>
      <c r="AP127" s="99"/>
      <c r="AQ127" s="99"/>
      <c r="AS127" s="9">
        <f t="shared" si="38"/>
        <v>0</v>
      </c>
      <c r="AU127" s="11">
        <f ca="1">IF(B127&lt;TODAY(),SUM($AT$6:AT127),"")</f>
        <v>103944.25</v>
      </c>
      <c r="AV127" s="11">
        <f ca="1">IF(B127&lt;TODAY(), SUMIFS($AT$8:AT127, $BG$8:BG127, BG127), "")</f>
        <v>0</v>
      </c>
      <c r="AY127" s="15"/>
      <c r="BA127" s="14"/>
      <c r="BB127" t="str">
        <f t="shared" si="40"/>
        <v>25</v>
      </c>
      <c r="BC127" t="str">
        <f t="shared" si="43"/>
        <v>11</v>
      </c>
      <c r="BD127" s="98">
        <f t="shared" si="45"/>
        <v>6</v>
      </c>
      <c r="BE127" t="str">
        <f t="shared" si="41"/>
        <v>4</v>
      </c>
      <c r="BF127" t="str">
        <f t="shared" si="33"/>
        <v>-25116D</v>
      </c>
      <c r="BG127" t="str">
        <f t="shared" si="42"/>
        <v>2025-11</v>
      </c>
    </row>
    <row r="128" spans="2:59">
      <c r="B128" s="1">
        <v>45968</v>
      </c>
      <c r="P128" s="130">
        <f t="shared" si="35"/>
        <v>0</v>
      </c>
      <c r="Q128" s="17">
        <f t="shared" si="36"/>
        <v>0</v>
      </c>
      <c r="R128">
        <v>0</v>
      </c>
      <c r="S128" s="9">
        <f t="shared" si="37"/>
        <v>0</v>
      </c>
      <c r="AG128" s="99"/>
      <c r="AH128" s="99"/>
      <c r="AI128" s="99"/>
      <c r="AJ128" s="99"/>
      <c r="AK128" s="99"/>
      <c r="AL128" s="99"/>
      <c r="AM128" s="99"/>
      <c r="AN128" s="99"/>
      <c r="AO128" s="99"/>
      <c r="AP128" s="99"/>
      <c r="AQ128" s="99"/>
      <c r="AS128" s="9">
        <f t="shared" si="38"/>
        <v>0</v>
      </c>
      <c r="AU128" s="11">
        <f ca="1">IF(B128&lt;TODAY(),SUM($AT$6:AT128),"")</f>
        <v>103944.25</v>
      </c>
      <c r="AV128" s="11">
        <f ca="1">IF(B128&lt;TODAY(), SUMIFS($AT$8:AT128, $BG$8:BG128, BG128), "")</f>
        <v>0</v>
      </c>
      <c r="AY128" s="15"/>
      <c r="BA128" s="14"/>
      <c r="BB128" t="str">
        <f t="shared" si="40"/>
        <v>25</v>
      </c>
      <c r="BC128" t="str">
        <f t="shared" si="43"/>
        <v>11</v>
      </c>
      <c r="BD128" s="98">
        <f t="shared" si="45"/>
        <v>7</v>
      </c>
      <c r="BE128" t="str">
        <f t="shared" si="41"/>
        <v>4</v>
      </c>
      <c r="BF128" t="str">
        <f t="shared" si="33"/>
        <v>-25117D</v>
      </c>
      <c r="BG128" t="str">
        <f t="shared" si="42"/>
        <v>2025-11</v>
      </c>
    </row>
    <row r="129" spans="2:59">
      <c r="B129" s="1">
        <v>45969</v>
      </c>
      <c r="P129" s="130">
        <f t="shared" si="35"/>
        <v>0</v>
      </c>
      <c r="Q129" s="17">
        <f t="shared" si="36"/>
        <v>0</v>
      </c>
      <c r="R129">
        <v>0</v>
      </c>
      <c r="S129" s="9">
        <f t="shared" si="37"/>
        <v>0</v>
      </c>
      <c r="AG129" s="99"/>
      <c r="AH129" s="99"/>
      <c r="AI129" s="99"/>
      <c r="AJ129" s="99"/>
      <c r="AK129" s="99"/>
      <c r="AL129" s="99"/>
      <c r="AM129" s="99"/>
      <c r="AN129" s="99"/>
      <c r="AO129" s="99"/>
      <c r="AP129" s="99"/>
      <c r="AQ129" s="99"/>
      <c r="AS129" s="9">
        <f t="shared" si="38"/>
        <v>0</v>
      </c>
      <c r="AU129" s="11">
        <f ca="1">IF(B129&lt;TODAY(),SUM($AT$6:AT129),"")</f>
        <v>103944.25</v>
      </c>
      <c r="AV129" s="11">
        <f ca="1">IF(B129&lt;TODAY(), SUMIFS($AT$8:AT129, $BG$8:BG129, BG129), "")</f>
        <v>0</v>
      </c>
      <c r="AY129" s="15"/>
      <c r="BA129" s="14"/>
      <c r="BB129" t="str">
        <f t="shared" si="40"/>
        <v>25</v>
      </c>
      <c r="BC129" t="str">
        <f t="shared" si="43"/>
        <v>11</v>
      </c>
      <c r="BD129" s="98">
        <f t="shared" si="45"/>
        <v>8</v>
      </c>
      <c r="BE129" t="str">
        <f t="shared" si="41"/>
        <v>4</v>
      </c>
      <c r="BF129" t="str">
        <f t="shared" si="33"/>
        <v>-25118D</v>
      </c>
      <c r="BG129" t="str">
        <f t="shared" si="42"/>
        <v>2025-11</v>
      </c>
    </row>
    <row r="130" spans="2:59">
      <c r="B130" s="1">
        <v>45970</v>
      </c>
      <c r="P130" s="130">
        <f t="shared" si="35"/>
        <v>0</v>
      </c>
      <c r="Q130" s="17">
        <f t="shared" si="36"/>
        <v>0</v>
      </c>
      <c r="R130">
        <v>0</v>
      </c>
      <c r="S130" s="9">
        <f t="shared" si="37"/>
        <v>0</v>
      </c>
      <c r="AG130" s="99"/>
      <c r="AH130" s="99"/>
      <c r="AI130" s="99"/>
      <c r="AJ130" s="99"/>
      <c r="AK130" s="99"/>
      <c r="AL130" s="99"/>
      <c r="AM130" s="99"/>
      <c r="AN130" s="99"/>
      <c r="AO130" s="99"/>
      <c r="AP130" s="99"/>
      <c r="AQ130" s="99"/>
      <c r="AS130" s="9">
        <f t="shared" si="38"/>
        <v>0</v>
      </c>
      <c r="AU130" s="11">
        <f ca="1">IF(B130&lt;TODAY(),SUM($AT$6:AT130),"")</f>
        <v>103944.25</v>
      </c>
      <c r="AV130" s="11">
        <f ca="1">IF(B130&lt;TODAY(), SUMIFS($AT$8:AT130, $BG$8:BG130, BG130), "")</f>
        <v>0</v>
      </c>
      <c r="AY130" s="15"/>
      <c r="BA130" s="14"/>
      <c r="BB130" t="str">
        <f t="shared" si="40"/>
        <v>25</v>
      </c>
      <c r="BC130" t="str">
        <f t="shared" si="43"/>
        <v>11</v>
      </c>
      <c r="BD130" s="98">
        <f t="shared" si="45"/>
        <v>9</v>
      </c>
      <c r="BE130" t="str">
        <f t="shared" si="41"/>
        <v>4</v>
      </c>
      <c r="BF130" t="str">
        <f t="shared" si="33"/>
        <v>-25119D</v>
      </c>
      <c r="BG130" t="str">
        <f t="shared" si="42"/>
        <v>2025-11</v>
      </c>
    </row>
    <row r="131" spans="2:59">
      <c r="B131" s="1">
        <v>45971</v>
      </c>
      <c r="P131" s="130">
        <f t="shared" si="35"/>
        <v>0</v>
      </c>
      <c r="Q131" s="17">
        <f t="shared" si="36"/>
        <v>0</v>
      </c>
      <c r="R131">
        <v>0</v>
      </c>
      <c r="S131" s="9">
        <f t="shared" si="37"/>
        <v>0</v>
      </c>
      <c r="AG131" s="99"/>
      <c r="AH131" s="99"/>
      <c r="AI131" s="99"/>
      <c r="AJ131" s="99"/>
      <c r="AK131" s="99"/>
      <c r="AL131" s="99"/>
      <c r="AM131" s="99"/>
      <c r="AN131" s="99"/>
      <c r="AO131" s="99"/>
      <c r="AP131" s="99"/>
      <c r="AQ131" s="99"/>
      <c r="AS131" s="9">
        <f t="shared" si="38"/>
        <v>0</v>
      </c>
      <c r="AU131" s="11">
        <f ca="1">IF(B131&lt;TODAY(),SUM($AT$6:AT131),"")</f>
        <v>103944.25</v>
      </c>
      <c r="AV131" s="11">
        <f ca="1">IF(B131&lt;TODAY(), SUMIFS($AT$8:AT131, $BG$8:BG131, BG131), "")</f>
        <v>0</v>
      </c>
      <c r="AY131" s="15"/>
      <c r="BA131" s="14"/>
      <c r="BB131" t="str">
        <f t="shared" si="40"/>
        <v>25</v>
      </c>
      <c r="BC131" t="str">
        <f t="shared" si="43"/>
        <v>11</v>
      </c>
      <c r="BD131" s="98">
        <f t="shared" si="45"/>
        <v>10</v>
      </c>
      <c r="BE131" t="str">
        <f t="shared" si="41"/>
        <v>4</v>
      </c>
      <c r="BF131" t="str">
        <f t="shared" si="33"/>
        <v>-251110D</v>
      </c>
      <c r="BG131" t="str">
        <f t="shared" si="42"/>
        <v>2025-11</v>
      </c>
    </row>
    <row r="132" spans="2:59">
      <c r="B132" s="1">
        <v>45972</v>
      </c>
      <c r="P132" s="130">
        <f t="shared" si="35"/>
        <v>0</v>
      </c>
      <c r="Q132" s="17">
        <f t="shared" si="36"/>
        <v>0</v>
      </c>
      <c r="R132">
        <v>0</v>
      </c>
      <c r="S132" s="9">
        <f t="shared" si="37"/>
        <v>0</v>
      </c>
      <c r="AG132" s="99"/>
      <c r="AH132" s="99"/>
      <c r="AI132" s="99"/>
      <c r="AJ132" s="99"/>
      <c r="AK132" s="99"/>
      <c r="AL132" s="99"/>
      <c r="AM132" s="99"/>
      <c r="AN132" s="99"/>
      <c r="AO132" s="99"/>
      <c r="AP132" s="99"/>
      <c r="AQ132" s="99"/>
      <c r="AS132" s="9">
        <f t="shared" si="38"/>
        <v>0</v>
      </c>
      <c r="AU132" s="11">
        <f ca="1">IF(B132&lt;TODAY(),SUM($AT$6:AT132),"")</f>
        <v>103944.25</v>
      </c>
      <c r="AV132" s="11">
        <f ca="1">IF(B132&lt;TODAY(), SUMIFS($AT$8:AT132, $BG$8:BG132, BG132), "")</f>
        <v>0</v>
      </c>
      <c r="AY132" s="15"/>
      <c r="BA132" s="14"/>
      <c r="BB132" t="str">
        <f t="shared" si="40"/>
        <v>25</v>
      </c>
      <c r="BC132" t="str">
        <f t="shared" si="43"/>
        <v>11</v>
      </c>
      <c r="BD132" s="98">
        <f t="shared" si="45"/>
        <v>11</v>
      </c>
      <c r="BE132" t="str">
        <f t="shared" si="41"/>
        <v>4</v>
      </c>
      <c r="BF132" t="str">
        <f t="shared" si="33"/>
        <v>-251111D</v>
      </c>
      <c r="BG132" t="str">
        <f t="shared" si="42"/>
        <v>2025-11</v>
      </c>
    </row>
    <row r="133" spans="2:59">
      <c r="B133" s="1">
        <v>45973</v>
      </c>
      <c r="P133" s="130">
        <f t="shared" si="35"/>
        <v>0</v>
      </c>
      <c r="Q133" s="17">
        <f t="shared" si="36"/>
        <v>0</v>
      </c>
      <c r="R133">
        <v>0</v>
      </c>
      <c r="S133" s="9">
        <f t="shared" si="37"/>
        <v>0</v>
      </c>
      <c r="AG133" s="99"/>
      <c r="AH133" s="99"/>
      <c r="AI133" s="99"/>
      <c r="AJ133" s="99"/>
      <c r="AK133" s="99"/>
      <c r="AL133" s="99"/>
      <c r="AM133" s="99"/>
      <c r="AN133" s="99"/>
      <c r="AO133" s="99"/>
      <c r="AP133" s="99"/>
      <c r="AQ133" s="99"/>
      <c r="AS133" s="9">
        <f t="shared" si="38"/>
        <v>0</v>
      </c>
      <c r="AU133" s="11">
        <f ca="1">IF(B133&lt;TODAY(),SUM($AT$6:AT133),"")</f>
        <v>103944.25</v>
      </c>
      <c r="AV133" s="11">
        <f ca="1">IF(B133&lt;TODAY(), SUMIFS($AT$8:AT133, $BG$8:BG133, BG133), "")</f>
        <v>0</v>
      </c>
      <c r="AY133" s="15"/>
      <c r="BA133" s="14"/>
      <c r="BB133" t="str">
        <f t="shared" si="40"/>
        <v>25</v>
      </c>
      <c r="BC133" t="str">
        <f t="shared" si="43"/>
        <v>11</v>
      </c>
      <c r="BD133" s="98">
        <f t="shared" si="45"/>
        <v>12</v>
      </c>
      <c r="BE133" t="str">
        <f t="shared" si="41"/>
        <v>4</v>
      </c>
      <c r="BF133" t="str">
        <f t="shared" si="33"/>
        <v>-251112D</v>
      </c>
      <c r="BG133" t="str">
        <f t="shared" si="42"/>
        <v>2025-11</v>
      </c>
    </row>
    <row r="134" spans="2:59">
      <c r="B134" s="1">
        <v>45974</v>
      </c>
      <c r="P134" s="130">
        <f t="shared" si="35"/>
        <v>0</v>
      </c>
      <c r="Q134" s="17">
        <f t="shared" si="36"/>
        <v>0</v>
      </c>
      <c r="R134">
        <v>0</v>
      </c>
      <c r="S134" s="9">
        <f t="shared" si="37"/>
        <v>0</v>
      </c>
      <c r="AG134" s="99"/>
      <c r="AH134" s="99"/>
      <c r="AI134" s="99"/>
      <c r="AJ134" s="99"/>
      <c r="AK134" s="99"/>
      <c r="AL134" s="99"/>
      <c r="AM134" s="99"/>
      <c r="AN134" s="99"/>
      <c r="AO134" s="99"/>
      <c r="AP134" s="99"/>
      <c r="AQ134" s="99"/>
      <c r="AS134" s="9">
        <f t="shared" si="38"/>
        <v>0</v>
      </c>
      <c r="AU134" s="11">
        <f ca="1">IF(B134&lt;TODAY(),SUM($AT$6:AT134),"")</f>
        <v>103944.25</v>
      </c>
      <c r="AV134" s="11">
        <f ca="1">IF(B134&lt;TODAY(), SUMIFS($AT$8:AT134, $BG$8:BG134, BG134), "")</f>
        <v>0</v>
      </c>
      <c r="AY134" s="15"/>
      <c r="BA134" s="14"/>
      <c r="BB134" t="str">
        <f t="shared" si="40"/>
        <v>25</v>
      </c>
      <c r="BC134" t="str">
        <f t="shared" si="43"/>
        <v>11</v>
      </c>
      <c r="BD134" s="98">
        <f t="shared" si="45"/>
        <v>13</v>
      </c>
      <c r="BE134" t="str">
        <f t="shared" si="41"/>
        <v>4</v>
      </c>
      <c r="BF134" t="str">
        <f t="shared" si="33"/>
        <v>-251113D</v>
      </c>
      <c r="BG134" t="str">
        <f t="shared" si="42"/>
        <v>2025-11</v>
      </c>
    </row>
    <row r="135" spans="2:59">
      <c r="B135" s="1">
        <v>45975</v>
      </c>
      <c r="P135" s="130">
        <f t="shared" si="35"/>
        <v>0</v>
      </c>
      <c r="Q135" s="17">
        <f t="shared" si="36"/>
        <v>0</v>
      </c>
      <c r="R135">
        <v>0</v>
      </c>
      <c r="S135" s="9">
        <f t="shared" si="37"/>
        <v>0</v>
      </c>
      <c r="AG135" s="99"/>
      <c r="AH135" s="99"/>
      <c r="AI135" s="99"/>
      <c r="AJ135" s="99"/>
      <c r="AK135" s="99"/>
      <c r="AL135" s="99"/>
      <c r="AM135" s="99"/>
      <c r="AN135" s="99"/>
      <c r="AO135" s="99"/>
      <c r="AP135" s="99"/>
      <c r="AQ135" s="99"/>
      <c r="AS135" s="9">
        <f t="shared" si="38"/>
        <v>0</v>
      </c>
      <c r="AU135" s="11">
        <f ca="1">IF(B135&lt;TODAY(),SUM($AT$6:AT135),"")</f>
        <v>103944.25</v>
      </c>
      <c r="AV135" s="11">
        <f ca="1">IF(B135&lt;TODAY(), SUMIFS($AT$8:AT135, $BG$8:BG135, BG135), "")</f>
        <v>0</v>
      </c>
      <c r="AY135" s="15"/>
      <c r="BA135" s="14"/>
      <c r="BB135" t="str">
        <f t="shared" si="40"/>
        <v>25</v>
      </c>
      <c r="BC135" t="str">
        <f t="shared" si="43"/>
        <v>11</v>
      </c>
      <c r="BD135" s="98">
        <f t="shared" si="45"/>
        <v>14</v>
      </c>
      <c r="BE135" t="str">
        <f t="shared" si="41"/>
        <v>4</v>
      </c>
      <c r="BF135" t="str">
        <f t="shared" si="33"/>
        <v>-251114D</v>
      </c>
      <c r="BG135" t="str">
        <f t="shared" si="42"/>
        <v>2025-11</v>
      </c>
    </row>
    <row r="136" spans="2:59">
      <c r="B136" s="1">
        <v>45976</v>
      </c>
      <c r="P136" s="130">
        <f t="shared" si="35"/>
        <v>0</v>
      </c>
      <c r="Q136" s="17">
        <f t="shared" si="36"/>
        <v>0</v>
      </c>
      <c r="R136">
        <v>0</v>
      </c>
      <c r="S136" s="9">
        <f t="shared" si="37"/>
        <v>0</v>
      </c>
      <c r="AG136" s="99"/>
      <c r="AH136" s="99"/>
      <c r="AI136" s="99"/>
      <c r="AJ136" s="99"/>
      <c r="AK136" s="99"/>
      <c r="AL136" s="99"/>
      <c r="AM136" s="99"/>
      <c r="AN136" s="99"/>
      <c r="AO136" s="99"/>
      <c r="AP136" s="99"/>
      <c r="AQ136" s="99"/>
      <c r="AS136" s="9">
        <f t="shared" si="38"/>
        <v>0</v>
      </c>
      <c r="AU136" s="11">
        <f ca="1">IF(B136&lt;TODAY(),SUM($AT$6:AT136),"")</f>
        <v>103944.25</v>
      </c>
      <c r="AV136" s="11">
        <f ca="1">IF(B136&lt;TODAY(), SUMIFS($AT$8:AT136, $BG$8:BG136, BG136), "")</f>
        <v>0</v>
      </c>
      <c r="AY136" s="15"/>
      <c r="BB136" t="str">
        <f t="shared" si="40"/>
        <v>25</v>
      </c>
      <c r="BC136" t="str">
        <f t="shared" si="43"/>
        <v>11</v>
      </c>
      <c r="BD136" s="98">
        <f t="shared" si="45"/>
        <v>15</v>
      </c>
      <c r="BE136" t="str">
        <f t="shared" si="41"/>
        <v>4</v>
      </c>
      <c r="BF136" t="str">
        <f t="shared" si="33"/>
        <v>-251115D</v>
      </c>
      <c r="BG136" t="str">
        <f t="shared" si="42"/>
        <v>2025-11</v>
      </c>
    </row>
    <row r="137" spans="2:59">
      <c r="B137" s="1">
        <v>45977</v>
      </c>
      <c r="P137" s="130">
        <f t="shared" si="35"/>
        <v>0</v>
      </c>
      <c r="Q137" s="17">
        <f t="shared" si="36"/>
        <v>0</v>
      </c>
      <c r="R137">
        <v>0</v>
      </c>
      <c r="S137" s="9">
        <f t="shared" si="37"/>
        <v>0</v>
      </c>
      <c r="AG137" s="99"/>
      <c r="AH137" s="99"/>
      <c r="AI137" s="99"/>
      <c r="AJ137" s="99"/>
      <c r="AK137" s="99"/>
      <c r="AL137" s="99"/>
      <c r="AM137" s="99"/>
      <c r="AN137" s="99"/>
      <c r="AO137" s="99"/>
      <c r="AP137" s="99"/>
      <c r="AQ137" s="99"/>
      <c r="AS137" s="9">
        <f t="shared" si="38"/>
        <v>0</v>
      </c>
      <c r="AU137" s="11">
        <f ca="1">IF(B137&lt;TODAY(),SUM($AT$6:AT137),"")</f>
        <v>103944.25</v>
      </c>
      <c r="AV137" s="11">
        <f ca="1">IF(B137&lt;TODAY(), SUMIFS($AT$8:AT137, $BG$8:BG137, BG137), "")</f>
        <v>0</v>
      </c>
      <c r="AY137" s="15"/>
      <c r="BB137" t="str">
        <f t="shared" si="40"/>
        <v>25</v>
      </c>
      <c r="BC137" t="str">
        <f t="shared" si="43"/>
        <v>11</v>
      </c>
      <c r="BD137" s="98">
        <f t="shared" si="45"/>
        <v>16</v>
      </c>
      <c r="BE137" t="str">
        <f t="shared" si="41"/>
        <v>4</v>
      </c>
      <c r="BF137" t="str">
        <f t="shared" ref="BF137" si="46">CONCATENATE(BA137,"-",BB137,BC137,BD137,"D")</f>
        <v>-251116D</v>
      </c>
      <c r="BG137" t="str">
        <f t="shared" si="42"/>
        <v>2025-11</v>
      </c>
    </row>
    <row r="138" spans="2:59">
      <c r="B138" s="1">
        <v>45978</v>
      </c>
      <c r="P138" s="130">
        <f t="shared" si="35"/>
        <v>0</v>
      </c>
      <c r="Q138" s="17">
        <f t="shared" si="36"/>
        <v>0</v>
      </c>
      <c r="R138">
        <v>0</v>
      </c>
      <c r="S138" s="9">
        <f t="shared" si="37"/>
        <v>0</v>
      </c>
      <c r="AG138" s="99"/>
      <c r="AH138" s="99"/>
      <c r="AI138" s="99"/>
      <c r="AJ138" s="99"/>
      <c r="AK138" s="99"/>
      <c r="AL138" s="99"/>
      <c r="AM138" s="99"/>
      <c r="AN138" s="99"/>
      <c r="AO138" s="99"/>
      <c r="AP138" s="99"/>
      <c r="AQ138" s="99"/>
      <c r="AS138" s="9">
        <f t="shared" si="38"/>
        <v>0</v>
      </c>
      <c r="AU138" s="11">
        <f ca="1">IF(B138&lt;TODAY(),SUM($AT$6:AT138),"")</f>
        <v>103944.25</v>
      </c>
      <c r="AV138" s="11">
        <f ca="1">IF(B138&lt;TODAY(), SUMIFS($AT$8:AT138, $BG$8:BG138, BG138), "")</f>
        <v>0</v>
      </c>
      <c r="AY138" s="15"/>
    </row>
    <row r="139" spans="2:59">
      <c r="B139" s="1">
        <v>45979</v>
      </c>
      <c r="P139" s="130">
        <f t="shared" si="35"/>
        <v>0</v>
      </c>
      <c r="Q139" s="17">
        <f t="shared" si="36"/>
        <v>0</v>
      </c>
      <c r="R139">
        <v>0</v>
      </c>
      <c r="S139" s="9">
        <f t="shared" si="37"/>
        <v>0</v>
      </c>
      <c r="AG139" s="99"/>
      <c r="AH139" s="99"/>
      <c r="AI139" s="99"/>
      <c r="AJ139" s="99"/>
      <c r="AK139" s="99"/>
      <c r="AL139" s="99"/>
      <c r="AM139" s="99"/>
      <c r="AN139" s="99"/>
      <c r="AO139" s="99"/>
      <c r="AP139" s="99"/>
      <c r="AQ139" s="99"/>
      <c r="AS139" s="9">
        <f t="shared" si="38"/>
        <v>0</v>
      </c>
      <c r="AU139" s="11">
        <f ca="1">IF(B139&lt;TODAY(),SUM($AT$6:AT139),"")</f>
        <v>103944.25</v>
      </c>
      <c r="AV139" s="11">
        <f ca="1">IF(B139&lt;TODAY(), SUMIFS($AT$8:AT139, $BG$8:BG139, BG139), "")</f>
        <v>0</v>
      </c>
      <c r="AY139" s="15"/>
    </row>
    <row r="140" spans="2:59">
      <c r="B140" s="1">
        <v>45980</v>
      </c>
      <c r="P140" s="130">
        <f t="shared" si="35"/>
        <v>0</v>
      </c>
      <c r="Q140" s="17">
        <f t="shared" si="36"/>
        <v>0</v>
      </c>
      <c r="R140">
        <v>0</v>
      </c>
      <c r="S140" s="9">
        <f t="shared" si="37"/>
        <v>0</v>
      </c>
      <c r="AG140" s="99"/>
      <c r="AH140" s="99"/>
      <c r="AI140" s="99"/>
      <c r="AJ140" s="99"/>
      <c r="AK140" s="99"/>
      <c r="AL140" s="99"/>
      <c r="AM140" s="99"/>
      <c r="AN140" s="99"/>
      <c r="AO140" s="99"/>
      <c r="AP140" s="99"/>
      <c r="AQ140" s="99"/>
      <c r="AS140" s="9">
        <f t="shared" si="38"/>
        <v>0</v>
      </c>
      <c r="AU140" s="11">
        <f ca="1">IF(B140&lt;TODAY(),SUM($AT$6:AT140),"")</f>
        <v>103944.25</v>
      </c>
      <c r="AV140" s="11">
        <f ca="1">IF(B140&lt;TODAY(), SUMIFS($AT$8:AT140, $BG$8:BG140, BG140), "")</f>
        <v>0</v>
      </c>
      <c r="AY140" s="15"/>
    </row>
    <row r="141" spans="2:59">
      <c r="B141" s="1">
        <v>45981</v>
      </c>
      <c r="P141" s="130">
        <f t="shared" si="35"/>
        <v>0</v>
      </c>
      <c r="Q141" s="17">
        <f t="shared" si="36"/>
        <v>0</v>
      </c>
      <c r="R141">
        <v>0</v>
      </c>
      <c r="S141" s="9">
        <f t="shared" si="37"/>
        <v>0</v>
      </c>
      <c r="AG141" s="99"/>
      <c r="AH141" s="99"/>
      <c r="AI141" s="99"/>
      <c r="AJ141" s="99"/>
      <c r="AK141" s="99"/>
      <c r="AL141" s="99"/>
      <c r="AM141" s="99"/>
      <c r="AN141" s="99"/>
      <c r="AO141" s="99"/>
      <c r="AP141" s="99"/>
      <c r="AQ141" s="99"/>
      <c r="AS141" s="9">
        <f t="shared" si="38"/>
        <v>0</v>
      </c>
      <c r="AU141" s="11">
        <f ca="1">IF(B141&lt;TODAY(),SUM($AT$6:AT141),"")</f>
        <v>103944.25</v>
      </c>
      <c r="AV141" s="11">
        <f ca="1">IF(B141&lt;TODAY(), SUMIFS($AT$8:AT141, $BG$8:BG141, BG141), "")</f>
        <v>0</v>
      </c>
      <c r="AY141" s="15"/>
    </row>
    <row r="142" spans="2:59">
      <c r="B142" s="1">
        <v>45982</v>
      </c>
      <c r="P142" s="130">
        <f t="shared" si="35"/>
        <v>0</v>
      </c>
      <c r="Q142" s="17">
        <f t="shared" si="36"/>
        <v>0</v>
      </c>
      <c r="R142">
        <v>0</v>
      </c>
      <c r="S142" s="9">
        <f t="shared" si="37"/>
        <v>0</v>
      </c>
      <c r="AG142" s="99"/>
      <c r="AH142" s="99"/>
      <c r="AI142" s="99"/>
      <c r="AJ142" s="99"/>
      <c r="AK142" s="99"/>
      <c r="AL142" s="99"/>
      <c r="AM142" s="99"/>
      <c r="AN142" s="99"/>
      <c r="AO142" s="99"/>
      <c r="AP142" s="99"/>
      <c r="AQ142" s="99"/>
      <c r="AS142" s="9">
        <f t="shared" si="38"/>
        <v>0</v>
      </c>
      <c r="AU142" s="11">
        <f ca="1">IF(B142&lt;TODAY(),SUM($AT$6:AT142),"")</f>
        <v>103944.25</v>
      </c>
      <c r="AV142" s="11">
        <f ca="1">IF(B142&lt;TODAY(), SUMIFS($AT$8:AT142, $BG$8:BG142, BG142), "")</f>
        <v>0</v>
      </c>
      <c r="AY142" s="15"/>
    </row>
    <row r="143" spans="2:59">
      <c r="B143" s="1">
        <v>45983</v>
      </c>
      <c r="P143" s="130">
        <f t="shared" si="35"/>
        <v>0</v>
      </c>
      <c r="Q143" s="17">
        <f t="shared" si="36"/>
        <v>0</v>
      </c>
      <c r="R143">
        <v>0</v>
      </c>
      <c r="S143" s="9">
        <f t="shared" si="37"/>
        <v>0</v>
      </c>
      <c r="AG143" s="99"/>
      <c r="AH143" s="99"/>
      <c r="AI143" s="99"/>
      <c r="AJ143" s="99"/>
      <c r="AK143" s="99"/>
      <c r="AL143" s="99"/>
      <c r="AM143" s="99"/>
      <c r="AN143" s="99"/>
      <c r="AO143" s="99"/>
      <c r="AP143" s="99"/>
      <c r="AQ143" s="99"/>
      <c r="AS143" s="9">
        <f t="shared" si="38"/>
        <v>0</v>
      </c>
      <c r="AU143" s="11">
        <f ca="1">IF(B143&lt;TODAY(),SUM($AT$6:AT143),"")</f>
        <v>103944.25</v>
      </c>
      <c r="AV143" s="11">
        <f ca="1">IF(B143&lt;TODAY(), SUMIFS($AT$8:AT143, $BG$8:BG143, BG143), "")</f>
        <v>0</v>
      </c>
      <c r="AY143" s="15"/>
    </row>
    <row r="144" spans="2:59">
      <c r="B144" s="1">
        <v>45984</v>
      </c>
      <c r="P144" s="130">
        <f t="shared" si="35"/>
        <v>0</v>
      </c>
      <c r="Q144" s="17">
        <f t="shared" si="36"/>
        <v>0</v>
      </c>
      <c r="R144">
        <v>0</v>
      </c>
      <c r="S144" s="9">
        <f t="shared" si="37"/>
        <v>0</v>
      </c>
      <c r="AG144" s="99"/>
      <c r="AH144" s="99"/>
      <c r="AI144" s="99"/>
      <c r="AJ144" s="99"/>
      <c r="AK144" s="99"/>
      <c r="AL144" s="99"/>
      <c r="AM144" s="99"/>
      <c r="AN144" s="99"/>
      <c r="AO144" s="99"/>
      <c r="AP144" s="99"/>
      <c r="AQ144" s="99"/>
      <c r="AS144" s="9">
        <f t="shared" si="38"/>
        <v>0</v>
      </c>
      <c r="AU144" s="11">
        <f ca="1">IF(B144&lt;TODAY(),SUM($AT$6:AT144),"")</f>
        <v>103944.25</v>
      </c>
      <c r="AV144" s="11">
        <f ca="1">IF(B144&lt;TODAY(), SUMIFS($AT$8:AT144, $BG$8:BG144, BG144), "")</f>
        <v>0</v>
      </c>
      <c r="AY144" s="15"/>
    </row>
    <row r="145" spans="2:51">
      <c r="B145" s="1">
        <v>45985</v>
      </c>
      <c r="P145" s="130">
        <f t="shared" si="35"/>
        <v>0</v>
      </c>
      <c r="Q145" s="17">
        <f t="shared" si="36"/>
        <v>0</v>
      </c>
      <c r="R145">
        <v>0</v>
      </c>
      <c r="S145" s="9">
        <f t="shared" si="37"/>
        <v>0</v>
      </c>
      <c r="AG145" s="99"/>
      <c r="AH145" s="99"/>
      <c r="AI145" s="99"/>
      <c r="AJ145" s="99"/>
      <c r="AK145" s="99"/>
      <c r="AL145" s="99"/>
      <c r="AM145" s="99"/>
      <c r="AN145" s="99"/>
      <c r="AO145" s="99"/>
      <c r="AP145" s="99"/>
      <c r="AQ145" s="99"/>
      <c r="AS145" s="9">
        <f t="shared" si="38"/>
        <v>0</v>
      </c>
      <c r="AU145" s="11">
        <f ca="1">IF(B145&lt;TODAY(),SUM($AT$6:AT145),"")</f>
        <v>103944.25</v>
      </c>
      <c r="AV145" s="11">
        <f ca="1">IF(B145&lt;TODAY(), SUMIFS($AT$8:AT145, $BG$8:BG145, BG145), "")</f>
        <v>0</v>
      </c>
      <c r="AY145" s="15"/>
    </row>
    <row r="146" spans="2:51">
      <c r="B146" s="1">
        <v>45986</v>
      </c>
      <c r="P146" s="130">
        <f t="shared" ref="P146:P209" si="47">J146+K146+L146+M146+N146+O146</f>
        <v>0</v>
      </c>
      <c r="Q146" s="17">
        <f t="shared" ref="Q146:Q209" si="48">(J146*$J$3)+(K146*$K$3)+(L146*$L$3)+(M146*$M$3)+(N146*$N$3)+(O146*$O$3)</f>
        <v>0</v>
      </c>
      <c r="R146">
        <v>0</v>
      </c>
      <c r="S146" s="9">
        <f t="shared" ref="S146:S209" si="49">IF(Q146&lt;(R146*$R$3),(R146*$R$3),Q146)</f>
        <v>0</v>
      </c>
      <c r="AG146" s="99"/>
      <c r="AH146" s="99"/>
      <c r="AI146" s="99"/>
      <c r="AJ146" s="99"/>
      <c r="AK146" s="99"/>
      <c r="AL146" s="99"/>
      <c r="AM146" s="99"/>
      <c r="AN146" s="99"/>
      <c r="AO146" s="99"/>
      <c r="AP146" s="99"/>
      <c r="AQ146" s="99"/>
      <c r="AS146" s="9">
        <f t="shared" si="38"/>
        <v>0</v>
      </c>
      <c r="AU146" s="11">
        <f ca="1">IF(B146&lt;TODAY(),SUM($AT$6:AT146),"")</f>
        <v>103944.25</v>
      </c>
      <c r="AV146" s="11">
        <f ca="1">IF(B146&lt;TODAY(), SUMIFS($AT$8:AT146, $BG$8:BG146, BG146), "")</f>
        <v>0</v>
      </c>
      <c r="AY146" s="15"/>
    </row>
    <row r="147" spans="2:51">
      <c r="B147" s="1">
        <v>45987</v>
      </c>
      <c r="P147" s="130">
        <f t="shared" si="47"/>
        <v>0</v>
      </c>
      <c r="Q147" s="17">
        <f t="shared" si="48"/>
        <v>0</v>
      </c>
      <c r="R147">
        <v>0</v>
      </c>
      <c r="S147" s="9">
        <f t="shared" si="49"/>
        <v>0</v>
      </c>
      <c r="AG147" s="99"/>
      <c r="AH147" s="99"/>
      <c r="AI147" s="99"/>
      <c r="AJ147" s="99"/>
      <c r="AK147" s="99"/>
      <c r="AL147" s="99"/>
      <c r="AM147" s="99"/>
      <c r="AN147" s="99"/>
      <c r="AO147" s="99"/>
      <c r="AP147" s="99"/>
      <c r="AQ147" s="99"/>
      <c r="AS147" s="9">
        <f t="shared" ref="AS147:AS210" si="50">($AG$3*AG147)+($AH$3*AH147)+($AI$3*AI147)+($AJ$3*AJ147)+($AK$3*AK147)+($AL$3*AL147)+($AM$3*AM147)+($AN$3*AN147)+($AO$3*AO147)+($AP$3*AP147)+AR147</f>
        <v>0</v>
      </c>
      <c r="AU147" s="11">
        <f ca="1">IF(B147&lt;TODAY(),SUM($AT$6:AT147),"")</f>
        <v>103944.25</v>
      </c>
      <c r="AV147" s="11">
        <f ca="1">IF(B147&lt;TODAY(), SUMIFS($AT$8:AT147, $BG$8:BG147, BG147), "")</f>
        <v>0</v>
      </c>
      <c r="AY147" s="15"/>
    </row>
    <row r="148" spans="2:51">
      <c r="B148" s="1">
        <v>45988</v>
      </c>
      <c r="P148" s="130">
        <f t="shared" si="47"/>
        <v>0</v>
      </c>
      <c r="Q148" s="17">
        <f t="shared" si="48"/>
        <v>0</v>
      </c>
      <c r="R148">
        <v>0</v>
      </c>
      <c r="S148" s="9">
        <f t="shared" si="49"/>
        <v>0</v>
      </c>
      <c r="AG148" s="99"/>
      <c r="AH148" s="99"/>
      <c r="AI148" s="99"/>
      <c r="AJ148" s="99"/>
      <c r="AK148" s="99"/>
      <c r="AL148" s="99"/>
      <c r="AM148" s="99"/>
      <c r="AN148" s="99"/>
      <c r="AO148" s="99"/>
      <c r="AP148" s="99"/>
      <c r="AQ148" s="99"/>
      <c r="AS148" s="9">
        <f t="shared" si="50"/>
        <v>0</v>
      </c>
      <c r="AU148" s="11">
        <f ca="1">IF(B148&lt;TODAY(),SUM($AT$6:AT148),"")</f>
        <v>103944.25</v>
      </c>
      <c r="AV148" s="11">
        <f ca="1">IF(B148&lt;TODAY(), SUMIFS($AT$8:AT148, $BG$8:BG148, BG148), "")</f>
        <v>0</v>
      </c>
      <c r="AY148" s="15"/>
    </row>
    <row r="149" spans="2:51">
      <c r="B149" s="1">
        <v>45989</v>
      </c>
      <c r="P149" s="130">
        <f t="shared" si="47"/>
        <v>0</v>
      </c>
      <c r="Q149" s="17">
        <f t="shared" si="48"/>
        <v>0</v>
      </c>
      <c r="R149">
        <v>0</v>
      </c>
      <c r="S149" s="9">
        <f t="shared" si="49"/>
        <v>0</v>
      </c>
      <c r="AG149" s="99"/>
      <c r="AH149" s="99"/>
      <c r="AI149" s="99"/>
      <c r="AJ149" s="99"/>
      <c r="AK149" s="99"/>
      <c r="AL149" s="99"/>
      <c r="AM149" s="99"/>
      <c r="AN149" s="99"/>
      <c r="AO149" s="99"/>
      <c r="AP149" s="99"/>
      <c r="AQ149" s="99"/>
      <c r="AS149" s="9">
        <f t="shared" si="50"/>
        <v>0</v>
      </c>
      <c r="AU149" s="11">
        <f ca="1">IF(B149&lt;TODAY(),SUM($AT$6:AT149),"")</f>
        <v>103944.25</v>
      </c>
      <c r="AV149" s="11">
        <f ca="1">IF(B149&lt;TODAY(), SUMIFS($AT$8:AT149, $BG$8:BG149, BG149), "")</f>
        <v>0</v>
      </c>
      <c r="AY149" s="15"/>
    </row>
    <row r="150" spans="2:51">
      <c r="B150" s="1">
        <v>45990</v>
      </c>
      <c r="P150" s="130">
        <f t="shared" si="47"/>
        <v>0</v>
      </c>
      <c r="Q150" s="17">
        <f t="shared" si="48"/>
        <v>0</v>
      </c>
      <c r="R150">
        <v>0</v>
      </c>
      <c r="S150" s="9">
        <f t="shared" si="49"/>
        <v>0</v>
      </c>
      <c r="AG150" s="99"/>
      <c r="AH150" s="99"/>
      <c r="AI150" s="99"/>
      <c r="AJ150" s="99"/>
      <c r="AK150" s="99"/>
      <c r="AL150" s="99"/>
      <c r="AM150" s="99"/>
      <c r="AN150" s="99"/>
      <c r="AO150" s="99"/>
      <c r="AP150" s="99"/>
      <c r="AQ150" s="99"/>
      <c r="AS150" s="9">
        <f t="shared" si="50"/>
        <v>0</v>
      </c>
      <c r="AU150" s="11">
        <f ca="1">IF(B150&lt;TODAY(),SUM($AT$6:AT150),"")</f>
        <v>103944.25</v>
      </c>
      <c r="AV150" s="11">
        <f ca="1">IF(B150&lt;TODAY(), SUMIFS($AT$8:AT150, $BG$8:BG150, BG150), "")</f>
        <v>0</v>
      </c>
      <c r="AY150" s="15"/>
    </row>
    <row r="151" spans="2:51">
      <c r="B151" s="1">
        <v>45991</v>
      </c>
      <c r="P151" s="130">
        <f t="shared" si="47"/>
        <v>0</v>
      </c>
      <c r="Q151" s="17">
        <f t="shared" si="48"/>
        <v>0</v>
      </c>
      <c r="R151">
        <v>0</v>
      </c>
      <c r="S151" s="9">
        <f t="shared" si="49"/>
        <v>0</v>
      </c>
      <c r="AS151" s="9">
        <f t="shared" si="50"/>
        <v>0</v>
      </c>
      <c r="AU151" s="11">
        <f ca="1">IF(B151&lt;TODAY(),SUM($AT$6:AT151),"")</f>
        <v>103944.25</v>
      </c>
      <c r="AV151" s="11">
        <f ca="1">IF(B151&lt;TODAY(), SUMIFS($AT$8:AT151, $BG$8:BG151, BG151), "")</f>
        <v>0</v>
      </c>
      <c r="AY151" s="15"/>
    </row>
    <row r="152" spans="2:51">
      <c r="B152" s="1">
        <v>45992</v>
      </c>
      <c r="P152" s="130">
        <f t="shared" si="47"/>
        <v>0</v>
      </c>
      <c r="Q152" s="17">
        <f t="shared" si="48"/>
        <v>0</v>
      </c>
      <c r="R152">
        <v>0</v>
      </c>
      <c r="S152" s="9">
        <f t="shared" si="49"/>
        <v>0</v>
      </c>
      <c r="AS152" s="9">
        <f t="shared" si="50"/>
        <v>0</v>
      </c>
      <c r="AU152" s="11">
        <f ca="1">IF(B152&lt;TODAY(),SUM($AT$6:AT152),"")</f>
        <v>103944.25</v>
      </c>
      <c r="AV152" s="11">
        <f ca="1">IF(B152&lt;TODAY(), SUMIFS($AT$8:AT152, $BG$8:BG152, BG152), "")</f>
        <v>0</v>
      </c>
      <c r="AY152" s="15"/>
    </row>
    <row r="153" spans="2:51">
      <c r="B153" s="1">
        <v>45993</v>
      </c>
      <c r="P153" s="130">
        <f t="shared" si="47"/>
        <v>0</v>
      </c>
      <c r="Q153" s="17">
        <f t="shared" si="48"/>
        <v>0</v>
      </c>
      <c r="R153">
        <v>0</v>
      </c>
      <c r="S153" s="9">
        <f t="shared" si="49"/>
        <v>0</v>
      </c>
      <c r="AS153" s="9">
        <f t="shared" si="50"/>
        <v>0</v>
      </c>
      <c r="AU153" s="11">
        <f ca="1">IF(B153&lt;TODAY(),SUM($AT$6:AT153),"")</f>
        <v>103944.25</v>
      </c>
      <c r="AV153" s="11">
        <f ca="1">IF(B153&lt;TODAY(), SUMIFS($AT$8:AT153, $BG$8:BG153, BG153), "")</f>
        <v>0</v>
      </c>
      <c r="AY153" s="15"/>
    </row>
    <row r="154" spans="2:51">
      <c r="B154" s="1">
        <v>45994</v>
      </c>
      <c r="P154" s="130">
        <f t="shared" si="47"/>
        <v>0</v>
      </c>
      <c r="Q154" s="17">
        <f t="shared" si="48"/>
        <v>0</v>
      </c>
      <c r="R154">
        <v>0</v>
      </c>
      <c r="S154" s="9">
        <f t="shared" si="49"/>
        <v>0</v>
      </c>
      <c r="AS154" s="9">
        <f t="shared" si="50"/>
        <v>0</v>
      </c>
      <c r="AU154" s="11">
        <f ca="1">IF(B154&lt;TODAY(),SUM($AT$6:AT154),"")</f>
        <v>103944.25</v>
      </c>
      <c r="AV154" s="11">
        <f ca="1">IF(B154&lt;TODAY(), SUMIFS($AT$8:AT154, $BG$8:BG154, BG154), "")</f>
        <v>0</v>
      </c>
      <c r="AY154" s="15"/>
    </row>
    <row r="155" spans="2:51">
      <c r="B155" s="1">
        <v>45995</v>
      </c>
      <c r="P155" s="130">
        <f t="shared" si="47"/>
        <v>0</v>
      </c>
      <c r="Q155" s="17">
        <f t="shared" si="48"/>
        <v>0</v>
      </c>
      <c r="R155">
        <v>0</v>
      </c>
      <c r="S155" s="9">
        <f t="shared" si="49"/>
        <v>0</v>
      </c>
      <c r="AS155" s="9">
        <f t="shared" si="50"/>
        <v>0</v>
      </c>
      <c r="AU155" s="11">
        <f ca="1">IF(B155&lt;TODAY(),SUM($AT$6:AT155),"")</f>
        <v>103944.25</v>
      </c>
      <c r="AV155" s="11">
        <f ca="1">IF(B155&lt;TODAY(), SUMIFS($AT$8:AT155, $BG$8:BG155, BG155), "")</f>
        <v>0</v>
      </c>
      <c r="AY155" s="15"/>
    </row>
    <row r="156" spans="2:51">
      <c r="B156" s="1">
        <v>45996</v>
      </c>
      <c r="P156" s="130">
        <f t="shared" si="47"/>
        <v>0</v>
      </c>
      <c r="Q156" s="17">
        <f t="shared" si="48"/>
        <v>0</v>
      </c>
      <c r="R156">
        <v>0</v>
      </c>
      <c r="S156" s="9">
        <f t="shared" si="49"/>
        <v>0</v>
      </c>
      <c r="AS156" s="9">
        <f t="shared" si="50"/>
        <v>0</v>
      </c>
      <c r="AU156" s="11">
        <f ca="1">IF(B156&lt;TODAY(),SUM($AT$6:AT156),"")</f>
        <v>103944.25</v>
      </c>
      <c r="AV156" s="11">
        <f ca="1">IF(B156&lt;TODAY(), SUMIFS($AT$8:AT156, $BG$8:BG156, BG156), "")</f>
        <v>0</v>
      </c>
      <c r="AY156" s="15"/>
    </row>
    <row r="157" spans="2:51">
      <c r="B157" s="1">
        <v>45997</v>
      </c>
      <c r="P157" s="130">
        <f t="shared" si="47"/>
        <v>0</v>
      </c>
      <c r="Q157" s="17">
        <f t="shared" si="48"/>
        <v>0</v>
      </c>
      <c r="R157">
        <v>0</v>
      </c>
      <c r="S157" s="9">
        <f t="shared" si="49"/>
        <v>0</v>
      </c>
      <c r="AS157" s="9">
        <f t="shared" si="50"/>
        <v>0</v>
      </c>
      <c r="AU157" s="11">
        <f ca="1">IF(B157&lt;TODAY(),SUM($AT$6:AT157),"")</f>
        <v>103944.25</v>
      </c>
      <c r="AV157" s="11">
        <f ca="1">IF(B157&lt;TODAY(), SUMIFS($AT$8:AT157, $BG$8:BG157, BG157), "")</f>
        <v>0</v>
      </c>
      <c r="AY157" s="15"/>
    </row>
    <row r="158" spans="2:51">
      <c r="B158" s="1">
        <v>45998</v>
      </c>
      <c r="P158" s="130">
        <f t="shared" si="47"/>
        <v>0</v>
      </c>
      <c r="Q158" s="17">
        <f t="shared" si="48"/>
        <v>0</v>
      </c>
      <c r="R158">
        <v>0</v>
      </c>
      <c r="S158" s="9">
        <f t="shared" si="49"/>
        <v>0</v>
      </c>
      <c r="AS158" s="9">
        <f t="shared" si="50"/>
        <v>0</v>
      </c>
      <c r="AU158" s="11">
        <f ca="1">IF(B158&lt;TODAY(),SUM($AT$6:AT158),"")</f>
        <v>103944.25</v>
      </c>
      <c r="AV158" s="11">
        <f ca="1">IF(B158&lt;TODAY(), SUMIFS($AT$8:AT158, $BG$8:BG158, BG158), "")</f>
        <v>0</v>
      </c>
      <c r="AY158" s="15"/>
    </row>
    <row r="159" spans="2:51">
      <c r="B159" s="1">
        <v>45999</v>
      </c>
      <c r="P159" s="130">
        <f t="shared" si="47"/>
        <v>0</v>
      </c>
      <c r="Q159" s="17">
        <f t="shared" si="48"/>
        <v>0</v>
      </c>
      <c r="R159">
        <v>0</v>
      </c>
      <c r="S159" s="9">
        <f t="shared" si="49"/>
        <v>0</v>
      </c>
      <c r="AS159" s="9">
        <f t="shared" si="50"/>
        <v>0</v>
      </c>
      <c r="AU159" s="11">
        <f ca="1">IF(B159&lt;TODAY(),SUM($AT$6:AT159),"")</f>
        <v>103944.25</v>
      </c>
      <c r="AV159" s="11">
        <f ca="1">IF(B159&lt;TODAY(), SUMIFS($AT$8:AT159, $BG$8:BG159, BG159), "")</f>
        <v>0</v>
      </c>
      <c r="AY159" s="15"/>
    </row>
    <row r="160" spans="2:51">
      <c r="B160" s="1">
        <v>46000</v>
      </c>
      <c r="P160" s="130">
        <f t="shared" si="47"/>
        <v>0</v>
      </c>
      <c r="Q160" s="17">
        <f t="shared" si="48"/>
        <v>0</v>
      </c>
      <c r="R160">
        <v>0</v>
      </c>
      <c r="S160" s="9">
        <f t="shared" si="49"/>
        <v>0</v>
      </c>
      <c r="AS160" s="9">
        <f t="shared" si="50"/>
        <v>0</v>
      </c>
      <c r="AU160" s="11">
        <f ca="1">IF(B160&lt;TODAY(),SUM($AT$6:AT160),"")</f>
        <v>103944.25</v>
      </c>
      <c r="AV160" s="11">
        <f ca="1">IF(B160&lt;TODAY(), SUMIFS($AT$8:AT160, $BG$8:BG160, BG160), "")</f>
        <v>0</v>
      </c>
      <c r="AY160" s="15"/>
    </row>
    <row r="161" spans="2:51">
      <c r="B161" s="1">
        <v>46001</v>
      </c>
      <c r="P161" s="130">
        <f t="shared" si="47"/>
        <v>0</v>
      </c>
      <c r="Q161" s="17">
        <f t="shared" si="48"/>
        <v>0</v>
      </c>
      <c r="R161">
        <v>0</v>
      </c>
      <c r="S161" s="9">
        <f t="shared" si="49"/>
        <v>0</v>
      </c>
      <c r="AS161" s="9">
        <f t="shared" si="50"/>
        <v>0</v>
      </c>
      <c r="AU161" s="11">
        <f ca="1">IF(B161&lt;TODAY(),SUM($AT$6:AT161),"")</f>
        <v>103944.25</v>
      </c>
      <c r="AV161" s="11">
        <f ca="1">IF(B161&lt;TODAY(), SUMIFS($AT$8:AT161, $BG$8:BG161, BG161), "")</f>
        <v>0</v>
      </c>
      <c r="AY161" s="15"/>
    </row>
    <row r="162" spans="2:51">
      <c r="B162" s="1">
        <v>46002</v>
      </c>
      <c r="P162" s="130">
        <f t="shared" si="47"/>
        <v>0</v>
      </c>
      <c r="Q162" s="17">
        <f t="shared" si="48"/>
        <v>0</v>
      </c>
      <c r="R162">
        <v>0</v>
      </c>
      <c r="S162" s="9">
        <f t="shared" si="49"/>
        <v>0</v>
      </c>
      <c r="AS162" s="9">
        <f t="shared" si="50"/>
        <v>0</v>
      </c>
      <c r="AU162" s="11">
        <f ca="1">IF(B162&lt;TODAY(),SUM($AT$6:AT162),"")</f>
        <v>103944.25</v>
      </c>
      <c r="AV162" s="11">
        <f ca="1">IF(B162&lt;TODAY(), SUMIFS($AT$8:AT162, $BG$8:BG162, BG162), "")</f>
        <v>0</v>
      </c>
      <c r="AY162" s="15"/>
    </row>
    <row r="163" spans="2:51">
      <c r="B163" s="1">
        <v>46003</v>
      </c>
      <c r="P163" s="130">
        <f t="shared" si="47"/>
        <v>0</v>
      </c>
      <c r="Q163" s="17">
        <f t="shared" si="48"/>
        <v>0</v>
      </c>
      <c r="R163">
        <v>0</v>
      </c>
      <c r="S163" s="9">
        <f t="shared" si="49"/>
        <v>0</v>
      </c>
      <c r="AS163" s="9">
        <f t="shared" si="50"/>
        <v>0</v>
      </c>
      <c r="AU163" s="11">
        <f ca="1">IF(B163&lt;TODAY(),SUM($AT$6:AT163),"")</f>
        <v>103944.25</v>
      </c>
      <c r="AV163" s="11">
        <f ca="1">IF(B163&lt;TODAY(), SUMIFS($AT$8:AT163, $BG$8:BG163, BG163), "")</f>
        <v>0</v>
      </c>
      <c r="AY163" s="15"/>
    </row>
    <row r="164" spans="2:51">
      <c r="B164" s="1">
        <v>46004</v>
      </c>
      <c r="P164" s="130">
        <f t="shared" si="47"/>
        <v>0</v>
      </c>
      <c r="Q164" s="17">
        <f t="shared" si="48"/>
        <v>0</v>
      </c>
      <c r="R164">
        <v>0</v>
      </c>
      <c r="S164" s="9">
        <f t="shared" si="49"/>
        <v>0</v>
      </c>
      <c r="AS164" s="9">
        <f t="shared" si="50"/>
        <v>0</v>
      </c>
      <c r="AU164" s="11">
        <f ca="1">IF(B164&lt;TODAY(),SUM($AT$6:AT164),"")</f>
        <v>103944.25</v>
      </c>
      <c r="AV164" s="11">
        <f ca="1">IF(B164&lt;TODAY(), SUMIFS($AT$8:AT164, $BG$8:BG164, BG164), "")</f>
        <v>0</v>
      </c>
      <c r="AY164" s="15"/>
    </row>
    <row r="165" spans="2:51">
      <c r="B165" s="1">
        <v>46005</v>
      </c>
      <c r="P165" s="130">
        <f t="shared" si="47"/>
        <v>0</v>
      </c>
      <c r="Q165" s="17">
        <f t="shared" si="48"/>
        <v>0</v>
      </c>
      <c r="R165">
        <v>0</v>
      </c>
      <c r="S165" s="9">
        <f t="shared" si="49"/>
        <v>0</v>
      </c>
      <c r="AS165" s="9">
        <f t="shared" si="50"/>
        <v>0</v>
      </c>
      <c r="AU165" s="11">
        <f ca="1">IF(B165&lt;TODAY(),SUM($AT$6:AT165),"")</f>
        <v>103944.25</v>
      </c>
      <c r="AV165" s="11">
        <f ca="1">IF(B165&lt;TODAY(), SUMIFS($AT$8:AT165, $BG$8:BG165, BG165), "")</f>
        <v>0</v>
      </c>
      <c r="AY165" s="15"/>
    </row>
    <row r="166" spans="2:51">
      <c r="B166" s="1">
        <v>46006</v>
      </c>
      <c r="P166" s="130">
        <f t="shared" si="47"/>
        <v>0</v>
      </c>
      <c r="Q166" s="17">
        <f t="shared" si="48"/>
        <v>0</v>
      </c>
      <c r="R166">
        <v>0</v>
      </c>
      <c r="S166" s="9">
        <f t="shared" si="49"/>
        <v>0</v>
      </c>
      <c r="AS166" s="9">
        <f t="shared" si="50"/>
        <v>0</v>
      </c>
      <c r="AU166" s="11">
        <f ca="1">IF(B166&lt;TODAY(),SUM($AT$6:AT166),"")</f>
        <v>103944.25</v>
      </c>
      <c r="AV166" s="11">
        <f ca="1">IF(B166&lt;TODAY(), SUMIFS($AT$8:AT166, $BG$8:BG166, BG166), "")</f>
        <v>0</v>
      </c>
      <c r="AY166" s="15"/>
    </row>
    <row r="167" spans="2:51">
      <c r="B167" s="1">
        <v>46007</v>
      </c>
      <c r="P167" s="130">
        <f t="shared" si="47"/>
        <v>0</v>
      </c>
      <c r="Q167" s="17">
        <f t="shared" si="48"/>
        <v>0</v>
      </c>
      <c r="R167">
        <v>0</v>
      </c>
      <c r="S167" s="9">
        <f t="shared" si="49"/>
        <v>0</v>
      </c>
      <c r="AS167" s="9">
        <f t="shared" si="50"/>
        <v>0</v>
      </c>
      <c r="AU167" s="11">
        <f ca="1">IF(B167&lt;TODAY(),SUM($AT$6:AT167),"")</f>
        <v>103944.25</v>
      </c>
      <c r="AV167" s="11">
        <f ca="1">IF(B167&lt;TODAY(), SUMIFS($AT$8:AT167, $BG$8:BG167, BG167), "")</f>
        <v>0</v>
      </c>
      <c r="AY167" s="15"/>
    </row>
    <row r="168" spans="2:51">
      <c r="B168" s="1">
        <v>46008</v>
      </c>
      <c r="P168" s="130">
        <f t="shared" si="47"/>
        <v>0</v>
      </c>
      <c r="Q168" s="17">
        <f t="shared" si="48"/>
        <v>0</v>
      </c>
      <c r="R168">
        <v>0</v>
      </c>
      <c r="S168" s="9">
        <f t="shared" si="49"/>
        <v>0</v>
      </c>
      <c r="AS168" s="9">
        <f t="shared" si="50"/>
        <v>0</v>
      </c>
      <c r="AU168" s="11">
        <f ca="1">IF(B168&lt;TODAY(),SUM($AT$6:AT168),"")</f>
        <v>103944.25</v>
      </c>
      <c r="AV168" s="11">
        <f ca="1">IF(B168&lt;TODAY(), SUMIFS($AT$8:AT168, $BG$8:BG168, BG168), "")</f>
        <v>0</v>
      </c>
      <c r="AY168" s="15"/>
    </row>
    <row r="169" spans="2:51">
      <c r="B169" s="1">
        <v>46009</v>
      </c>
      <c r="P169" s="130">
        <f t="shared" si="47"/>
        <v>0</v>
      </c>
      <c r="Q169" s="17">
        <f t="shared" si="48"/>
        <v>0</v>
      </c>
      <c r="R169">
        <v>0</v>
      </c>
      <c r="S169" s="9">
        <f t="shared" si="49"/>
        <v>0</v>
      </c>
      <c r="AS169" s="9">
        <f t="shared" si="50"/>
        <v>0</v>
      </c>
      <c r="AU169" s="11">
        <f ca="1">IF(B169&lt;TODAY(),SUM($AT$6:AT169),"")</f>
        <v>103944.25</v>
      </c>
      <c r="AV169" s="11">
        <f ca="1">IF(B169&lt;TODAY(), SUMIFS($AT$8:AT169, $BG$8:BG169, BG169), "")</f>
        <v>0</v>
      </c>
      <c r="AY169" s="15"/>
    </row>
    <row r="170" spans="2:51">
      <c r="B170" s="1">
        <v>46010</v>
      </c>
      <c r="P170" s="130">
        <f t="shared" si="47"/>
        <v>0</v>
      </c>
      <c r="Q170" s="17">
        <f t="shared" si="48"/>
        <v>0</v>
      </c>
      <c r="R170">
        <v>0</v>
      </c>
      <c r="S170" s="9">
        <f t="shared" si="49"/>
        <v>0</v>
      </c>
      <c r="AS170" s="9">
        <f t="shared" si="50"/>
        <v>0</v>
      </c>
      <c r="AU170" s="11">
        <f ca="1">IF(B170&lt;TODAY(),SUM($AT$6:AT170),"")</f>
        <v>103944.25</v>
      </c>
      <c r="AV170" s="11">
        <f ca="1">IF(B170&lt;TODAY(), SUMIFS($AT$8:AT170, $BG$8:BG170, BG170), "")</f>
        <v>0</v>
      </c>
      <c r="AY170" s="15"/>
    </row>
    <row r="171" spans="2:51">
      <c r="B171" s="1">
        <v>46011</v>
      </c>
      <c r="P171" s="130">
        <f t="shared" si="47"/>
        <v>0</v>
      </c>
      <c r="Q171" s="17">
        <f t="shared" si="48"/>
        <v>0</v>
      </c>
      <c r="R171">
        <v>0</v>
      </c>
      <c r="S171" s="9">
        <f t="shared" si="49"/>
        <v>0</v>
      </c>
      <c r="AS171" s="9">
        <f t="shared" si="50"/>
        <v>0</v>
      </c>
      <c r="AU171" s="11">
        <f ca="1">IF(B171&lt;TODAY(),SUM($AT$6:AT171),"")</f>
        <v>103944.25</v>
      </c>
      <c r="AV171" s="11">
        <f ca="1">IF(B171&lt;TODAY(), SUMIFS($AT$8:AT171, $BG$8:BG171, BG171), "")</f>
        <v>0</v>
      </c>
      <c r="AY171" s="15"/>
    </row>
    <row r="172" spans="2:51">
      <c r="B172" s="1">
        <v>46012</v>
      </c>
      <c r="P172" s="130">
        <f t="shared" si="47"/>
        <v>0</v>
      </c>
      <c r="Q172" s="17">
        <f t="shared" si="48"/>
        <v>0</v>
      </c>
      <c r="R172">
        <v>0</v>
      </c>
      <c r="S172" s="9">
        <f t="shared" si="49"/>
        <v>0</v>
      </c>
      <c r="AS172" s="9">
        <f t="shared" si="50"/>
        <v>0</v>
      </c>
      <c r="AU172" s="11">
        <f ca="1">IF(B172&lt;TODAY(),SUM($AT$6:AT172),"")</f>
        <v>103944.25</v>
      </c>
      <c r="AV172" s="11">
        <f ca="1">IF(B172&lt;TODAY(), SUMIFS($AT$8:AT172, $BG$8:BG172, BG172), "")</f>
        <v>0</v>
      </c>
      <c r="AY172" s="15"/>
    </row>
    <row r="173" spans="2:51">
      <c r="B173" s="1">
        <v>46013</v>
      </c>
      <c r="P173" s="130">
        <f t="shared" si="47"/>
        <v>0</v>
      </c>
      <c r="Q173" s="17">
        <f t="shared" si="48"/>
        <v>0</v>
      </c>
      <c r="R173">
        <v>0</v>
      </c>
      <c r="S173" s="9">
        <f t="shared" si="49"/>
        <v>0</v>
      </c>
      <c r="AS173" s="9">
        <f t="shared" si="50"/>
        <v>0</v>
      </c>
      <c r="AU173" s="11">
        <f ca="1">IF(B173&lt;TODAY(),SUM($AT$6:AT173),"")</f>
        <v>103944.25</v>
      </c>
      <c r="AV173" s="11">
        <f ca="1">IF(B173&lt;TODAY(), SUMIFS($AT$8:AT173, $BG$8:BG173, BG173), "")</f>
        <v>0</v>
      </c>
      <c r="AY173" s="15"/>
    </row>
    <row r="174" spans="2:51">
      <c r="B174" s="1">
        <v>46014</v>
      </c>
      <c r="P174" s="130">
        <f t="shared" si="47"/>
        <v>0</v>
      </c>
      <c r="Q174" s="17">
        <f t="shared" si="48"/>
        <v>0</v>
      </c>
      <c r="R174">
        <v>0</v>
      </c>
      <c r="S174" s="9">
        <f t="shared" si="49"/>
        <v>0</v>
      </c>
      <c r="AS174" s="9">
        <f t="shared" si="50"/>
        <v>0</v>
      </c>
      <c r="AU174" s="11">
        <f ca="1">IF(B174&lt;TODAY(),SUM($AT$6:AT174),"")</f>
        <v>103944.25</v>
      </c>
      <c r="AV174" s="11">
        <f ca="1">IF(B174&lt;TODAY(), SUMIFS($AT$8:AT174, $BG$8:BG174, BG174), "")</f>
        <v>0</v>
      </c>
      <c r="AY174" s="15"/>
    </row>
    <row r="175" spans="2:51">
      <c r="B175" s="1">
        <v>46015</v>
      </c>
      <c r="P175" s="130">
        <f t="shared" si="47"/>
        <v>0</v>
      </c>
      <c r="Q175" s="17">
        <f t="shared" si="48"/>
        <v>0</v>
      </c>
      <c r="R175">
        <v>0</v>
      </c>
      <c r="S175" s="9">
        <f t="shared" si="49"/>
        <v>0</v>
      </c>
      <c r="AS175" s="9">
        <f t="shared" si="50"/>
        <v>0</v>
      </c>
      <c r="AU175" s="11">
        <f ca="1">IF(B175&lt;TODAY(),SUM($AT$6:AT175),"")</f>
        <v>103944.25</v>
      </c>
      <c r="AV175" s="11">
        <f ca="1">IF(B175&lt;TODAY(), SUMIFS($AT$8:AT175, $BG$8:BG175, BG175), "")</f>
        <v>0</v>
      </c>
      <c r="AY175" s="15"/>
    </row>
    <row r="176" spans="2:51">
      <c r="B176" s="1">
        <v>46016</v>
      </c>
      <c r="P176" s="130">
        <f t="shared" si="47"/>
        <v>0</v>
      </c>
      <c r="Q176" s="17">
        <f t="shared" si="48"/>
        <v>0</v>
      </c>
      <c r="R176">
        <v>0</v>
      </c>
      <c r="S176" s="9">
        <f t="shared" si="49"/>
        <v>0</v>
      </c>
      <c r="AS176" s="9">
        <f t="shared" si="50"/>
        <v>0</v>
      </c>
      <c r="AU176" s="11">
        <f ca="1">IF(B176&lt;TODAY(),SUM($AT$6:AT176),"")</f>
        <v>103944.25</v>
      </c>
      <c r="AV176" s="11">
        <f ca="1">IF(B176&lt;TODAY(), SUMIFS($AT$8:AT176, $BG$8:BG176, BG176), "")</f>
        <v>0</v>
      </c>
      <c r="AY176" s="15"/>
    </row>
    <row r="177" spans="2:51">
      <c r="B177" s="1">
        <v>46017</v>
      </c>
      <c r="P177" s="130">
        <f t="shared" si="47"/>
        <v>0</v>
      </c>
      <c r="Q177" s="17">
        <f t="shared" si="48"/>
        <v>0</v>
      </c>
      <c r="R177">
        <v>0</v>
      </c>
      <c r="S177" s="9">
        <f t="shared" si="49"/>
        <v>0</v>
      </c>
      <c r="AS177" s="9">
        <f t="shared" si="50"/>
        <v>0</v>
      </c>
      <c r="AU177" s="11">
        <f ca="1">IF(B177&lt;TODAY(),SUM($AT$6:AT177),"")</f>
        <v>103944.25</v>
      </c>
      <c r="AV177" s="11">
        <f ca="1">IF(B177&lt;TODAY(), SUMIFS($AT$8:AT177, $BG$8:BG177, BG177), "")</f>
        <v>0</v>
      </c>
      <c r="AY177" s="15"/>
    </row>
    <row r="178" spans="2:51">
      <c r="B178" s="1">
        <v>46018</v>
      </c>
      <c r="P178" s="130">
        <f t="shared" si="47"/>
        <v>0</v>
      </c>
      <c r="Q178" s="17">
        <f t="shared" si="48"/>
        <v>0</v>
      </c>
      <c r="R178">
        <v>0</v>
      </c>
      <c r="S178" s="9">
        <f t="shared" si="49"/>
        <v>0</v>
      </c>
      <c r="AS178" s="9">
        <f t="shared" si="50"/>
        <v>0</v>
      </c>
      <c r="AU178" s="11">
        <f ca="1">IF(B178&lt;TODAY(),SUM($AT$6:AT178),"")</f>
        <v>103944.25</v>
      </c>
      <c r="AV178" s="11">
        <f ca="1">IF(B178&lt;TODAY(), SUMIFS($AT$8:AT178, $BG$8:BG178, BG178), "")</f>
        <v>0</v>
      </c>
      <c r="AY178" s="15"/>
    </row>
    <row r="179" spans="2:51">
      <c r="B179" s="1">
        <v>46019</v>
      </c>
      <c r="P179" s="130">
        <f t="shared" si="47"/>
        <v>0</v>
      </c>
      <c r="Q179" s="17">
        <f t="shared" si="48"/>
        <v>0</v>
      </c>
      <c r="R179">
        <v>0</v>
      </c>
      <c r="S179" s="9">
        <f t="shared" si="49"/>
        <v>0</v>
      </c>
      <c r="AS179" s="9">
        <f t="shared" si="50"/>
        <v>0</v>
      </c>
      <c r="AU179" s="11">
        <f ca="1">IF(B179&lt;TODAY(),SUM($AT$6:AT179),"")</f>
        <v>103944.25</v>
      </c>
      <c r="AV179" s="11">
        <f ca="1">IF(B179&lt;TODAY(), SUMIFS($AT$8:AT179, $BG$8:BG179, BG179), "")</f>
        <v>0</v>
      </c>
      <c r="AY179" s="15"/>
    </row>
    <row r="180" spans="2:51">
      <c r="B180" s="1">
        <v>46020</v>
      </c>
      <c r="P180" s="130">
        <f t="shared" si="47"/>
        <v>0</v>
      </c>
      <c r="Q180" s="17">
        <f t="shared" si="48"/>
        <v>0</v>
      </c>
      <c r="R180">
        <v>0</v>
      </c>
      <c r="S180" s="9">
        <f t="shared" si="49"/>
        <v>0</v>
      </c>
      <c r="AS180" s="9">
        <f t="shared" si="50"/>
        <v>0</v>
      </c>
      <c r="AU180" s="11">
        <f ca="1">IF(B180&lt;TODAY(),SUM($AT$6:AT180),"")</f>
        <v>103944.25</v>
      </c>
      <c r="AV180" s="11">
        <f ca="1">IF(B180&lt;TODAY(), SUMIFS($AT$8:AT180, $BG$8:BG180, BG180), "")</f>
        <v>0</v>
      </c>
      <c r="AY180" s="15"/>
    </row>
    <row r="181" spans="2:51">
      <c r="B181" s="1">
        <v>46021</v>
      </c>
      <c r="P181" s="130">
        <f t="shared" si="47"/>
        <v>0</v>
      </c>
      <c r="Q181" s="17">
        <f t="shared" si="48"/>
        <v>0</v>
      </c>
      <c r="R181">
        <v>0</v>
      </c>
      <c r="S181" s="9">
        <f t="shared" si="49"/>
        <v>0</v>
      </c>
      <c r="AS181" s="9">
        <f t="shared" si="50"/>
        <v>0</v>
      </c>
      <c r="AU181" s="11">
        <f ca="1">IF(B181&lt;TODAY(),SUM($AT$6:AT181),"")</f>
        <v>103944.25</v>
      </c>
      <c r="AV181" s="11">
        <f ca="1">IF(B181&lt;TODAY(), SUMIFS($AT$8:AT181, $BG$8:BG181, BG181), "")</f>
        <v>0</v>
      </c>
      <c r="AY181" s="15"/>
    </row>
    <row r="182" spans="2:51">
      <c r="B182" s="1">
        <v>46022</v>
      </c>
      <c r="P182" s="130">
        <f t="shared" si="47"/>
        <v>0</v>
      </c>
      <c r="Q182" s="17">
        <f t="shared" si="48"/>
        <v>0</v>
      </c>
      <c r="R182">
        <v>0</v>
      </c>
      <c r="S182" s="9">
        <f t="shared" si="49"/>
        <v>0</v>
      </c>
      <c r="AS182" s="9">
        <f t="shared" si="50"/>
        <v>0</v>
      </c>
      <c r="AU182" s="11">
        <f ca="1">IF(B182&lt;TODAY(),SUM($AT$6:AT182),"")</f>
        <v>103944.25</v>
      </c>
      <c r="AV182" s="11">
        <f ca="1">IF(B182&lt;TODAY(), SUMIFS($AT$8:AT182, $BG$8:BG182, BG182), "")</f>
        <v>0</v>
      </c>
      <c r="AY182" s="15"/>
    </row>
    <row r="183" spans="2:51">
      <c r="B183" s="1">
        <v>46023</v>
      </c>
      <c r="P183" s="130">
        <f t="shared" si="47"/>
        <v>0</v>
      </c>
      <c r="Q183" s="17">
        <f t="shared" si="48"/>
        <v>0</v>
      </c>
      <c r="R183">
        <v>0</v>
      </c>
      <c r="S183" s="9">
        <f t="shared" si="49"/>
        <v>0</v>
      </c>
      <c r="AS183" s="9">
        <f t="shared" si="50"/>
        <v>0</v>
      </c>
      <c r="AU183" s="11">
        <f ca="1">IF(B183&lt;TODAY(),SUM($AT$6:AT183),"")</f>
        <v>103944.25</v>
      </c>
      <c r="AV183" s="11">
        <f ca="1">IF(B183&lt;TODAY(), SUMIFS($AT$8:AT183, $BG$8:BG183, BG183), "")</f>
        <v>0</v>
      </c>
      <c r="AY183" s="15"/>
    </row>
    <row r="184" spans="2:51">
      <c r="B184" s="1">
        <v>46024</v>
      </c>
      <c r="P184" s="130">
        <f t="shared" si="47"/>
        <v>0</v>
      </c>
      <c r="Q184" s="17">
        <f t="shared" si="48"/>
        <v>0</v>
      </c>
      <c r="R184">
        <v>0</v>
      </c>
      <c r="S184" s="9">
        <f t="shared" si="49"/>
        <v>0</v>
      </c>
      <c r="AS184" s="9">
        <f t="shared" si="50"/>
        <v>0</v>
      </c>
      <c r="AU184" s="11">
        <f ca="1">IF(B184&lt;TODAY(),SUM($AT$6:AT184),"")</f>
        <v>103944.25</v>
      </c>
      <c r="AV184" s="11">
        <f ca="1">IF(B184&lt;TODAY(), SUMIFS($AT$8:AT184, $BG$8:BG184, BG184), "")</f>
        <v>0</v>
      </c>
      <c r="AY184" s="15"/>
    </row>
    <row r="185" spans="2:51">
      <c r="B185" s="1">
        <v>46025</v>
      </c>
      <c r="P185" s="130">
        <f t="shared" si="47"/>
        <v>0</v>
      </c>
      <c r="Q185" s="17">
        <f t="shared" si="48"/>
        <v>0</v>
      </c>
      <c r="R185">
        <v>0</v>
      </c>
      <c r="S185" s="9">
        <f t="shared" si="49"/>
        <v>0</v>
      </c>
      <c r="AS185" s="9">
        <f t="shared" si="50"/>
        <v>0</v>
      </c>
      <c r="AU185" s="11">
        <f ca="1">IF(B185&lt;TODAY(),SUM($AT$6:AT185),"")</f>
        <v>103944.25</v>
      </c>
      <c r="AV185" s="11">
        <f ca="1">IF(B185&lt;TODAY(), SUMIFS($AT$8:AT185, $BG$8:BG185, BG185), "")</f>
        <v>0</v>
      </c>
      <c r="AY185" s="15"/>
    </row>
    <row r="186" spans="2:51">
      <c r="B186" s="1">
        <v>46026</v>
      </c>
      <c r="P186" s="130">
        <f t="shared" si="47"/>
        <v>0</v>
      </c>
      <c r="Q186" s="17">
        <f t="shared" si="48"/>
        <v>0</v>
      </c>
      <c r="R186">
        <v>0</v>
      </c>
      <c r="S186" s="9">
        <f t="shared" si="49"/>
        <v>0</v>
      </c>
      <c r="AS186" s="9">
        <f t="shared" si="50"/>
        <v>0</v>
      </c>
      <c r="AU186" s="11">
        <f ca="1">IF(B186&lt;TODAY(),SUM($AT$6:AT186),"")</f>
        <v>103944.25</v>
      </c>
      <c r="AV186" s="11">
        <f ca="1">IF(B186&lt;TODAY(), SUMIFS($AT$8:AT186, $BG$8:BG186, BG186), "")</f>
        <v>0</v>
      </c>
      <c r="AY186" s="15"/>
    </row>
    <row r="187" spans="2:51">
      <c r="B187" s="1">
        <v>46027</v>
      </c>
      <c r="P187" s="130">
        <f t="shared" si="47"/>
        <v>0</v>
      </c>
      <c r="Q187" s="17">
        <f t="shared" si="48"/>
        <v>0</v>
      </c>
      <c r="R187">
        <v>0</v>
      </c>
      <c r="S187" s="9">
        <f t="shared" si="49"/>
        <v>0</v>
      </c>
      <c r="AS187" s="9">
        <f t="shared" si="50"/>
        <v>0</v>
      </c>
      <c r="AU187" s="11">
        <f ca="1">IF(B187&lt;TODAY(),SUM($AT$6:AT187),"")</f>
        <v>103944.25</v>
      </c>
      <c r="AV187" s="11">
        <f ca="1">IF(B187&lt;TODAY(), SUMIFS($AT$8:AT187, $BG$8:BG187, BG187), "")</f>
        <v>0</v>
      </c>
      <c r="AY187" s="15"/>
    </row>
    <row r="188" spans="2:51">
      <c r="B188" s="1">
        <v>46028</v>
      </c>
      <c r="P188" s="130">
        <f t="shared" si="47"/>
        <v>0</v>
      </c>
      <c r="Q188" s="17">
        <f t="shared" si="48"/>
        <v>0</v>
      </c>
      <c r="R188">
        <v>0</v>
      </c>
      <c r="S188" s="9">
        <f t="shared" si="49"/>
        <v>0</v>
      </c>
      <c r="AS188" s="9">
        <f t="shared" si="50"/>
        <v>0</v>
      </c>
      <c r="AU188" s="11">
        <f ca="1">IF(B188&lt;TODAY(),SUM($AT$6:AT188),"")</f>
        <v>103944.25</v>
      </c>
      <c r="AV188" s="11">
        <f ca="1">IF(B188&lt;TODAY(), SUMIFS($AT$8:AT188, $BG$8:BG188, BG188), "")</f>
        <v>0</v>
      </c>
      <c r="AY188" s="15"/>
    </row>
    <row r="189" spans="2:51">
      <c r="B189" s="1">
        <v>46029</v>
      </c>
      <c r="P189" s="130">
        <f t="shared" si="47"/>
        <v>0</v>
      </c>
      <c r="Q189" s="17">
        <f t="shared" si="48"/>
        <v>0</v>
      </c>
      <c r="R189">
        <v>0</v>
      </c>
      <c r="S189" s="9">
        <f t="shared" si="49"/>
        <v>0</v>
      </c>
      <c r="AS189" s="9">
        <f t="shared" si="50"/>
        <v>0</v>
      </c>
      <c r="AU189" s="11">
        <f ca="1">IF(B189&lt;TODAY(),SUM($AT$6:AT189),"")</f>
        <v>103944.25</v>
      </c>
      <c r="AV189" s="11">
        <f ca="1">IF(B189&lt;TODAY(), SUMIFS($AT$8:AT189, $BG$8:BG189, BG189), "")</f>
        <v>0</v>
      </c>
      <c r="AY189" s="15"/>
    </row>
    <row r="190" spans="2:51">
      <c r="B190" s="1">
        <v>46030</v>
      </c>
      <c r="P190" s="130">
        <f t="shared" si="47"/>
        <v>0</v>
      </c>
      <c r="Q190" s="17">
        <f t="shared" si="48"/>
        <v>0</v>
      </c>
      <c r="R190">
        <v>0</v>
      </c>
      <c r="S190" s="9">
        <f t="shared" si="49"/>
        <v>0</v>
      </c>
      <c r="AS190" s="9">
        <f t="shared" si="50"/>
        <v>0</v>
      </c>
      <c r="AU190" s="11">
        <f ca="1">IF(B190&lt;TODAY(),SUM($AT$6:AT190),"")</f>
        <v>103944.25</v>
      </c>
      <c r="AV190" s="11">
        <f ca="1">IF(B190&lt;TODAY(), SUMIFS($AT$8:AT190, $BG$8:BG190, BG190), "")</f>
        <v>0</v>
      </c>
      <c r="AY190" s="15"/>
    </row>
    <row r="191" spans="2:51">
      <c r="B191" s="1">
        <v>46031</v>
      </c>
      <c r="P191" s="130">
        <f t="shared" si="47"/>
        <v>0</v>
      </c>
      <c r="Q191" s="17">
        <f t="shared" si="48"/>
        <v>0</v>
      </c>
      <c r="R191">
        <v>0</v>
      </c>
      <c r="S191" s="9">
        <f t="shared" si="49"/>
        <v>0</v>
      </c>
      <c r="AS191" s="9">
        <f t="shared" si="50"/>
        <v>0</v>
      </c>
      <c r="AU191" s="11">
        <f ca="1">IF(B191&lt;TODAY(),SUM($AT$6:AT191),"")</f>
        <v>103944.25</v>
      </c>
      <c r="AV191" s="11">
        <f ca="1">IF(B191&lt;TODAY(), SUMIFS($AT$8:AT191, $BG$8:BG191, BG191), "")</f>
        <v>0</v>
      </c>
      <c r="AY191" s="15"/>
    </row>
    <row r="192" spans="2:51">
      <c r="B192" s="1">
        <v>46032</v>
      </c>
      <c r="P192" s="130">
        <f t="shared" si="47"/>
        <v>0</v>
      </c>
      <c r="Q192" s="17">
        <f t="shared" si="48"/>
        <v>0</v>
      </c>
      <c r="R192">
        <v>0</v>
      </c>
      <c r="S192" s="9">
        <f t="shared" si="49"/>
        <v>0</v>
      </c>
      <c r="AS192" s="9">
        <f t="shared" si="50"/>
        <v>0</v>
      </c>
      <c r="AU192" s="11">
        <f ca="1">IF(B192&lt;TODAY(),SUM($AT$6:AT192),"")</f>
        <v>103944.25</v>
      </c>
      <c r="AV192" s="11">
        <f ca="1">IF(B192&lt;TODAY(), SUMIFS($AT$8:AT192, $BG$8:BG192, BG192), "")</f>
        <v>0</v>
      </c>
      <c r="AY192" s="15"/>
    </row>
    <row r="193" spans="2:51">
      <c r="B193" s="1">
        <v>46033</v>
      </c>
      <c r="P193" s="130">
        <f t="shared" si="47"/>
        <v>0</v>
      </c>
      <c r="Q193" s="17">
        <f t="shared" si="48"/>
        <v>0</v>
      </c>
      <c r="R193">
        <v>0</v>
      </c>
      <c r="S193" s="9">
        <f t="shared" si="49"/>
        <v>0</v>
      </c>
      <c r="AS193" s="9">
        <f t="shared" si="50"/>
        <v>0</v>
      </c>
      <c r="AU193" s="11">
        <f ca="1">IF(B193&lt;TODAY(),SUM($AT$6:AT193),"")</f>
        <v>103944.25</v>
      </c>
      <c r="AV193" s="11">
        <f ca="1">IF(B193&lt;TODAY(), SUMIFS($AT$8:AT193, $BG$8:BG193, BG193), "")</f>
        <v>0</v>
      </c>
      <c r="AY193" s="15"/>
    </row>
    <row r="194" spans="2:51">
      <c r="B194" s="1">
        <v>46034</v>
      </c>
      <c r="P194" s="130">
        <f t="shared" si="47"/>
        <v>0</v>
      </c>
      <c r="Q194" s="17">
        <f t="shared" si="48"/>
        <v>0</v>
      </c>
      <c r="R194">
        <v>0</v>
      </c>
      <c r="S194" s="9">
        <f t="shared" si="49"/>
        <v>0</v>
      </c>
      <c r="AS194" s="9">
        <f t="shared" si="50"/>
        <v>0</v>
      </c>
      <c r="AU194" s="11">
        <f ca="1">IF(B194&lt;TODAY(),SUM($AT$6:AT194),"")</f>
        <v>103944.25</v>
      </c>
      <c r="AV194" s="11">
        <f ca="1">IF(B194&lt;TODAY(), SUMIFS($AT$8:AT194, $BG$8:BG194, BG194), "")</f>
        <v>0</v>
      </c>
      <c r="AY194" s="15"/>
    </row>
    <row r="195" spans="2:51">
      <c r="B195" s="1">
        <v>46035</v>
      </c>
      <c r="P195" s="130">
        <f t="shared" si="47"/>
        <v>0</v>
      </c>
      <c r="Q195" s="17">
        <f t="shared" si="48"/>
        <v>0</v>
      </c>
      <c r="R195">
        <v>0</v>
      </c>
      <c r="S195" s="9">
        <f t="shared" si="49"/>
        <v>0</v>
      </c>
      <c r="AS195" s="9">
        <f t="shared" si="50"/>
        <v>0</v>
      </c>
      <c r="AU195" s="11">
        <f ca="1">IF(B195&lt;TODAY(),SUM($AT$6:AT195),"")</f>
        <v>103944.25</v>
      </c>
      <c r="AV195" s="11">
        <f ca="1">IF(B195&lt;TODAY(), SUMIFS($AT$8:AT195, $BG$8:BG195, BG195), "")</f>
        <v>0</v>
      </c>
      <c r="AY195" s="15"/>
    </row>
    <row r="196" spans="2:51">
      <c r="B196" s="1">
        <v>46036</v>
      </c>
      <c r="P196" s="130">
        <f t="shared" si="47"/>
        <v>0</v>
      </c>
      <c r="Q196" s="17">
        <f t="shared" si="48"/>
        <v>0</v>
      </c>
      <c r="R196">
        <v>0</v>
      </c>
      <c r="S196" s="9">
        <f t="shared" si="49"/>
        <v>0</v>
      </c>
      <c r="AS196" s="9">
        <f t="shared" si="50"/>
        <v>0</v>
      </c>
      <c r="AU196" s="11">
        <f ca="1">IF(B196&lt;TODAY(),SUM($AT$6:AT196),"")</f>
        <v>103944.25</v>
      </c>
      <c r="AV196" s="11">
        <f ca="1">IF(B196&lt;TODAY(), SUMIFS($AT$8:AT196, $BG$8:BG196, BG196), "")</f>
        <v>0</v>
      </c>
      <c r="AY196" s="15"/>
    </row>
    <row r="197" spans="2:51">
      <c r="B197" s="1">
        <v>46037</v>
      </c>
      <c r="P197" s="130">
        <f t="shared" si="47"/>
        <v>0</v>
      </c>
      <c r="Q197" s="17">
        <f t="shared" si="48"/>
        <v>0</v>
      </c>
      <c r="R197">
        <v>0</v>
      </c>
      <c r="S197" s="9">
        <f t="shared" si="49"/>
        <v>0</v>
      </c>
      <c r="AS197" s="9">
        <f t="shared" si="50"/>
        <v>0</v>
      </c>
      <c r="AU197" s="11">
        <f ca="1">IF(B197&lt;TODAY(),SUM($AT$6:AT197),"")</f>
        <v>103944.25</v>
      </c>
      <c r="AV197" s="11">
        <f ca="1">IF(B197&lt;TODAY(), SUMIFS($AT$8:AT197, $BG$8:BG197, BG197), "")</f>
        <v>0</v>
      </c>
      <c r="AY197" s="15"/>
    </row>
    <row r="198" spans="2:51">
      <c r="B198" s="1">
        <v>46038</v>
      </c>
      <c r="P198" s="130">
        <f t="shared" si="47"/>
        <v>0</v>
      </c>
      <c r="Q198" s="17">
        <f t="shared" si="48"/>
        <v>0</v>
      </c>
      <c r="R198">
        <v>0</v>
      </c>
      <c r="S198" s="9">
        <f t="shared" si="49"/>
        <v>0</v>
      </c>
      <c r="AS198" s="9">
        <f t="shared" si="50"/>
        <v>0</v>
      </c>
      <c r="AU198" s="11">
        <f ca="1">IF(B198&lt;TODAY(),SUM($AT$6:AT198),"")</f>
        <v>103944.25</v>
      </c>
      <c r="AV198" s="11">
        <f ca="1">IF(B198&lt;TODAY(), SUMIFS($AT$8:AT198, $BG$8:BG198, BG198), "")</f>
        <v>0</v>
      </c>
      <c r="AY198" s="15"/>
    </row>
    <row r="199" spans="2:51">
      <c r="B199" s="1">
        <v>46039</v>
      </c>
      <c r="P199" s="130">
        <f t="shared" si="47"/>
        <v>0</v>
      </c>
      <c r="Q199" s="17">
        <f t="shared" si="48"/>
        <v>0</v>
      </c>
      <c r="R199">
        <v>0</v>
      </c>
      <c r="S199" s="9">
        <f t="shared" si="49"/>
        <v>0</v>
      </c>
      <c r="AS199" s="9">
        <f t="shared" si="50"/>
        <v>0</v>
      </c>
      <c r="AU199" s="11">
        <f ca="1">IF(B199&lt;TODAY(),SUM($AT$6:AT199),"")</f>
        <v>103944.25</v>
      </c>
      <c r="AV199" s="11">
        <f ca="1">IF(B199&lt;TODAY(), SUMIFS($AT$8:AT199, $BG$8:BG199, BG199), "")</f>
        <v>0</v>
      </c>
      <c r="AY199" s="15"/>
    </row>
    <row r="200" spans="2:51">
      <c r="B200" s="1">
        <v>46040</v>
      </c>
      <c r="P200" s="130">
        <f t="shared" si="47"/>
        <v>0</v>
      </c>
      <c r="Q200" s="17">
        <f t="shared" si="48"/>
        <v>0</v>
      </c>
      <c r="R200">
        <v>0</v>
      </c>
      <c r="S200" s="9">
        <f t="shared" si="49"/>
        <v>0</v>
      </c>
      <c r="AS200" s="9">
        <f t="shared" si="50"/>
        <v>0</v>
      </c>
      <c r="AU200" s="11">
        <f ca="1">IF(B200&lt;TODAY(),SUM($AT$6:AT200),"")</f>
        <v>103944.25</v>
      </c>
      <c r="AV200" s="11">
        <f ca="1">IF(B200&lt;TODAY(), SUMIFS($AT$8:AT200, $BG$8:BG200, BG200), "")</f>
        <v>0</v>
      </c>
      <c r="AY200" s="15"/>
    </row>
    <row r="201" spans="2:51">
      <c r="B201" s="1">
        <v>46041</v>
      </c>
      <c r="P201" s="130">
        <f t="shared" si="47"/>
        <v>0</v>
      </c>
      <c r="Q201" s="17">
        <f t="shared" si="48"/>
        <v>0</v>
      </c>
      <c r="R201">
        <v>0</v>
      </c>
      <c r="S201" s="9">
        <f t="shared" si="49"/>
        <v>0</v>
      </c>
      <c r="AS201" s="9">
        <f t="shared" si="50"/>
        <v>0</v>
      </c>
      <c r="AU201" s="11">
        <f ca="1">IF(B201&lt;TODAY(),SUM($AT$6:AT201),"")</f>
        <v>103944.25</v>
      </c>
      <c r="AV201" s="11">
        <f ca="1">IF(B201&lt;TODAY(), SUMIFS($AT$8:AT201, $BG$8:BG201, BG201), "")</f>
        <v>0</v>
      </c>
      <c r="AY201" s="15"/>
    </row>
    <row r="202" spans="2:51">
      <c r="B202" s="1">
        <v>46042</v>
      </c>
      <c r="P202" s="130">
        <f t="shared" si="47"/>
        <v>0</v>
      </c>
      <c r="Q202" s="17">
        <f t="shared" si="48"/>
        <v>0</v>
      </c>
      <c r="R202">
        <v>0</v>
      </c>
      <c r="S202" s="9">
        <f t="shared" si="49"/>
        <v>0</v>
      </c>
      <c r="AS202" s="9">
        <f t="shared" si="50"/>
        <v>0</v>
      </c>
      <c r="AU202" s="11">
        <f ca="1">IF(B202&lt;TODAY(),SUM($AT$6:AT202),"")</f>
        <v>103944.25</v>
      </c>
      <c r="AV202" s="11">
        <f ca="1">IF(B202&lt;TODAY(), SUMIFS($AT$8:AT202, $BG$8:BG202, BG202), "")</f>
        <v>0</v>
      </c>
      <c r="AY202" s="15"/>
    </row>
    <row r="203" spans="2:51">
      <c r="B203" s="1">
        <v>46043</v>
      </c>
      <c r="P203" s="130">
        <f t="shared" si="47"/>
        <v>0</v>
      </c>
      <c r="Q203" s="17">
        <f t="shared" si="48"/>
        <v>0</v>
      </c>
      <c r="R203">
        <v>0</v>
      </c>
      <c r="S203" s="9">
        <f t="shared" si="49"/>
        <v>0</v>
      </c>
      <c r="AS203" s="9">
        <f t="shared" si="50"/>
        <v>0</v>
      </c>
      <c r="AU203" s="11">
        <f ca="1">IF(B203&lt;TODAY(),SUM($AT$6:AT203),"")</f>
        <v>103944.25</v>
      </c>
      <c r="AV203" s="11">
        <f ca="1">IF(B203&lt;TODAY(), SUMIFS($AT$8:AT203, $BG$8:BG203, BG203), "")</f>
        <v>0</v>
      </c>
      <c r="AY203" s="15"/>
    </row>
    <row r="204" spans="2:51">
      <c r="B204" s="1">
        <v>46044</v>
      </c>
      <c r="P204" s="130">
        <f t="shared" si="47"/>
        <v>0</v>
      </c>
      <c r="Q204" s="17">
        <f t="shared" si="48"/>
        <v>0</v>
      </c>
      <c r="R204">
        <v>0</v>
      </c>
      <c r="S204" s="9">
        <f t="shared" si="49"/>
        <v>0</v>
      </c>
      <c r="AS204" s="9">
        <f t="shared" si="50"/>
        <v>0</v>
      </c>
      <c r="AU204" s="11">
        <f ca="1">IF(B204&lt;TODAY(),SUM($AT$6:AT204),"")</f>
        <v>103944.25</v>
      </c>
      <c r="AV204" s="11">
        <f ca="1">IF(B204&lt;TODAY(), SUMIFS($AT$8:AT204, $BG$8:BG204, BG204), "")</f>
        <v>0</v>
      </c>
      <c r="AY204" s="15"/>
    </row>
    <row r="205" spans="2:51">
      <c r="B205" s="1">
        <v>46045</v>
      </c>
      <c r="P205" s="130">
        <f t="shared" si="47"/>
        <v>0</v>
      </c>
      <c r="Q205" s="17">
        <f t="shared" si="48"/>
        <v>0</v>
      </c>
      <c r="R205">
        <v>0</v>
      </c>
      <c r="S205" s="9">
        <f t="shared" si="49"/>
        <v>0</v>
      </c>
      <c r="AS205" s="9">
        <f t="shared" si="50"/>
        <v>0</v>
      </c>
      <c r="AU205" s="11">
        <f ca="1">IF(B205&lt;TODAY(),SUM($AT$6:AT205),"")</f>
        <v>103944.25</v>
      </c>
      <c r="AV205" s="11">
        <f ca="1">IF(B205&lt;TODAY(), SUMIFS($AT$8:AT205, $BG$8:BG205, BG205), "")</f>
        <v>0</v>
      </c>
      <c r="AY205" s="15"/>
    </row>
    <row r="206" spans="2:51">
      <c r="B206" s="1">
        <v>46046</v>
      </c>
      <c r="P206" s="130">
        <f t="shared" si="47"/>
        <v>0</v>
      </c>
      <c r="Q206" s="17">
        <f t="shared" si="48"/>
        <v>0</v>
      </c>
      <c r="R206">
        <v>0</v>
      </c>
      <c r="S206" s="9">
        <f t="shared" si="49"/>
        <v>0</v>
      </c>
      <c r="AS206" s="9">
        <f t="shared" si="50"/>
        <v>0</v>
      </c>
      <c r="AU206" s="11">
        <f ca="1">IF(B206&lt;TODAY(),SUM($AT$6:AT206),"")</f>
        <v>103944.25</v>
      </c>
      <c r="AV206" s="11">
        <f ca="1">IF(B206&lt;TODAY(), SUMIFS($AT$8:AT206, $BG$8:BG206, BG206), "")</f>
        <v>0</v>
      </c>
      <c r="AY206" s="15"/>
    </row>
    <row r="207" spans="2:51">
      <c r="B207" s="1">
        <v>46047</v>
      </c>
      <c r="P207" s="130">
        <f t="shared" si="47"/>
        <v>0</v>
      </c>
      <c r="Q207" s="17">
        <f t="shared" si="48"/>
        <v>0</v>
      </c>
      <c r="R207">
        <v>0</v>
      </c>
      <c r="S207" s="9">
        <f t="shared" si="49"/>
        <v>0</v>
      </c>
      <c r="AS207" s="9">
        <f t="shared" si="50"/>
        <v>0</v>
      </c>
      <c r="AU207" s="11">
        <f ca="1">IF(B207&lt;TODAY(),SUM($AT$6:AT207),"")</f>
        <v>103944.25</v>
      </c>
      <c r="AV207" s="11">
        <f ca="1">IF(B207&lt;TODAY(), SUMIFS($AT$8:AT207, $BG$8:BG207, BG207), "")</f>
        <v>0</v>
      </c>
      <c r="AY207" s="15"/>
    </row>
    <row r="208" spans="2:51">
      <c r="B208" s="1">
        <v>46048</v>
      </c>
      <c r="P208" s="130">
        <f t="shared" si="47"/>
        <v>0</v>
      </c>
      <c r="Q208" s="17">
        <f t="shared" si="48"/>
        <v>0</v>
      </c>
      <c r="R208">
        <v>0</v>
      </c>
      <c r="S208" s="9">
        <f t="shared" si="49"/>
        <v>0</v>
      </c>
      <c r="AS208" s="9">
        <f t="shared" si="50"/>
        <v>0</v>
      </c>
      <c r="AU208" s="11">
        <f ca="1">IF(B208&lt;TODAY(),SUM($AT$6:AT208),"")</f>
        <v>103944.25</v>
      </c>
      <c r="AV208" s="11">
        <f ca="1">IF(B208&lt;TODAY(), SUMIFS($AT$8:AT208, $BG$8:BG208, BG208), "")</f>
        <v>0</v>
      </c>
      <c r="AY208" s="15"/>
    </row>
    <row r="209" spans="2:51">
      <c r="B209" s="1">
        <v>46049</v>
      </c>
      <c r="P209" s="130">
        <f t="shared" si="47"/>
        <v>0</v>
      </c>
      <c r="Q209" s="17">
        <f t="shared" si="48"/>
        <v>0</v>
      </c>
      <c r="R209">
        <v>0</v>
      </c>
      <c r="S209" s="9">
        <f t="shared" si="49"/>
        <v>0</v>
      </c>
      <c r="AS209" s="9">
        <f t="shared" si="50"/>
        <v>0</v>
      </c>
      <c r="AU209" s="11">
        <f ca="1">IF(B209&lt;TODAY(),SUM($AT$6:AT209),"")</f>
        <v>103944.25</v>
      </c>
      <c r="AV209" s="11">
        <f ca="1">IF(B209&lt;TODAY(), SUMIFS($AT$8:AT209, $BG$8:BG209, BG209), "")</f>
        <v>0</v>
      </c>
      <c r="AY209" s="15"/>
    </row>
    <row r="210" spans="2:51">
      <c r="B210" s="1">
        <v>46050</v>
      </c>
      <c r="P210" s="130">
        <f t="shared" ref="P210:P262" si="51">J210+K210+L210+M210+N210+O210</f>
        <v>0</v>
      </c>
      <c r="Q210" s="17">
        <f t="shared" ref="Q210:Q262" si="52">(J210*$J$3)+(K210*$K$3)+(L210*$L$3)+(M210*$M$3)+(N210*$N$3)+(O210*$O$3)</f>
        <v>0</v>
      </c>
      <c r="R210">
        <v>0</v>
      </c>
      <c r="S210" s="9">
        <f t="shared" ref="S210:S262" si="53">IF(Q210&lt;(R210*$R$3),(R210*$R$3),Q210)</f>
        <v>0</v>
      </c>
      <c r="AS210" s="9">
        <f t="shared" si="50"/>
        <v>0</v>
      </c>
      <c r="AU210" s="11">
        <f ca="1">IF(B210&lt;TODAY(),SUM($AT$6:AT210),"")</f>
        <v>103944.25</v>
      </c>
      <c r="AV210" s="11">
        <f ca="1">IF(B210&lt;TODAY(), SUMIFS($AT$8:AT210, $BG$8:BG210, BG210), "")</f>
        <v>0</v>
      </c>
      <c r="AY210" s="15"/>
    </row>
    <row r="211" spans="2:51">
      <c r="B211" s="1">
        <v>46051</v>
      </c>
      <c r="P211" s="130">
        <f t="shared" si="51"/>
        <v>0</v>
      </c>
      <c r="Q211" s="17">
        <f t="shared" si="52"/>
        <v>0</v>
      </c>
      <c r="R211">
        <v>0</v>
      </c>
      <c r="S211" s="9">
        <f t="shared" si="53"/>
        <v>0</v>
      </c>
      <c r="AS211" s="9">
        <f t="shared" ref="AS211:AS262" si="54">($AG$3*AG211)+($AH$3*AH211)+($AI$3*AI211)+($AJ$3*AJ211)+($AK$3*AK211)+($AL$3*AL211)+($AM$3*AM211)+($AN$3*AN211)+($AO$3*AO211)+($AP$3*AP211)+AR211</f>
        <v>0</v>
      </c>
      <c r="AU211" s="11">
        <f ca="1">IF(B211&lt;TODAY(),SUM($AT$6:AT211),"")</f>
        <v>103944.25</v>
      </c>
      <c r="AV211" s="11">
        <f ca="1">IF(B211&lt;TODAY(), SUMIFS($AT$8:AT211, $BG$8:BG211, BG211), "")</f>
        <v>0</v>
      </c>
      <c r="AY211" s="15"/>
    </row>
    <row r="212" spans="2:51">
      <c r="B212" s="1">
        <v>46052</v>
      </c>
      <c r="P212" s="130">
        <f t="shared" si="51"/>
        <v>0</v>
      </c>
      <c r="Q212" s="17">
        <f t="shared" si="52"/>
        <v>0</v>
      </c>
      <c r="R212">
        <v>0</v>
      </c>
      <c r="S212" s="9">
        <f t="shared" si="53"/>
        <v>0</v>
      </c>
      <c r="AS212" s="9">
        <f t="shared" si="54"/>
        <v>0</v>
      </c>
      <c r="AU212" s="11">
        <f ca="1">IF(B212&lt;TODAY(),SUM($AT$6:AT212),"")</f>
        <v>103944.25</v>
      </c>
      <c r="AV212" s="11">
        <f ca="1">IF(B212&lt;TODAY(), SUMIFS($AT$8:AT212, $BG$8:BG212, BG212), "")</f>
        <v>0</v>
      </c>
      <c r="AY212" s="15"/>
    </row>
    <row r="213" spans="2:51">
      <c r="B213" s="1">
        <v>46053</v>
      </c>
      <c r="P213" s="130">
        <f t="shared" si="51"/>
        <v>0</v>
      </c>
      <c r="Q213" s="17">
        <f t="shared" si="52"/>
        <v>0</v>
      </c>
      <c r="R213">
        <v>0</v>
      </c>
      <c r="S213" s="9">
        <f t="shared" si="53"/>
        <v>0</v>
      </c>
      <c r="AS213" s="9">
        <f t="shared" si="54"/>
        <v>0</v>
      </c>
      <c r="AU213" s="11">
        <f ca="1">IF(B213&lt;TODAY(),SUM($AT$6:AT213),"")</f>
        <v>103944.25</v>
      </c>
      <c r="AV213" s="11">
        <f ca="1">IF(B213&lt;TODAY(), SUMIFS($AT$8:AT213, $BG$8:BG213, BG213), "")</f>
        <v>0</v>
      </c>
      <c r="AY213" s="15"/>
    </row>
    <row r="214" spans="2:51">
      <c r="B214" s="1">
        <v>46054</v>
      </c>
      <c r="P214" s="130">
        <f t="shared" si="51"/>
        <v>0</v>
      </c>
      <c r="Q214" s="17">
        <f t="shared" si="52"/>
        <v>0</v>
      </c>
      <c r="R214">
        <v>0</v>
      </c>
      <c r="S214" s="9">
        <f t="shared" si="53"/>
        <v>0</v>
      </c>
      <c r="AS214" s="9">
        <f t="shared" si="54"/>
        <v>0</v>
      </c>
      <c r="AU214" s="11">
        <f ca="1">IF(B214&lt;TODAY(),SUM($AT$6:AT214),"")</f>
        <v>103944.25</v>
      </c>
      <c r="AV214" s="11">
        <f ca="1">IF(B214&lt;TODAY(), SUMIFS($AT$8:AT214, $BG$8:BG214, BG214), "")</f>
        <v>0</v>
      </c>
      <c r="AY214" s="15"/>
    </row>
    <row r="215" spans="2:51">
      <c r="B215" s="1">
        <v>46055</v>
      </c>
      <c r="P215" s="130">
        <f t="shared" si="51"/>
        <v>0</v>
      </c>
      <c r="Q215" s="17">
        <f t="shared" si="52"/>
        <v>0</v>
      </c>
      <c r="R215">
        <v>0</v>
      </c>
      <c r="S215" s="9">
        <f t="shared" si="53"/>
        <v>0</v>
      </c>
      <c r="AS215" s="9">
        <f t="shared" si="54"/>
        <v>0</v>
      </c>
      <c r="AU215" s="11">
        <f ca="1">IF(B215&lt;TODAY(),SUM($AT$6:AT215),"")</f>
        <v>103944.25</v>
      </c>
      <c r="AV215" s="11">
        <f ca="1">IF(B215&lt;TODAY(), SUMIFS($AT$8:AT215, $BG$8:BG215, BG215), "")</f>
        <v>0</v>
      </c>
      <c r="AY215" s="15"/>
    </row>
    <row r="216" spans="2:51">
      <c r="B216" s="1">
        <v>46056</v>
      </c>
      <c r="P216" s="130">
        <f t="shared" si="51"/>
        <v>0</v>
      </c>
      <c r="Q216" s="17">
        <f t="shared" si="52"/>
        <v>0</v>
      </c>
      <c r="R216">
        <v>0</v>
      </c>
      <c r="S216" s="9">
        <f t="shared" si="53"/>
        <v>0</v>
      </c>
      <c r="AS216" s="9">
        <f t="shared" si="54"/>
        <v>0</v>
      </c>
      <c r="AU216" s="11">
        <f ca="1">IF(B216&lt;TODAY(),SUM($AT$6:AT216),"")</f>
        <v>103944.25</v>
      </c>
      <c r="AV216" s="11">
        <f ca="1">IF(B216&lt;TODAY(), SUMIFS($AT$8:AT216, $BG$8:BG216, BG216), "")</f>
        <v>0</v>
      </c>
      <c r="AY216" s="15"/>
    </row>
    <row r="217" spans="2:51">
      <c r="B217" s="1">
        <v>46057</v>
      </c>
      <c r="P217" s="130">
        <f t="shared" si="51"/>
        <v>0</v>
      </c>
      <c r="Q217" s="17">
        <f t="shared" si="52"/>
        <v>0</v>
      </c>
      <c r="R217">
        <v>0</v>
      </c>
      <c r="S217" s="9">
        <f t="shared" si="53"/>
        <v>0</v>
      </c>
      <c r="AS217" s="9">
        <f t="shared" si="54"/>
        <v>0</v>
      </c>
      <c r="AU217" s="11">
        <f ca="1">IF(B217&lt;TODAY(),SUM($AT$6:AT217),"")</f>
        <v>103944.25</v>
      </c>
      <c r="AV217" s="11">
        <f ca="1">IF(B217&lt;TODAY(), SUMIFS($AT$8:AT217, $BG$8:BG217, BG217), "")</f>
        <v>0</v>
      </c>
      <c r="AY217" s="15"/>
    </row>
    <row r="218" spans="2:51">
      <c r="B218" s="1">
        <v>46058</v>
      </c>
      <c r="P218" s="130">
        <f t="shared" si="51"/>
        <v>0</v>
      </c>
      <c r="Q218" s="17">
        <f t="shared" si="52"/>
        <v>0</v>
      </c>
      <c r="R218">
        <v>0</v>
      </c>
      <c r="S218" s="9">
        <f t="shared" si="53"/>
        <v>0</v>
      </c>
      <c r="AS218" s="9">
        <f t="shared" si="54"/>
        <v>0</v>
      </c>
      <c r="AU218" s="11">
        <f ca="1">IF(B218&lt;TODAY(),SUM($AT$6:AT218),"")</f>
        <v>103944.25</v>
      </c>
      <c r="AV218" s="11">
        <f ca="1">IF(B218&lt;TODAY(), SUMIFS($AT$8:AT218, $BG$8:BG218, BG218), "")</f>
        <v>0</v>
      </c>
      <c r="AY218" s="15"/>
    </row>
    <row r="219" spans="2:51">
      <c r="B219" s="1">
        <v>46059</v>
      </c>
      <c r="P219" s="130">
        <f t="shared" si="51"/>
        <v>0</v>
      </c>
      <c r="Q219" s="17">
        <f t="shared" si="52"/>
        <v>0</v>
      </c>
      <c r="R219">
        <v>0</v>
      </c>
      <c r="S219" s="9">
        <f t="shared" si="53"/>
        <v>0</v>
      </c>
      <c r="AS219" s="9">
        <f t="shared" si="54"/>
        <v>0</v>
      </c>
      <c r="AU219" s="11">
        <f ca="1">IF(B219&lt;TODAY(),SUM($AT$6:AT219),"")</f>
        <v>103944.25</v>
      </c>
      <c r="AV219" s="11">
        <f ca="1">IF(B219&lt;TODAY(), SUMIFS($AT$8:AT219, $BG$8:BG219, BG219), "")</f>
        <v>0</v>
      </c>
      <c r="AY219" s="15"/>
    </row>
    <row r="220" spans="2:51">
      <c r="B220" s="1">
        <v>46060</v>
      </c>
      <c r="P220" s="130">
        <f t="shared" si="51"/>
        <v>0</v>
      </c>
      <c r="Q220" s="17">
        <f t="shared" si="52"/>
        <v>0</v>
      </c>
      <c r="R220">
        <v>0</v>
      </c>
      <c r="S220" s="9">
        <f t="shared" si="53"/>
        <v>0</v>
      </c>
      <c r="AS220" s="9">
        <f t="shared" si="54"/>
        <v>0</v>
      </c>
      <c r="AU220" s="11">
        <f ca="1">IF(B220&lt;TODAY(),SUM($AT$6:AT220),"")</f>
        <v>103944.25</v>
      </c>
      <c r="AV220" s="11">
        <f ca="1">IF(B220&lt;TODAY(), SUMIFS($AT$8:AT220, $BG$8:BG220, BG220), "")</f>
        <v>0</v>
      </c>
      <c r="AY220" s="15"/>
    </row>
    <row r="221" spans="2:51">
      <c r="B221" s="1">
        <v>46061</v>
      </c>
      <c r="P221" s="130">
        <f t="shared" si="51"/>
        <v>0</v>
      </c>
      <c r="Q221" s="17">
        <f t="shared" si="52"/>
        <v>0</v>
      </c>
      <c r="R221">
        <v>0</v>
      </c>
      <c r="S221" s="9">
        <f t="shared" si="53"/>
        <v>0</v>
      </c>
      <c r="AS221" s="9">
        <f t="shared" si="54"/>
        <v>0</v>
      </c>
      <c r="AU221" s="11">
        <f ca="1">IF(B221&lt;TODAY(),SUM($AT$6:AT221),"")</f>
        <v>103944.25</v>
      </c>
      <c r="AV221" s="11">
        <f ca="1">IF(B221&lt;TODAY(), SUMIFS($AT$8:AT221, $BG$8:BG221, BG221), "")</f>
        <v>0</v>
      </c>
      <c r="AY221" s="15"/>
    </row>
    <row r="222" spans="2:51">
      <c r="B222" s="1">
        <v>46062</v>
      </c>
      <c r="P222" s="130">
        <f t="shared" si="51"/>
        <v>0</v>
      </c>
      <c r="Q222" s="17">
        <f t="shared" si="52"/>
        <v>0</v>
      </c>
      <c r="R222">
        <v>0</v>
      </c>
      <c r="S222" s="9">
        <f t="shared" si="53"/>
        <v>0</v>
      </c>
      <c r="AS222" s="9">
        <f t="shared" si="54"/>
        <v>0</v>
      </c>
      <c r="AU222" s="11">
        <f ca="1">IF(B222&lt;TODAY(),SUM($AT$6:AT222),"")</f>
        <v>103944.25</v>
      </c>
      <c r="AV222" s="11">
        <f ca="1">IF(B222&lt;TODAY(), SUMIFS($AT$8:AT222, $BG$8:BG222, BG222), "")</f>
        <v>0</v>
      </c>
      <c r="AY222" s="15"/>
    </row>
    <row r="223" spans="2:51">
      <c r="B223" s="1">
        <v>46063</v>
      </c>
      <c r="P223" s="130">
        <f t="shared" si="51"/>
        <v>0</v>
      </c>
      <c r="Q223" s="17">
        <f t="shared" si="52"/>
        <v>0</v>
      </c>
      <c r="R223">
        <v>0</v>
      </c>
      <c r="S223" s="9">
        <f t="shared" si="53"/>
        <v>0</v>
      </c>
      <c r="AS223" s="9">
        <f t="shared" si="54"/>
        <v>0</v>
      </c>
      <c r="AU223" s="11">
        <f ca="1">IF(B223&lt;TODAY(),SUM($AT$6:AT223),"")</f>
        <v>103944.25</v>
      </c>
      <c r="AV223" s="11">
        <f ca="1">IF(B223&lt;TODAY(), SUMIFS($AT$8:AT223, $BG$8:BG223, BG223), "")</f>
        <v>0</v>
      </c>
      <c r="AY223" s="15"/>
    </row>
    <row r="224" spans="2:51">
      <c r="B224" s="1">
        <v>46064</v>
      </c>
      <c r="P224" s="130">
        <f t="shared" si="51"/>
        <v>0</v>
      </c>
      <c r="Q224" s="17">
        <f t="shared" si="52"/>
        <v>0</v>
      </c>
      <c r="R224">
        <v>0</v>
      </c>
      <c r="S224" s="9">
        <f t="shared" si="53"/>
        <v>0</v>
      </c>
      <c r="AS224" s="9">
        <f t="shared" si="54"/>
        <v>0</v>
      </c>
      <c r="AU224" s="11">
        <f ca="1">IF(B224&lt;TODAY(),SUM($AT$6:AT224),"")</f>
        <v>103944.25</v>
      </c>
      <c r="AV224" s="11">
        <f ca="1">IF(B224&lt;TODAY(), SUMIFS($AT$8:AT224, $BG$8:BG224, BG224), "")</f>
        <v>0</v>
      </c>
      <c r="AY224" s="15"/>
    </row>
    <row r="225" spans="2:51">
      <c r="B225" s="1">
        <v>46065</v>
      </c>
      <c r="P225" s="130">
        <f t="shared" si="51"/>
        <v>0</v>
      </c>
      <c r="Q225" s="17">
        <f t="shared" si="52"/>
        <v>0</v>
      </c>
      <c r="R225">
        <v>0</v>
      </c>
      <c r="S225" s="9">
        <f t="shared" si="53"/>
        <v>0</v>
      </c>
      <c r="AS225" s="9">
        <f t="shared" si="54"/>
        <v>0</v>
      </c>
      <c r="AU225" s="11">
        <f ca="1">IF(B225&lt;TODAY(),SUM($AT$6:AT225),"")</f>
        <v>103944.25</v>
      </c>
      <c r="AV225" s="11">
        <f ca="1">IF(B225&lt;TODAY(), SUMIFS($AT$8:AT225, $BG$8:BG225, BG225), "")</f>
        <v>0</v>
      </c>
      <c r="AY225" s="15"/>
    </row>
    <row r="226" spans="2:51">
      <c r="B226" s="1">
        <v>46066</v>
      </c>
      <c r="P226" s="130">
        <f t="shared" si="51"/>
        <v>0</v>
      </c>
      <c r="Q226" s="17">
        <f t="shared" si="52"/>
        <v>0</v>
      </c>
      <c r="R226">
        <v>0</v>
      </c>
      <c r="S226" s="9">
        <f t="shared" si="53"/>
        <v>0</v>
      </c>
      <c r="AS226" s="9">
        <f t="shared" si="54"/>
        <v>0</v>
      </c>
      <c r="AU226" s="11">
        <f ca="1">IF(B226&lt;TODAY(),SUM($AT$6:AT226),"")</f>
        <v>103944.25</v>
      </c>
      <c r="AV226" s="11">
        <f ca="1">IF(B226&lt;TODAY(), SUMIFS($AT$8:AT226, $BG$8:BG226, BG226), "")</f>
        <v>0</v>
      </c>
      <c r="AY226" s="15"/>
    </row>
    <row r="227" spans="2:51">
      <c r="B227" s="1">
        <v>46067</v>
      </c>
      <c r="P227" s="130">
        <f t="shared" si="51"/>
        <v>0</v>
      </c>
      <c r="Q227" s="17">
        <f t="shared" si="52"/>
        <v>0</v>
      </c>
      <c r="R227">
        <v>0</v>
      </c>
      <c r="S227" s="9">
        <f t="shared" si="53"/>
        <v>0</v>
      </c>
      <c r="AS227" s="9">
        <f t="shared" si="54"/>
        <v>0</v>
      </c>
      <c r="AU227" s="11">
        <f ca="1">IF(B227&lt;TODAY(),SUM($AT$6:AT227),"")</f>
        <v>103944.25</v>
      </c>
      <c r="AV227" s="11">
        <f ca="1">IF(B227&lt;TODAY(), SUMIFS($AT$8:AT227, $BG$8:BG227, BG227), "")</f>
        <v>0</v>
      </c>
      <c r="AY227" s="15"/>
    </row>
    <row r="228" spans="2:51">
      <c r="B228" s="1">
        <v>46068</v>
      </c>
      <c r="P228" s="130">
        <f t="shared" si="51"/>
        <v>0</v>
      </c>
      <c r="Q228" s="17">
        <f t="shared" si="52"/>
        <v>0</v>
      </c>
      <c r="R228">
        <v>0</v>
      </c>
      <c r="S228" s="9">
        <f t="shared" si="53"/>
        <v>0</v>
      </c>
      <c r="AS228" s="9">
        <f t="shared" si="54"/>
        <v>0</v>
      </c>
      <c r="AU228" s="11">
        <f ca="1">IF(B228&lt;TODAY(),SUM($AT$6:AT228),"")</f>
        <v>103944.25</v>
      </c>
      <c r="AV228" s="11">
        <f ca="1">IF(B228&lt;TODAY(), SUMIFS($AT$8:AT228, $BG$8:BG228, BG228), "")</f>
        <v>0</v>
      </c>
      <c r="AY228" s="15"/>
    </row>
    <row r="229" spans="2:51">
      <c r="B229" s="1">
        <v>46069</v>
      </c>
      <c r="P229" s="130">
        <f t="shared" si="51"/>
        <v>0</v>
      </c>
      <c r="Q229" s="17">
        <f t="shared" si="52"/>
        <v>0</v>
      </c>
      <c r="R229">
        <v>0</v>
      </c>
      <c r="S229" s="9">
        <f t="shared" si="53"/>
        <v>0</v>
      </c>
      <c r="AS229" s="9">
        <f t="shared" si="54"/>
        <v>0</v>
      </c>
      <c r="AU229" s="11">
        <f ca="1">IF(B229&lt;TODAY(),SUM($AT$6:AT229),"")</f>
        <v>103944.25</v>
      </c>
      <c r="AV229" s="11">
        <f ca="1">IF(B229&lt;TODAY(), SUMIFS($AT$8:AT229, $BG$8:BG229, BG229), "")</f>
        <v>0</v>
      </c>
      <c r="AY229" s="15"/>
    </row>
    <row r="230" spans="2:51">
      <c r="B230" s="1">
        <v>46070</v>
      </c>
      <c r="P230" s="130">
        <f t="shared" si="51"/>
        <v>0</v>
      </c>
      <c r="Q230" s="17">
        <f t="shared" si="52"/>
        <v>0</v>
      </c>
      <c r="R230">
        <v>0</v>
      </c>
      <c r="S230" s="9">
        <f t="shared" si="53"/>
        <v>0</v>
      </c>
      <c r="AS230" s="9">
        <f t="shared" si="54"/>
        <v>0</v>
      </c>
      <c r="AU230" s="11">
        <f ca="1">IF(B230&lt;TODAY(),SUM($AT$6:AT230),"")</f>
        <v>103944.25</v>
      </c>
      <c r="AV230" s="11">
        <f ca="1">IF(B230&lt;TODAY(), SUMIFS($AT$8:AT230, $BG$8:BG230, BG230), "")</f>
        <v>0</v>
      </c>
      <c r="AY230" s="15"/>
    </row>
    <row r="231" spans="2:51">
      <c r="B231" s="1">
        <v>46071</v>
      </c>
      <c r="P231" s="130">
        <f t="shared" si="51"/>
        <v>0</v>
      </c>
      <c r="Q231" s="17">
        <f t="shared" si="52"/>
        <v>0</v>
      </c>
      <c r="R231">
        <v>0</v>
      </c>
      <c r="S231" s="9">
        <f t="shared" si="53"/>
        <v>0</v>
      </c>
      <c r="AS231" s="9">
        <f t="shared" si="54"/>
        <v>0</v>
      </c>
      <c r="AU231" s="11">
        <f ca="1">IF(B231&lt;TODAY(),SUM($AT$6:AT231),"")</f>
        <v>103944.25</v>
      </c>
      <c r="AV231" s="11">
        <f ca="1">IF(B231&lt;TODAY(), SUMIFS($AT$8:AT231, $BG$8:BG231, BG231), "")</f>
        <v>0</v>
      </c>
      <c r="AY231" s="15"/>
    </row>
    <row r="232" spans="2:51">
      <c r="B232" s="1">
        <v>46072</v>
      </c>
      <c r="P232" s="130">
        <f t="shared" si="51"/>
        <v>0</v>
      </c>
      <c r="Q232" s="17">
        <f t="shared" si="52"/>
        <v>0</v>
      </c>
      <c r="R232">
        <v>0</v>
      </c>
      <c r="S232" s="9">
        <f t="shared" si="53"/>
        <v>0</v>
      </c>
      <c r="AS232" s="9">
        <f t="shared" si="54"/>
        <v>0</v>
      </c>
      <c r="AU232" s="11">
        <f ca="1">IF(B232&lt;TODAY(),SUM($AT$6:AT232),"")</f>
        <v>103944.25</v>
      </c>
      <c r="AV232" s="11">
        <f ca="1">IF(B232&lt;TODAY(), SUMIFS($AT$8:AT232, $BG$8:BG232, BG232), "")</f>
        <v>0</v>
      </c>
      <c r="AY232" s="15"/>
    </row>
    <row r="233" spans="2:51">
      <c r="B233" s="1">
        <v>46073</v>
      </c>
      <c r="P233" s="130">
        <f t="shared" si="51"/>
        <v>0</v>
      </c>
      <c r="Q233" s="17">
        <f t="shared" si="52"/>
        <v>0</v>
      </c>
      <c r="R233">
        <v>0</v>
      </c>
      <c r="S233" s="9">
        <f t="shared" si="53"/>
        <v>0</v>
      </c>
      <c r="AS233" s="9">
        <f t="shared" si="54"/>
        <v>0</v>
      </c>
      <c r="AU233" s="11">
        <f ca="1">IF(B233&lt;TODAY(),SUM($AT$6:AT233),"")</f>
        <v>103944.25</v>
      </c>
      <c r="AV233" s="11">
        <f ca="1">IF(B233&lt;TODAY(), SUMIFS($AT$8:AT233, $BG$8:BG233, BG233), "")</f>
        <v>0</v>
      </c>
      <c r="AY233" s="15"/>
    </row>
    <row r="234" spans="2:51">
      <c r="B234" s="1">
        <v>46074</v>
      </c>
      <c r="P234" s="130">
        <f t="shared" si="51"/>
        <v>0</v>
      </c>
      <c r="Q234" s="17">
        <f t="shared" si="52"/>
        <v>0</v>
      </c>
      <c r="R234">
        <v>0</v>
      </c>
      <c r="S234" s="9">
        <f t="shared" si="53"/>
        <v>0</v>
      </c>
      <c r="AS234" s="9">
        <f t="shared" si="54"/>
        <v>0</v>
      </c>
      <c r="AU234" s="11">
        <f ca="1">IF(B234&lt;TODAY(),SUM($AT$6:AT234),"")</f>
        <v>103944.25</v>
      </c>
      <c r="AV234" s="11">
        <f ca="1">IF(B234&lt;TODAY(), SUMIFS($AT$8:AT234, $BG$8:BG234, BG234), "")</f>
        <v>0</v>
      </c>
      <c r="AY234" s="15"/>
    </row>
    <row r="235" spans="2:51">
      <c r="B235" s="1">
        <v>46075</v>
      </c>
      <c r="P235" s="130">
        <f t="shared" si="51"/>
        <v>0</v>
      </c>
      <c r="Q235" s="17">
        <f t="shared" si="52"/>
        <v>0</v>
      </c>
      <c r="R235">
        <v>0</v>
      </c>
      <c r="S235" s="9">
        <f t="shared" si="53"/>
        <v>0</v>
      </c>
      <c r="AS235" s="9">
        <f t="shared" si="54"/>
        <v>0</v>
      </c>
      <c r="AU235" s="11">
        <f ca="1">IF(B235&lt;TODAY(),SUM($AT$6:AT235),"")</f>
        <v>103944.25</v>
      </c>
      <c r="AV235" s="11">
        <f ca="1">IF(B235&lt;TODAY(), SUMIFS($AT$8:AT235, $BG$8:BG235, BG235), "")</f>
        <v>0</v>
      </c>
      <c r="AY235" s="15"/>
    </row>
    <row r="236" spans="2:51">
      <c r="B236" s="1">
        <v>46076</v>
      </c>
      <c r="P236" s="130">
        <f t="shared" si="51"/>
        <v>0</v>
      </c>
      <c r="Q236" s="17">
        <f t="shared" si="52"/>
        <v>0</v>
      </c>
      <c r="R236">
        <v>0</v>
      </c>
      <c r="S236" s="9">
        <f t="shared" si="53"/>
        <v>0</v>
      </c>
      <c r="AS236" s="9">
        <f t="shared" si="54"/>
        <v>0</v>
      </c>
      <c r="AU236" s="11">
        <f ca="1">IF(B236&lt;TODAY(),SUM($AT$6:AT236),"")</f>
        <v>103944.25</v>
      </c>
      <c r="AV236" s="11">
        <f ca="1">IF(B236&lt;TODAY(), SUMIFS($AT$8:AT236, $BG$8:BG236, BG236), "")</f>
        <v>0</v>
      </c>
      <c r="AY236" s="15"/>
    </row>
    <row r="237" spans="2:51">
      <c r="B237" s="1">
        <v>46077</v>
      </c>
      <c r="P237" s="130">
        <f t="shared" si="51"/>
        <v>0</v>
      </c>
      <c r="Q237" s="17">
        <f t="shared" si="52"/>
        <v>0</v>
      </c>
      <c r="R237">
        <v>0</v>
      </c>
      <c r="S237" s="9">
        <f t="shared" si="53"/>
        <v>0</v>
      </c>
      <c r="AS237" s="9">
        <f t="shared" si="54"/>
        <v>0</v>
      </c>
      <c r="AU237" s="11">
        <f ca="1">IF(B237&lt;TODAY(),SUM($AT$6:AT237),"")</f>
        <v>103944.25</v>
      </c>
      <c r="AV237" s="11">
        <f ca="1">IF(B237&lt;TODAY(), SUMIFS($AT$8:AT237, $BG$8:BG237, BG237), "")</f>
        <v>0</v>
      </c>
      <c r="AY237" s="15"/>
    </row>
    <row r="238" spans="2:51">
      <c r="B238" s="1">
        <v>46078</v>
      </c>
      <c r="P238" s="130">
        <f t="shared" si="51"/>
        <v>0</v>
      </c>
      <c r="Q238" s="17">
        <f t="shared" si="52"/>
        <v>0</v>
      </c>
      <c r="R238">
        <v>0</v>
      </c>
      <c r="S238" s="9">
        <f t="shared" si="53"/>
        <v>0</v>
      </c>
      <c r="AS238" s="9">
        <f t="shared" si="54"/>
        <v>0</v>
      </c>
      <c r="AU238" s="11">
        <f ca="1">IF(B238&lt;TODAY(),SUM($AT$6:AT238),"")</f>
        <v>103944.25</v>
      </c>
      <c r="AV238" s="11">
        <f ca="1">IF(B238&lt;TODAY(), SUMIFS($AT$8:AT238, $BG$8:BG238, BG238), "")</f>
        <v>0</v>
      </c>
      <c r="AY238" s="15"/>
    </row>
    <row r="239" spans="2:51">
      <c r="B239" s="1">
        <v>46079</v>
      </c>
      <c r="P239" s="130">
        <f t="shared" si="51"/>
        <v>0</v>
      </c>
      <c r="Q239" s="17">
        <f t="shared" si="52"/>
        <v>0</v>
      </c>
      <c r="R239">
        <v>0</v>
      </c>
      <c r="S239" s="9">
        <f t="shared" si="53"/>
        <v>0</v>
      </c>
      <c r="AS239" s="9">
        <f t="shared" si="54"/>
        <v>0</v>
      </c>
      <c r="AU239" s="11">
        <f ca="1">IF(B239&lt;TODAY(),SUM($AT$6:AT239),"")</f>
        <v>103944.25</v>
      </c>
      <c r="AV239" s="11">
        <f ca="1">IF(B239&lt;TODAY(), SUMIFS($AT$8:AT239, $BG$8:BG239, BG239), "")</f>
        <v>0</v>
      </c>
      <c r="AY239" s="15"/>
    </row>
    <row r="240" spans="2:51">
      <c r="B240" s="1">
        <v>46080</v>
      </c>
      <c r="P240" s="130">
        <f t="shared" si="51"/>
        <v>0</v>
      </c>
      <c r="Q240" s="17">
        <f t="shared" si="52"/>
        <v>0</v>
      </c>
      <c r="R240">
        <v>0</v>
      </c>
      <c r="S240" s="9">
        <f t="shared" si="53"/>
        <v>0</v>
      </c>
      <c r="AS240" s="9">
        <f t="shared" si="54"/>
        <v>0</v>
      </c>
      <c r="AU240" s="11">
        <f ca="1">IF(B240&lt;TODAY(),SUM($AT$6:AT240),"")</f>
        <v>103944.25</v>
      </c>
      <c r="AV240" s="11">
        <f ca="1">IF(B240&lt;TODAY(), SUMIFS($AT$8:AT240, $BG$8:BG240, BG240), "")</f>
        <v>0</v>
      </c>
      <c r="AY240" s="15"/>
    </row>
    <row r="241" spans="2:51">
      <c r="B241" s="1">
        <v>46081</v>
      </c>
      <c r="P241" s="130">
        <f t="shared" si="51"/>
        <v>0</v>
      </c>
      <c r="Q241" s="17">
        <f t="shared" si="52"/>
        <v>0</v>
      </c>
      <c r="R241">
        <v>0</v>
      </c>
      <c r="S241" s="9">
        <f t="shared" si="53"/>
        <v>0</v>
      </c>
      <c r="AS241" s="9">
        <f t="shared" si="54"/>
        <v>0</v>
      </c>
      <c r="AU241" s="11">
        <f ca="1">IF(B241&lt;TODAY(),SUM($AT$6:AT241),"")</f>
        <v>103944.25</v>
      </c>
      <c r="AV241" s="11">
        <f ca="1">IF(B241&lt;TODAY(), SUMIFS($AT$8:AT241, $BG$8:BG241, BG241), "")</f>
        <v>0</v>
      </c>
      <c r="AY241" s="15"/>
    </row>
    <row r="242" spans="2:51">
      <c r="B242" s="1">
        <v>46082</v>
      </c>
      <c r="P242" s="130">
        <f t="shared" si="51"/>
        <v>0</v>
      </c>
      <c r="Q242" s="17">
        <f t="shared" si="52"/>
        <v>0</v>
      </c>
      <c r="R242">
        <v>0</v>
      </c>
      <c r="S242" s="9">
        <f t="shared" si="53"/>
        <v>0</v>
      </c>
      <c r="AS242" s="9">
        <f t="shared" si="54"/>
        <v>0</v>
      </c>
      <c r="AU242" s="11">
        <f ca="1">IF(B242&lt;TODAY(),SUM($AT$6:AT242),"")</f>
        <v>103944.25</v>
      </c>
      <c r="AV242" s="11">
        <f ca="1">IF(B242&lt;TODAY(), SUMIFS($AT$8:AT242, $BG$8:BG242, BG242), "")</f>
        <v>0</v>
      </c>
      <c r="AY242" s="15"/>
    </row>
    <row r="243" spans="2:51">
      <c r="B243" s="1">
        <v>46083</v>
      </c>
      <c r="P243" s="130">
        <f t="shared" si="51"/>
        <v>0</v>
      </c>
      <c r="Q243" s="17">
        <f t="shared" si="52"/>
        <v>0</v>
      </c>
      <c r="R243">
        <v>0</v>
      </c>
      <c r="S243" s="9">
        <f t="shared" si="53"/>
        <v>0</v>
      </c>
      <c r="AS243" s="9">
        <f t="shared" si="54"/>
        <v>0</v>
      </c>
      <c r="AU243" s="11">
        <f ca="1">IF(B243&lt;TODAY(),SUM($AT$6:AT243),"")</f>
        <v>103944.25</v>
      </c>
      <c r="AV243" s="11">
        <f ca="1">IF(B243&lt;TODAY(), SUMIFS($AT$8:AT243, $BG$8:BG243, BG243), "")</f>
        <v>0</v>
      </c>
      <c r="AY243" s="15"/>
    </row>
    <row r="244" spans="2:51">
      <c r="B244" s="1">
        <v>46084</v>
      </c>
      <c r="P244" s="130">
        <f t="shared" si="51"/>
        <v>0</v>
      </c>
      <c r="Q244" s="17">
        <f t="shared" si="52"/>
        <v>0</v>
      </c>
      <c r="R244">
        <v>0</v>
      </c>
      <c r="S244" s="9">
        <f t="shared" si="53"/>
        <v>0</v>
      </c>
      <c r="AS244" s="9">
        <f t="shared" si="54"/>
        <v>0</v>
      </c>
      <c r="AU244" s="11">
        <f ca="1">IF(B244&lt;TODAY(),SUM($AT$6:AT244),"")</f>
        <v>103944.25</v>
      </c>
      <c r="AV244" s="11">
        <f ca="1">IF(B244&lt;TODAY(), SUMIFS($AT$8:AT244, $BG$8:BG244, BG244), "")</f>
        <v>0</v>
      </c>
      <c r="AY244" s="15"/>
    </row>
    <row r="245" spans="2:51">
      <c r="B245" s="1">
        <v>46085</v>
      </c>
      <c r="P245" s="130">
        <f t="shared" si="51"/>
        <v>0</v>
      </c>
      <c r="Q245" s="17">
        <f t="shared" si="52"/>
        <v>0</v>
      </c>
      <c r="R245">
        <v>0</v>
      </c>
      <c r="S245" s="9">
        <f t="shared" si="53"/>
        <v>0</v>
      </c>
      <c r="AS245" s="9">
        <f t="shared" si="54"/>
        <v>0</v>
      </c>
      <c r="AU245" s="11">
        <f ca="1">IF(B245&lt;TODAY(),SUM($AT$6:AT245),"")</f>
        <v>103944.25</v>
      </c>
      <c r="AV245" s="11">
        <f ca="1">IF(B245&lt;TODAY(), SUMIFS($AT$8:AT245, $BG$8:BG245, BG245), "")</f>
        <v>0</v>
      </c>
      <c r="AY245" s="15"/>
    </row>
    <row r="246" spans="2:51">
      <c r="B246" s="1">
        <v>46086</v>
      </c>
      <c r="P246" s="130">
        <f t="shared" si="51"/>
        <v>0</v>
      </c>
      <c r="Q246" s="17">
        <f t="shared" si="52"/>
        <v>0</v>
      </c>
      <c r="R246">
        <v>0</v>
      </c>
      <c r="S246" s="9">
        <f t="shared" si="53"/>
        <v>0</v>
      </c>
      <c r="AS246" s="9">
        <f t="shared" si="54"/>
        <v>0</v>
      </c>
      <c r="AU246" s="11">
        <f ca="1">IF(B246&lt;TODAY(),SUM($AT$6:AT246),"")</f>
        <v>103944.25</v>
      </c>
      <c r="AV246" s="11">
        <f ca="1">IF(B246&lt;TODAY(), SUMIFS($AT$8:AT246, $BG$8:BG246, BG246), "")</f>
        <v>0</v>
      </c>
      <c r="AY246" s="15"/>
    </row>
    <row r="247" spans="2:51">
      <c r="B247" s="1">
        <v>46087</v>
      </c>
      <c r="P247" s="130">
        <f t="shared" si="51"/>
        <v>0</v>
      </c>
      <c r="Q247" s="17">
        <f t="shared" si="52"/>
        <v>0</v>
      </c>
      <c r="R247">
        <v>0</v>
      </c>
      <c r="S247" s="9">
        <f t="shared" si="53"/>
        <v>0</v>
      </c>
      <c r="AS247" s="9">
        <f t="shared" si="54"/>
        <v>0</v>
      </c>
      <c r="AU247" s="11">
        <f ca="1">IF(B247&lt;TODAY(),SUM($AT$6:AT247),"")</f>
        <v>103944.25</v>
      </c>
      <c r="AV247" s="11">
        <f ca="1">IF(B247&lt;TODAY(), SUMIFS($AT$8:AT247, $BG$8:BG247, BG247), "")</f>
        <v>0</v>
      </c>
      <c r="AY247" s="15"/>
    </row>
    <row r="248" spans="2:51">
      <c r="B248" s="1">
        <v>46088</v>
      </c>
      <c r="P248" s="130">
        <f t="shared" si="51"/>
        <v>0</v>
      </c>
      <c r="Q248" s="17">
        <f t="shared" si="52"/>
        <v>0</v>
      </c>
      <c r="R248">
        <v>0</v>
      </c>
      <c r="S248" s="9">
        <f t="shared" si="53"/>
        <v>0</v>
      </c>
      <c r="AS248" s="9">
        <f t="shared" si="54"/>
        <v>0</v>
      </c>
      <c r="AU248" s="11">
        <f ca="1">IF(B248&lt;TODAY(),SUM($AT$6:AT248),"")</f>
        <v>103944.25</v>
      </c>
      <c r="AV248" s="11">
        <f ca="1">IF(B248&lt;TODAY(), SUMIFS($AT$8:AT248, $BG$8:BG248, BG248), "")</f>
        <v>0</v>
      </c>
      <c r="AY248" s="15"/>
    </row>
    <row r="249" spans="2:51">
      <c r="B249" s="1">
        <v>46089</v>
      </c>
      <c r="P249" s="130">
        <f t="shared" si="51"/>
        <v>0</v>
      </c>
      <c r="Q249" s="17">
        <f t="shared" si="52"/>
        <v>0</v>
      </c>
      <c r="R249">
        <v>0</v>
      </c>
      <c r="S249" s="9">
        <f t="shared" si="53"/>
        <v>0</v>
      </c>
      <c r="AS249" s="9">
        <f t="shared" si="54"/>
        <v>0</v>
      </c>
      <c r="AU249" s="11">
        <f ca="1">IF(B249&lt;TODAY(),SUM($AT$6:AT249),"")</f>
        <v>103944.25</v>
      </c>
      <c r="AV249" s="11">
        <f ca="1">IF(B249&lt;TODAY(), SUMIFS($AT$8:AT249, $BG$8:BG249, BG249), "")</f>
        <v>0</v>
      </c>
      <c r="AY249" s="15"/>
    </row>
    <row r="250" spans="2:51">
      <c r="B250" s="1">
        <v>46090</v>
      </c>
      <c r="P250" s="130">
        <f t="shared" si="51"/>
        <v>0</v>
      </c>
      <c r="Q250" s="17">
        <f t="shared" si="52"/>
        <v>0</v>
      </c>
      <c r="R250">
        <v>0</v>
      </c>
      <c r="S250" s="9">
        <f t="shared" si="53"/>
        <v>0</v>
      </c>
      <c r="AS250" s="9">
        <f t="shared" si="54"/>
        <v>0</v>
      </c>
      <c r="AU250" s="11">
        <f ca="1">IF(B250&lt;TODAY(),SUM($AT$6:AT250),"")</f>
        <v>103944.25</v>
      </c>
      <c r="AV250" s="11">
        <f ca="1">IF(B250&lt;TODAY(), SUMIFS($AT$8:AT250, $BG$8:BG250, BG250), "")</f>
        <v>0</v>
      </c>
      <c r="AY250" s="15"/>
    </row>
    <row r="251" spans="2:51">
      <c r="B251" s="1">
        <v>46091</v>
      </c>
      <c r="P251" s="130">
        <f t="shared" si="51"/>
        <v>0</v>
      </c>
      <c r="Q251" s="17">
        <f t="shared" si="52"/>
        <v>0</v>
      </c>
      <c r="R251">
        <v>0</v>
      </c>
      <c r="S251" s="9">
        <f t="shared" si="53"/>
        <v>0</v>
      </c>
      <c r="AS251" s="9">
        <f t="shared" si="54"/>
        <v>0</v>
      </c>
      <c r="AU251" s="11">
        <f ca="1">IF(B251&lt;TODAY(),SUM($AT$6:AT251),"")</f>
        <v>103944.25</v>
      </c>
      <c r="AV251" s="11">
        <f ca="1">IF(B251&lt;TODAY(), SUMIFS($AT$8:AT251, $BG$8:BG251, BG251), "")</f>
        <v>0</v>
      </c>
      <c r="AY251" s="15"/>
    </row>
    <row r="252" spans="2:51">
      <c r="B252" s="1">
        <v>46092</v>
      </c>
      <c r="P252" s="130">
        <f t="shared" si="51"/>
        <v>0</v>
      </c>
      <c r="Q252" s="17">
        <f t="shared" si="52"/>
        <v>0</v>
      </c>
      <c r="R252">
        <v>0</v>
      </c>
      <c r="S252" s="9">
        <f t="shared" si="53"/>
        <v>0</v>
      </c>
      <c r="AS252" s="9">
        <f t="shared" si="54"/>
        <v>0</v>
      </c>
      <c r="AU252" s="11">
        <f ca="1">IF(B252&lt;TODAY(),SUM($AT$6:AT252),"")</f>
        <v>103944.25</v>
      </c>
      <c r="AV252" s="11">
        <f ca="1">IF(B252&lt;TODAY(), SUMIFS($AT$8:AT252, $BG$8:BG252, BG252), "")</f>
        <v>0</v>
      </c>
      <c r="AY252" s="15"/>
    </row>
    <row r="253" spans="2:51">
      <c r="B253" s="1">
        <v>46093</v>
      </c>
      <c r="P253" s="130">
        <f t="shared" si="51"/>
        <v>0</v>
      </c>
      <c r="Q253" s="17">
        <f t="shared" si="52"/>
        <v>0</v>
      </c>
      <c r="R253">
        <v>0</v>
      </c>
      <c r="S253" s="9">
        <f t="shared" si="53"/>
        <v>0</v>
      </c>
      <c r="AS253" s="9">
        <f t="shared" si="54"/>
        <v>0</v>
      </c>
      <c r="AU253" s="11">
        <f ca="1">IF(B253&lt;TODAY(),SUM($AT$6:AT253),"")</f>
        <v>103944.25</v>
      </c>
      <c r="AV253" s="11">
        <f ca="1">IF(B253&lt;TODAY(), SUMIFS($AT$8:AT253, $BG$8:BG253, BG253), "")</f>
        <v>0</v>
      </c>
      <c r="AY253" s="15"/>
    </row>
    <row r="254" spans="2:51">
      <c r="B254" s="1">
        <v>46094</v>
      </c>
      <c r="P254" s="130">
        <f t="shared" si="51"/>
        <v>0</v>
      </c>
      <c r="Q254" s="17">
        <f t="shared" si="52"/>
        <v>0</v>
      </c>
      <c r="R254">
        <v>0</v>
      </c>
      <c r="S254" s="9">
        <f t="shared" si="53"/>
        <v>0</v>
      </c>
      <c r="AS254" s="9">
        <f t="shared" si="54"/>
        <v>0</v>
      </c>
      <c r="AU254" s="11">
        <f ca="1">IF(B254&lt;TODAY(),SUM($AT$6:AT254),"")</f>
        <v>103944.25</v>
      </c>
      <c r="AV254" s="11">
        <f ca="1">IF(B254&lt;TODAY(), SUMIFS($AT$8:AT254, $BG$8:BG254, BG254), "")</f>
        <v>0</v>
      </c>
      <c r="AY254" s="15"/>
    </row>
    <row r="255" spans="2:51">
      <c r="B255" s="1">
        <v>46095</v>
      </c>
      <c r="P255" s="130">
        <f t="shared" si="51"/>
        <v>0</v>
      </c>
      <c r="Q255" s="17">
        <f t="shared" si="52"/>
        <v>0</v>
      </c>
      <c r="R255">
        <v>0</v>
      </c>
      <c r="S255" s="9">
        <f t="shared" si="53"/>
        <v>0</v>
      </c>
      <c r="AS255" s="9">
        <f t="shared" si="54"/>
        <v>0</v>
      </c>
      <c r="AU255" s="11">
        <f ca="1">IF(B255&lt;TODAY(),SUM($AT$6:AT255),"")</f>
        <v>103944.25</v>
      </c>
      <c r="AV255" s="11">
        <f ca="1">IF(B255&lt;TODAY(), SUMIFS($AT$8:AT255, $BG$8:BG255, BG255), "")</f>
        <v>0</v>
      </c>
      <c r="AY255" s="15"/>
    </row>
    <row r="256" spans="2:51">
      <c r="B256" s="1">
        <v>46096</v>
      </c>
      <c r="P256" s="130">
        <f t="shared" si="51"/>
        <v>0</v>
      </c>
      <c r="Q256" s="17">
        <f t="shared" si="52"/>
        <v>0</v>
      </c>
      <c r="R256">
        <v>0</v>
      </c>
      <c r="S256" s="9">
        <f t="shared" si="53"/>
        <v>0</v>
      </c>
      <c r="AS256" s="9">
        <f t="shared" si="54"/>
        <v>0</v>
      </c>
      <c r="AU256" s="11">
        <f ca="1">IF(B256&lt;TODAY(),SUM($AT$6:AT256),"")</f>
        <v>103944.25</v>
      </c>
      <c r="AV256" s="11">
        <f ca="1">IF(B256&lt;TODAY(), SUMIFS($AT$8:AT256, $BG$8:BG256, BG256), "")</f>
        <v>0</v>
      </c>
      <c r="AY256" s="15"/>
    </row>
    <row r="257" spans="2:51">
      <c r="B257" s="1">
        <v>46097</v>
      </c>
      <c r="P257" s="130">
        <f t="shared" si="51"/>
        <v>0</v>
      </c>
      <c r="Q257" s="17">
        <f t="shared" si="52"/>
        <v>0</v>
      </c>
      <c r="R257">
        <v>0</v>
      </c>
      <c r="S257" s="9">
        <f t="shared" si="53"/>
        <v>0</v>
      </c>
      <c r="AS257" s="9">
        <f t="shared" si="54"/>
        <v>0</v>
      </c>
      <c r="AU257" s="11">
        <f ca="1">IF(B257&lt;TODAY(),SUM($AT$6:AT257),"")</f>
        <v>103944.25</v>
      </c>
      <c r="AV257" s="11">
        <f ca="1">IF(B257&lt;TODAY(), SUMIFS($AT$8:AT257, $BG$8:BG257, BG257), "")</f>
        <v>0</v>
      </c>
      <c r="AY257" s="15"/>
    </row>
    <row r="258" spans="2:51">
      <c r="B258" s="1">
        <v>46098</v>
      </c>
      <c r="P258" s="130">
        <f t="shared" si="51"/>
        <v>0</v>
      </c>
      <c r="Q258" s="17">
        <f t="shared" si="52"/>
        <v>0</v>
      </c>
      <c r="R258">
        <v>0</v>
      </c>
      <c r="S258" s="9">
        <f t="shared" si="53"/>
        <v>0</v>
      </c>
      <c r="AS258" s="9">
        <f t="shared" si="54"/>
        <v>0</v>
      </c>
      <c r="AU258" s="11">
        <f ca="1">IF(B258&lt;TODAY(),SUM($AT$6:AT258),"")</f>
        <v>103944.25</v>
      </c>
      <c r="AV258" s="11">
        <f ca="1">IF(B258&lt;TODAY(), SUMIFS($AT$8:AT258, $BG$8:BG258, BG258), "")</f>
        <v>0</v>
      </c>
      <c r="AY258" s="15"/>
    </row>
    <row r="259" spans="2:51">
      <c r="B259" s="1">
        <v>46099</v>
      </c>
      <c r="P259" s="130">
        <f t="shared" si="51"/>
        <v>0</v>
      </c>
      <c r="Q259" s="17">
        <f t="shared" si="52"/>
        <v>0</v>
      </c>
      <c r="R259">
        <v>0</v>
      </c>
      <c r="S259" s="9">
        <f t="shared" si="53"/>
        <v>0</v>
      </c>
      <c r="AS259" s="9">
        <f t="shared" si="54"/>
        <v>0</v>
      </c>
      <c r="AU259" s="11">
        <f ca="1">IF(B259&lt;TODAY(),SUM($AT$6:AT259),"")</f>
        <v>103944.25</v>
      </c>
      <c r="AV259" s="11">
        <f ca="1">IF(B259&lt;TODAY(), SUMIFS($AT$8:AT259, $BG$8:BG259, BG259), "")</f>
        <v>0</v>
      </c>
      <c r="AY259" s="15"/>
    </row>
    <row r="260" spans="2:51">
      <c r="B260" s="1">
        <v>46100</v>
      </c>
      <c r="P260" s="130">
        <f t="shared" si="51"/>
        <v>0</v>
      </c>
      <c r="Q260" s="17">
        <f t="shared" si="52"/>
        <v>0</v>
      </c>
      <c r="R260">
        <v>0</v>
      </c>
      <c r="S260" s="9">
        <f t="shared" si="53"/>
        <v>0</v>
      </c>
      <c r="AS260" s="9">
        <f t="shared" si="54"/>
        <v>0</v>
      </c>
      <c r="AU260" s="11">
        <f ca="1">IF(B260&lt;TODAY(),SUM($AT$6:AT260),"")</f>
        <v>103944.25</v>
      </c>
      <c r="AV260" s="11">
        <f ca="1">IF(B260&lt;TODAY(), SUMIFS($AT$8:AT260, $BG$8:BG260, BG260), "")</f>
        <v>0</v>
      </c>
      <c r="AY260" s="15"/>
    </row>
    <row r="261" spans="2:51">
      <c r="B261" s="1">
        <v>46101</v>
      </c>
      <c r="P261" s="130">
        <f t="shared" si="51"/>
        <v>0</v>
      </c>
      <c r="Q261" s="17">
        <f t="shared" si="52"/>
        <v>0</v>
      </c>
      <c r="R261">
        <v>0</v>
      </c>
      <c r="S261" s="9">
        <f t="shared" si="53"/>
        <v>0</v>
      </c>
      <c r="AS261" s="9">
        <f t="shared" si="54"/>
        <v>0</v>
      </c>
      <c r="AU261" s="11">
        <f ca="1">IF(B261&lt;TODAY(),SUM($AT$6:AT261),"")</f>
        <v>103944.25</v>
      </c>
      <c r="AV261" s="11">
        <f ca="1">IF(B261&lt;TODAY(), SUMIFS($AT$8:AT261, $BG$8:BG261, BG261), "")</f>
        <v>0</v>
      </c>
      <c r="AY261" s="15"/>
    </row>
    <row r="262" spans="2:51">
      <c r="B262" s="1">
        <v>46102</v>
      </c>
      <c r="P262" s="130">
        <f t="shared" si="51"/>
        <v>0</v>
      </c>
      <c r="Q262" s="17">
        <f t="shared" si="52"/>
        <v>0</v>
      </c>
      <c r="R262">
        <v>0</v>
      </c>
      <c r="S262" s="9">
        <f t="shared" si="53"/>
        <v>0</v>
      </c>
      <c r="AS262" s="9">
        <f t="shared" si="54"/>
        <v>0</v>
      </c>
      <c r="AU262" s="11">
        <f ca="1">IF(B262&lt;TODAY(),SUM($AT$6:AT262),"")</f>
        <v>103944.25</v>
      </c>
      <c r="AV262" s="11">
        <f ca="1">IF(B262&lt;TODAY(), SUMIFS($AT$8:AT262, $BG$8:BG262, BG262), "")</f>
        <v>0</v>
      </c>
      <c r="AY262" s="15"/>
    </row>
  </sheetData>
  <conditionalFormatting sqref="J3:O3">
    <cfRule type="expression" dxfId="22" priority="12">
      <formula>$B1=TODAY()-1</formula>
    </cfRule>
  </conditionalFormatting>
  <conditionalFormatting sqref="J4:O4">
    <cfRule type="expression" dxfId="21" priority="11">
      <formula>$B3=TODAY()-1</formula>
    </cfRule>
  </conditionalFormatting>
  <conditionalFormatting sqref="T3:X3">
    <cfRule type="expression" dxfId="20" priority="1">
      <formula>$B3=TODAY()-1</formula>
    </cfRule>
  </conditionalFormatting>
  <conditionalFormatting sqref="T7:Y43 A15:B262 AA19:AS262 H29:I36 J33:S36 H37:S42 C38:F42 C43:S43 C44:Y262 A263:Y1048576">
    <cfRule type="expression" dxfId="19" priority="4">
      <formula>$B7=TODAY()-1</formula>
    </cfRule>
  </conditionalFormatting>
  <conditionalFormatting sqref="Z6:AW18 Z19:Z26">
    <cfRule type="expression" dxfId="18" priority="3">
      <formula>$B6=TODAY()-1</formula>
    </cfRule>
  </conditionalFormatting>
  <conditionalFormatting sqref="AA3:AAR5">
    <cfRule type="expression" dxfId="17" priority="2">
      <formula>$B3=TODAY()-1</formula>
    </cfRule>
  </conditionalFormatting>
  <conditionalFormatting sqref="AF1:AAR2 A1:I3 P1:S3 M4:Y6 A4:L7 M7:S15 AX8:AAR8 C8:L9 A8:B13 AY9:BE15 AX9:AX41 C10:F13 L10:L15 H10:K17 G10:G42 A14:F14 L16:R20 S16:S32 J18:K20 AT19:AW42 AV20:AV262 C33:D33 C34:F36 C37 F37 AX42:BE42 AV43:BE137 AT43:AU262 AV138:AAR262 AA263:AAR1048576">
    <cfRule type="expression" dxfId="16" priority="7">
      <formula>$B1=TODAY()-1</formula>
    </cfRule>
  </conditionalFormatting>
  <conditionalFormatting sqref="AV6:AV262">
    <cfRule type="expression" priority="9">
      <formula>TEXT(B6,"yyyy-mm")&lt;&gt;TEXT(B6,"yyyy-mm")</formula>
    </cfRule>
  </conditionalFormatting>
  <conditionalFormatting sqref="AX6:AX7">
    <cfRule type="expression" dxfId="15" priority="6">
      <formula>$A6=TODAY()</formula>
    </cfRule>
  </conditionalFormatting>
  <conditionalFormatting sqref="AY6:AAR7 AY16:BC21 BD16:BE23 AY22 BA22:BC22 AY23:BC23 AY24:BE27 AY28:AY29 BA29:BE29">
    <cfRule type="expression" dxfId="14" priority="8">
      <formula>$B6=TODAY()-1</formula>
    </cfRule>
  </conditionalFormatting>
  <conditionalFormatting sqref="BF9:AAR27 C15:F28 H18:I27 J21:R27 H28:R28 BA28:AAR28 D29:F30 J29:R32 BF29:AAR137 AY30:BE41 C31:F31 D32:F32">
    <cfRule type="expression" dxfId="13" priority="5">
      <formula>$B9=TODAY()-1</formula>
    </cfRule>
  </conditionalFormatting>
  <conditionalFormatting sqref="BG8:BG27 BH12:CB27 BH29:CB38 BG29:BG137">
    <cfRule type="expression" dxfId="12" priority="10">
      <formula>$B8=TODAY()</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DF66-0AE1-48D8-A92F-4F5CF8175A55}">
  <sheetPr codeName="Sheet10">
    <tabColor theme="7"/>
  </sheetPr>
  <dimension ref="A1:CB263"/>
  <sheetViews>
    <sheetView topLeftCell="AV4" workbookViewId="0">
      <selection activeCell="AY31" sqref="AY31"/>
    </sheetView>
  </sheetViews>
  <sheetFormatPr defaultColWidth="11" defaultRowHeight="15"/>
  <cols>
    <col min="1" max="1" width="5.7109375" customWidth="1"/>
    <col min="2" max="2" width="10.42578125" bestFit="1" customWidth="1"/>
    <col min="3" max="4" width="16.5703125" bestFit="1" customWidth="1"/>
    <col min="5" max="6" width="7.28515625" bestFit="1" customWidth="1"/>
    <col min="7" max="7" width="6.5703125" style="130" bestFit="1" customWidth="1"/>
    <col min="8" max="8" width="8.7109375" bestFit="1" customWidth="1"/>
    <col min="9" max="9" width="11.28515625" bestFit="1" customWidth="1"/>
    <col min="10" max="10" width="13.7109375" style="130" bestFit="1" customWidth="1"/>
    <col min="11" max="11" width="13.7109375" bestFit="1" customWidth="1"/>
    <col min="12" max="12" width="12.5703125" bestFit="1" customWidth="1"/>
    <col min="13" max="13" width="11" bestFit="1" customWidth="1"/>
    <col min="14" max="15" width="6.140625" bestFit="1" customWidth="1"/>
    <col min="16" max="16" width="10.28515625" style="130" bestFit="1" customWidth="1"/>
    <col min="17" max="17" width="7.5703125" bestFit="1" customWidth="1"/>
    <col min="18" max="18" width="9.42578125" bestFit="1" customWidth="1"/>
    <col min="19" max="19" width="7" style="130" bestFit="1" customWidth="1"/>
    <col min="20" max="20" width="6.85546875" bestFit="1" customWidth="1"/>
    <col min="21" max="21" width="7.140625" customWidth="1"/>
    <col min="22" max="22" width="9" bestFit="1" customWidth="1"/>
    <col min="25" max="25" width="12.7109375" bestFit="1" customWidth="1"/>
    <col min="26" max="26" width="18.85546875" bestFit="1" customWidth="1"/>
    <col min="27" max="27" width="18.28515625" bestFit="1" customWidth="1"/>
    <col min="28" max="29" width="18.28515625" customWidth="1"/>
    <col min="30" max="30" width="20.140625" bestFit="1" customWidth="1"/>
    <col min="31" max="31" width="22.28515625" bestFit="1" customWidth="1"/>
    <col min="32" max="32" width="31.28515625" bestFit="1" customWidth="1"/>
    <col min="33" max="33" width="31.28515625" customWidth="1"/>
    <col min="34" max="34" width="30.5703125" bestFit="1" customWidth="1"/>
    <col min="35" max="35" width="29.7109375" bestFit="1" customWidth="1"/>
    <col min="36" max="36" width="26.7109375" bestFit="1" customWidth="1"/>
    <col min="37" max="37" width="26.7109375" customWidth="1"/>
    <col min="38" max="38" width="18.140625" bestFit="1" customWidth="1"/>
    <col min="39" max="39" width="18.140625" customWidth="1"/>
    <col min="40" max="40" width="35.42578125" bestFit="1" customWidth="1"/>
    <col min="41" max="41" width="14.42578125" bestFit="1" customWidth="1"/>
    <col min="42" max="42" width="19.42578125" bestFit="1" customWidth="1"/>
    <col min="43" max="43" width="17" bestFit="1" customWidth="1"/>
    <col min="44" max="44" width="13.42578125" bestFit="1" customWidth="1"/>
    <col min="45" max="45" width="15.28515625" bestFit="1" customWidth="1"/>
    <col min="46" max="48" width="15.28515625" customWidth="1"/>
    <col min="49" max="49" width="31.5703125" bestFit="1" customWidth="1"/>
    <col min="50" max="50" width="10.7109375" style="130" bestFit="1" customWidth="1"/>
    <col min="51" max="51" width="17" bestFit="1" customWidth="1"/>
    <col min="52" max="52" width="21.7109375" bestFit="1" customWidth="1"/>
    <col min="53" max="53" width="58.7109375" bestFit="1" customWidth="1"/>
    <col min="54" max="54" width="116.7109375" bestFit="1" customWidth="1"/>
    <col min="56" max="56" width="10.42578125" bestFit="1" customWidth="1"/>
    <col min="57" max="57" width="27.42578125" customWidth="1"/>
    <col min="58" max="58" width="3" bestFit="1" customWidth="1"/>
    <col min="59" max="59" width="4" bestFit="1" customWidth="1"/>
    <col min="60" max="60" width="4" style="98" bestFit="1" customWidth="1"/>
    <col min="61" max="61" width="3" bestFit="1" customWidth="1"/>
    <col min="62" max="62" width="10" bestFit="1" customWidth="1"/>
    <col min="63" max="63" width="7.7109375" bestFit="1" customWidth="1"/>
    <col min="64" max="80" width="3" bestFit="1" customWidth="1"/>
  </cols>
  <sheetData>
    <row r="1" spans="1:80" s="202" customFormat="1">
      <c r="A1" s="202" t="s">
        <v>894</v>
      </c>
      <c r="G1" s="203"/>
      <c r="I1" s="204" t="s">
        <v>636</v>
      </c>
      <c r="J1" s="203"/>
      <c r="P1" s="205"/>
      <c r="R1" s="206"/>
      <c r="S1" s="203"/>
      <c r="AX1" s="203"/>
      <c r="BA1" s="202" t="s">
        <v>634</v>
      </c>
      <c r="BH1" s="207"/>
    </row>
    <row r="2" spans="1:80" s="202" customFormat="1">
      <c r="G2" s="203"/>
      <c r="I2" s="204"/>
      <c r="J2" s="208" t="s">
        <v>854</v>
      </c>
      <c r="K2" s="209" t="s">
        <v>855</v>
      </c>
      <c r="L2" s="209" t="s">
        <v>856</v>
      </c>
      <c r="M2" s="209" t="s">
        <v>857</v>
      </c>
      <c r="P2" s="205"/>
      <c r="R2" s="206"/>
      <c r="S2" s="203"/>
      <c r="AX2" s="203"/>
      <c r="BA2" s="210">
        <f ca="1">AVERAGE(BA6:BA42)</f>
        <v>655.97572072820469</v>
      </c>
      <c r="BH2" s="207"/>
    </row>
    <row r="3" spans="1:80" s="211" customFormat="1">
      <c r="C3" s="211" t="s">
        <v>118</v>
      </c>
      <c r="D3" s="211" t="s">
        <v>119</v>
      </c>
      <c r="E3" s="211" t="s">
        <v>637</v>
      </c>
      <c r="F3" s="211" t="s">
        <v>638</v>
      </c>
      <c r="G3" s="212"/>
      <c r="I3" s="213">
        <v>180</v>
      </c>
      <c r="J3" s="214">
        <v>295</v>
      </c>
      <c r="K3" s="215">
        <v>185</v>
      </c>
      <c r="L3" s="215">
        <v>295</v>
      </c>
      <c r="M3" s="215">
        <v>135</v>
      </c>
      <c r="N3" s="216">
        <v>0</v>
      </c>
      <c r="O3" s="216">
        <v>0</v>
      </c>
      <c r="P3" s="212"/>
      <c r="R3" s="217">
        <v>950</v>
      </c>
      <c r="S3" s="218">
        <v>0</v>
      </c>
      <c r="T3" s="217">
        <v>0</v>
      </c>
      <c r="U3" s="217">
        <v>0</v>
      </c>
      <c r="V3" s="217">
        <v>950</v>
      </c>
      <c r="W3" s="217">
        <v>950</v>
      </c>
      <c r="X3" s="217"/>
      <c r="Y3" s="217">
        <v>360</v>
      </c>
      <c r="Z3" s="217">
        <v>420</v>
      </c>
      <c r="AA3" s="217">
        <v>0</v>
      </c>
      <c r="AB3" s="217">
        <v>0</v>
      </c>
      <c r="AC3" s="217"/>
      <c r="AD3" s="217"/>
      <c r="AF3" s="348">
        <v>121</v>
      </c>
      <c r="AG3" s="348">
        <v>130</v>
      </c>
      <c r="AH3" s="219">
        <v>32</v>
      </c>
      <c r="AI3" s="219">
        <v>44</v>
      </c>
      <c r="AJ3" s="219">
        <v>22</v>
      </c>
      <c r="AK3" s="349">
        <v>50</v>
      </c>
      <c r="AL3" s="349">
        <v>200</v>
      </c>
      <c r="AM3" s="219">
        <v>146</v>
      </c>
      <c r="AN3" s="219">
        <v>925</v>
      </c>
      <c r="AO3" s="219">
        <v>600</v>
      </c>
      <c r="AP3" s="219">
        <v>28.5</v>
      </c>
      <c r="AQ3" s="219">
        <v>78</v>
      </c>
      <c r="AR3" s="219">
        <v>650</v>
      </c>
      <c r="AS3" s="219">
        <v>187</v>
      </c>
      <c r="AT3" s="219">
        <v>2350</v>
      </c>
      <c r="AU3" s="219">
        <v>18</v>
      </c>
      <c r="AV3" s="219"/>
      <c r="AX3" s="212"/>
      <c r="BH3" s="207"/>
    </row>
    <row r="4" spans="1:80" s="211" customFormat="1" ht="60">
      <c r="B4" s="211" t="s">
        <v>125</v>
      </c>
      <c r="C4" s="211" t="s">
        <v>127</v>
      </c>
      <c r="D4" s="211" t="s">
        <v>127</v>
      </c>
      <c r="E4" s="211" t="s">
        <v>127</v>
      </c>
      <c r="F4" s="211" t="s">
        <v>127</v>
      </c>
      <c r="G4" s="220" t="s">
        <v>199</v>
      </c>
      <c r="H4" s="221" t="s">
        <v>129</v>
      </c>
      <c r="I4" s="211" t="s">
        <v>130</v>
      </c>
      <c r="J4" s="212" t="s">
        <v>858</v>
      </c>
      <c r="K4" s="211" t="s">
        <v>859</v>
      </c>
      <c r="L4" s="211" t="s">
        <v>860</v>
      </c>
      <c r="M4" s="211" t="s">
        <v>861</v>
      </c>
      <c r="P4" s="220" t="s">
        <v>646</v>
      </c>
      <c r="Q4" s="221" t="s">
        <v>146</v>
      </c>
      <c r="R4" s="221" t="s">
        <v>153</v>
      </c>
      <c r="S4" s="220" t="s">
        <v>647</v>
      </c>
      <c r="T4" s="221" t="s">
        <v>648</v>
      </c>
      <c r="U4" s="221" t="s">
        <v>649</v>
      </c>
      <c r="V4" s="221" t="s">
        <v>862</v>
      </c>
      <c r="W4" s="221" t="s">
        <v>863</v>
      </c>
      <c r="X4" s="221" t="s">
        <v>202</v>
      </c>
      <c r="Y4" s="211" t="s">
        <v>652</v>
      </c>
      <c r="Z4" s="211" t="s">
        <v>157</v>
      </c>
      <c r="AA4" s="211" t="s">
        <v>653</v>
      </c>
      <c r="AB4" s="211" t="s">
        <v>160</v>
      </c>
      <c r="AC4" s="211" t="s">
        <v>895</v>
      </c>
      <c r="AD4" s="211" t="s">
        <v>654</v>
      </c>
      <c r="AE4" s="211" t="s">
        <v>658</v>
      </c>
      <c r="AF4" s="211" t="s">
        <v>896</v>
      </c>
      <c r="AG4" s="211" t="s">
        <v>897</v>
      </c>
      <c r="AH4" s="202" t="s">
        <v>865</v>
      </c>
      <c r="AI4" s="202" t="s">
        <v>866</v>
      </c>
      <c r="AJ4" s="202" t="s">
        <v>898</v>
      </c>
      <c r="AK4" s="202" t="s">
        <v>867</v>
      </c>
      <c r="AL4" s="202" t="s">
        <v>868</v>
      </c>
      <c r="AM4" s="202" t="s">
        <v>899</v>
      </c>
      <c r="AN4" s="202" t="s">
        <v>869</v>
      </c>
      <c r="AO4" s="202" t="s">
        <v>870</v>
      </c>
      <c r="AP4" s="202" t="s">
        <v>871</v>
      </c>
      <c r="AQ4" s="202" t="s">
        <v>872</v>
      </c>
      <c r="AR4" s="202" t="s">
        <v>873</v>
      </c>
      <c r="AS4" s="202" t="s">
        <v>874</v>
      </c>
      <c r="AT4" s="202" t="s">
        <v>900</v>
      </c>
      <c r="AU4" s="202" t="s">
        <v>901</v>
      </c>
      <c r="AV4" s="202" t="s">
        <v>902</v>
      </c>
      <c r="AW4" s="211" t="s">
        <v>327</v>
      </c>
      <c r="AX4" s="212" t="s">
        <v>165</v>
      </c>
      <c r="AY4" s="211" t="s">
        <v>167</v>
      </c>
      <c r="AZ4" s="211" t="s">
        <v>204</v>
      </c>
      <c r="BA4" s="211" t="s">
        <v>329</v>
      </c>
      <c r="BB4" s="211" t="s">
        <v>660</v>
      </c>
      <c r="BD4" s="211" t="s">
        <v>202</v>
      </c>
      <c r="BH4" s="207"/>
    </row>
    <row r="5" spans="1:80" hidden="1">
      <c r="A5" t="s">
        <v>10</v>
      </c>
      <c r="B5">
        <v>1</v>
      </c>
      <c r="C5">
        <v>2</v>
      </c>
      <c r="D5">
        <v>3</v>
      </c>
      <c r="E5">
        <v>4</v>
      </c>
      <c r="F5">
        <v>5</v>
      </c>
      <c r="G5" s="130">
        <v>6</v>
      </c>
      <c r="H5">
        <v>7</v>
      </c>
      <c r="I5">
        <v>8</v>
      </c>
      <c r="J5" s="130">
        <v>9</v>
      </c>
      <c r="K5">
        <v>10</v>
      </c>
      <c r="L5">
        <v>10</v>
      </c>
      <c r="M5">
        <v>12</v>
      </c>
      <c r="N5">
        <v>12</v>
      </c>
      <c r="O5">
        <v>14</v>
      </c>
      <c r="P5" s="130">
        <v>15</v>
      </c>
      <c r="Q5">
        <v>16</v>
      </c>
      <c r="R5">
        <v>17</v>
      </c>
      <c r="S5" s="130">
        <v>19</v>
      </c>
      <c r="T5">
        <v>20</v>
      </c>
      <c r="U5">
        <v>21</v>
      </c>
      <c r="V5">
        <v>22</v>
      </c>
      <c r="W5">
        <v>23</v>
      </c>
      <c r="Y5">
        <v>24</v>
      </c>
      <c r="Z5">
        <v>25</v>
      </c>
      <c r="AE5">
        <v>26</v>
      </c>
      <c r="AW5">
        <v>27</v>
      </c>
      <c r="AX5" s="130">
        <v>28</v>
      </c>
      <c r="AY5">
        <v>29</v>
      </c>
      <c r="AZ5">
        <v>30</v>
      </c>
      <c r="BA5">
        <v>31</v>
      </c>
      <c r="BD5">
        <v>33</v>
      </c>
      <c r="BF5">
        <v>35</v>
      </c>
      <c r="BG5">
        <v>36</v>
      </c>
      <c r="BH5" s="98">
        <v>37</v>
      </c>
      <c r="BI5">
        <v>38</v>
      </c>
      <c r="BJ5">
        <v>39</v>
      </c>
      <c r="BK5">
        <v>40</v>
      </c>
      <c r="BL5">
        <v>41</v>
      </c>
      <c r="BM5">
        <v>42</v>
      </c>
      <c r="BN5">
        <v>43</v>
      </c>
      <c r="BO5">
        <v>44</v>
      </c>
      <c r="BP5">
        <v>45</v>
      </c>
      <c r="BQ5">
        <v>46</v>
      </c>
      <c r="BR5">
        <v>47</v>
      </c>
      <c r="BS5">
        <v>48</v>
      </c>
      <c r="BT5">
        <v>49</v>
      </c>
      <c r="BU5">
        <v>50</v>
      </c>
      <c r="BV5">
        <v>51</v>
      </c>
      <c r="BW5">
        <v>52</v>
      </c>
      <c r="BX5">
        <v>53</v>
      </c>
      <c r="BY5">
        <v>54</v>
      </c>
      <c r="BZ5">
        <v>55</v>
      </c>
      <c r="CA5">
        <v>56</v>
      </c>
      <c r="CB5">
        <v>57</v>
      </c>
    </row>
    <row r="6" spans="1:80">
      <c r="B6" s="147">
        <v>45846</v>
      </c>
      <c r="G6" s="130" t="s">
        <v>879</v>
      </c>
      <c r="H6">
        <v>3</v>
      </c>
      <c r="I6">
        <f t="shared" ref="I6:I7" si="0">H6*$I$3</f>
        <v>540</v>
      </c>
      <c r="R6">
        <v>0</v>
      </c>
      <c r="S6" s="130">
        <v>0</v>
      </c>
      <c r="T6">
        <v>0</v>
      </c>
      <c r="U6">
        <v>0</v>
      </c>
      <c r="V6">
        <v>0</v>
      </c>
      <c r="W6">
        <v>10</v>
      </c>
      <c r="Y6">
        <v>0</v>
      </c>
      <c r="Z6">
        <v>0</v>
      </c>
      <c r="AA6">
        <v>2</v>
      </c>
      <c r="AD6">
        <f t="shared" ref="AD6:AD32" si="1">R6+W6+Y6+Z6+AA6+AB6</f>
        <v>12</v>
      </c>
      <c r="AE6" s="11">
        <f>(S6*$S$3)+(T6*$T$3)+(U6*$U$3)+(W6*$W$3)+(Y6*$Y$3)+(Z6*$Z$3)</f>
        <v>9500</v>
      </c>
      <c r="AF6" s="99"/>
      <c r="AG6" s="99"/>
      <c r="AH6" s="99"/>
      <c r="AI6" s="99"/>
      <c r="AJ6" s="99"/>
      <c r="AK6" s="99"/>
      <c r="AL6" s="99"/>
      <c r="AM6" s="99"/>
      <c r="AN6" s="99"/>
      <c r="AO6" s="99"/>
      <c r="AP6" s="99"/>
      <c r="AQ6" s="99"/>
      <c r="AR6" s="99"/>
      <c r="AS6" s="99"/>
      <c r="AT6" s="99"/>
      <c r="AU6" s="99"/>
      <c r="AV6" s="11">
        <v>55000</v>
      </c>
      <c r="AW6" s="2">
        <f t="shared" ref="AW6:AW32" si="2">($AH$3*AH6)+($AI$3*AI6)+($AJ$3*AJ6)+(AK6*$AK$3)+($AL$3*AL6)+($AN$3*AN6)+($AO$3*AO6)+($AP$3*AP6)+($AQ$3*AQ6)+($AR$3*AR6)+($AS$3*AS6)+($AT$3*AT6)+($AU$3*AU6)+AV6</f>
        <v>55000</v>
      </c>
      <c r="AX6" s="142">
        <f t="shared" ref="AX6:AX32" si="3">I6+Q6+AE6+AW6</f>
        <v>65040</v>
      </c>
      <c r="AY6" s="11">
        <f>SUM($AX6:AX$6)</f>
        <v>65040</v>
      </c>
      <c r="AZ6" s="11">
        <f ca="1">IF(B6&lt;TODAY(), SUMIFS($AX6:AX$6, $BK6:BK$6, BK6), "")</f>
        <v>65040</v>
      </c>
      <c r="BA6" s="11" t="str">
        <f t="shared" ref="BA6:BA32" ca="1" si="4">IF(B6&gt;TODAY()-1,"",(IF(P6=0,"No drilling completed today, if maintenance provide context -&gt;",AX6/P6)))</f>
        <v>No drilling completed today, if maintenance provide context -&gt;</v>
      </c>
      <c r="BB6" s="137" t="s">
        <v>903</v>
      </c>
      <c r="BF6" t="str">
        <f t="shared" ref="BF6:BF32" si="5">RIGHT(YEAR(B6),2)</f>
        <v>25</v>
      </c>
      <c r="BG6" t="str">
        <f t="shared" ref="BG6:BG32" si="6">_xlfn.TEXTJOIN(,TRUE,"0",MONTH(B6))</f>
        <v>07</v>
      </c>
      <c r="BH6" s="98">
        <f t="shared" ref="BH6:BH14" si="7">DAY(B6)</f>
        <v>8</v>
      </c>
      <c r="BI6" t="str">
        <f t="shared" ref="BI6:BI32" si="8">LEFT(B6,1)</f>
        <v>4</v>
      </c>
      <c r="BJ6" t="str">
        <f t="shared" ref="BJ6:BJ7" si="9">CONCATENATE(BE6,"-",BF6,BG6,BH6,"D")</f>
        <v>-25078D</v>
      </c>
      <c r="BK6" t="str">
        <f t="shared" ref="BK6:BK32" si="10">TEXT(B6, "yyyy-mm")</f>
        <v>2025-07</v>
      </c>
    </row>
    <row r="7" spans="1:80">
      <c r="B7" s="147">
        <v>45847</v>
      </c>
      <c r="G7" s="130" t="s">
        <v>879</v>
      </c>
      <c r="H7">
        <v>3</v>
      </c>
      <c r="I7">
        <f t="shared" si="0"/>
        <v>540</v>
      </c>
      <c r="R7">
        <v>0</v>
      </c>
      <c r="S7" s="130">
        <v>0</v>
      </c>
      <c r="T7">
        <v>0</v>
      </c>
      <c r="U7">
        <v>0</v>
      </c>
      <c r="V7">
        <v>0</v>
      </c>
      <c r="W7">
        <v>10</v>
      </c>
      <c r="Y7">
        <v>0</v>
      </c>
      <c r="Z7">
        <v>0</v>
      </c>
      <c r="AA7">
        <v>2</v>
      </c>
      <c r="AD7">
        <f t="shared" si="1"/>
        <v>12</v>
      </c>
      <c r="AE7" s="11">
        <f>(S7*$S$3)+(T7*$T$3)+(U7*$U$3)+(W7*$W$3)+(Y7*$Y$3)+(Z7*$Z$3)</f>
        <v>9500</v>
      </c>
      <c r="AF7" s="99"/>
      <c r="AG7" s="99"/>
      <c r="AH7" s="99"/>
      <c r="AI7" s="99"/>
      <c r="AJ7" s="99"/>
      <c r="AK7" s="99"/>
      <c r="AL7" s="99"/>
      <c r="AM7" s="99"/>
      <c r="AN7" s="99"/>
      <c r="AO7" s="99"/>
      <c r="AP7" s="99"/>
      <c r="AQ7" s="99"/>
      <c r="AR7" s="99"/>
      <c r="AS7" s="99"/>
      <c r="AT7" s="99"/>
      <c r="AU7" s="99"/>
      <c r="AV7" s="11"/>
      <c r="AW7" s="2">
        <f t="shared" si="2"/>
        <v>0</v>
      </c>
      <c r="AX7" s="142">
        <f t="shared" si="3"/>
        <v>10040</v>
      </c>
      <c r="AY7" s="11">
        <f>SUM($AX6:AX$7)</f>
        <v>75080</v>
      </c>
      <c r="AZ7" s="11">
        <f ca="1">IF(B7&lt;TODAY(), SUMIFS($AX$6:AX7, $BK$6:BK7, BK7), "")</f>
        <v>75080</v>
      </c>
      <c r="BA7" s="11" t="str">
        <f t="shared" ca="1" si="4"/>
        <v>No drilling completed today, if maintenance provide context -&gt;</v>
      </c>
      <c r="BB7" s="137" t="s">
        <v>903</v>
      </c>
      <c r="BF7" t="str">
        <f t="shared" si="5"/>
        <v>25</v>
      </c>
      <c r="BG7" t="str">
        <f t="shared" si="6"/>
        <v>07</v>
      </c>
      <c r="BH7" s="98">
        <f t="shared" si="7"/>
        <v>9</v>
      </c>
      <c r="BI7" t="str">
        <f t="shared" si="8"/>
        <v>4</v>
      </c>
      <c r="BJ7" t="str">
        <f t="shared" si="9"/>
        <v>-25079D</v>
      </c>
      <c r="BK7" t="str">
        <f t="shared" si="10"/>
        <v>2025-07</v>
      </c>
    </row>
    <row r="8" spans="1:80">
      <c r="B8" s="1">
        <v>45848</v>
      </c>
      <c r="C8" t="s">
        <v>904</v>
      </c>
      <c r="G8" s="130" t="s">
        <v>879</v>
      </c>
      <c r="H8">
        <v>3</v>
      </c>
      <c r="I8">
        <f>H8*$I$3</f>
        <v>540</v>
      </c>
      <c r="L8">
        <v>6</v>
      </c>
      <c r="M8">
        <f>72-6</f>
        <v>66</v>
      </c>
      <c r="P8" s="130">
        <f>J8+K8+L8+M8+N8+O8</f>
        <v>72</v>
      </c>
      <c r="Q8" s="17">
        <f>(J8*$J$3)+(K8*$K$3)+(L8*$L$3)+(M8*$M$3)+(N8*$N$3)+(O8*$O$3)</f>
        <v>10680</v>
      </c>
      <c r="R8">
        <v>6</v>
      </c>
      <c r="S8" s="130">
        <v>0</v>
      </c>
      <c r="T8">
        <v>0</v>
      </c>
      <c r="U8">
        <v>0</v>
      </c>
      <c r="V8">
        <v>0</v>
      </c>
      <c r="W8">
        <v>0</v>
      </c>
      <c r="Y8">
        <v>0</v>
      </c>
      <c r="Z8">
        <v>0</v>
      </c>
      <c r="AA8">
        <v>6</v>
      </c>
      <c r="AD8">
        <f t="shared" si="1"/>
        <v>12</v>
      </c>
      <c r="AE8" s="11">
        <f t="shared" ref="AE8:AE42" si="11">(S8*$S$3)+(T8*$T$3)+(U8*$U$3)+(W8*$W$3)+(Y8*$Y$3)+(Z8*$Z$3)+(V8*$V$3)</f>
        <v>0</v>
      </c>
      <c r="AF8" s="99"/>
      <c r="AG8" s="99"/>
      <c r="AH8">
        <v>21</v>
      </c>
      <c r="AI8">
        <v>84</v>
      </c>
      <c r="AJ8">
        <v>1</v>
      </c>
      <c r="AK8" s="99"/>
      <c r="AL8" s="99"/>
      <c r="AM8" s="99"/>
      <c r="AN8" s="99"/>
      <c r="AO8" s="99"/>
      <c r="AP8" s="99"/>
      <c r="AQ8" s="99"/>
      <c r="AR8" s="99">
        <v>1</v>
      </c>
      <c r="AS8" s="99"/>
      <c r="AT8" s="99">
        <v>1</v>
      </c>
      <c r="AU8" s="99">
        <v>105</v>
      </c>
      <c r="AV8" s="11"/>
      <c r="AW8" s="2">
        <f t="shared" si="2"/>
        <v>9280</v>
      </c>
      <c r="AX8" s="142">
        <f t="shared" si="3"/>
        <v>20500</v>
      </c>
      <c r="AY8" s="11">
        <f>SUM($AX$6:AX8)</f>
        <v>95580</v>
      </c>
      <c r="AZ8" s="11">
        <f ca="1">IF(B8&lt;TODAY(), SUMIFS($AX$6:AX8, $BK$6:BK8, BK8), "")</f>
        <v>95580</v>
      </c>
      <c r="BA8" s="11">
        <f t="shared" ca="1" si="4"/>
        <v>284.72222222222223</v>
      </c>
      <c r="BB8" s="11"/>
      <c r="BC8" s="15"/>
      <c r="BE8" s="14"/>
      <c r="BF8" t="str">
        <f t="shared" si="5"/>
        <v>25</v>
      </c>
      <c r="BG8" t="str">
        <f t="shared" si="6"/>
        <v>07</v>
      </c>
      <c r="BH8" s="98">
        <f t="shared" si="7"/>
        <v>10</v>
      </c>
      <c r="BI8" t="str">
        <f t="shared" si="8"/>
        <v>4</v>
      </c>
      <c r="BJ8" t="str">
        <f>CONCATENATE(BE8,"-",BF8,BG8,BH8,"D")</f>
        <v>-250710D</v>
      </c>
      <c r="BK8" t="str">
        <f t="shared" si="10"/>
        <v>2025-07</v>
      </c>
    </row>
    <row r="9" spans="1:80">
      <c r="B9" s="1">
        <v>45849</v>
      </c>
      <c r="C9" t="s">
        <v>904</v>
      </c>
      <c r="G9" s="130" t="s">
        <v>879</v>
      </c>
      <c r="H9">
        <v>3</v>
      </c>
      <c r="I9">
        <f t="shared" ref="I9:I26" si="12">H9*$I$3</f>
        <v>540</v>
      </c>
      <c r="M9">
        <v>36</v>
      </c>
      <c r="P9" s="130">
        <f>J9+K9+L9+M9+N9+O9</f>
        <v>36</v>
      </c>
      <c r="Q9" s="17">
        <f t="shared" ref="Q9:Q73" si="13">(J9*$J$3)+(K9*$K$3)+(L9*$L$3)+(M9*$M$3)+(N9*$N$3)+(O9*$O$3)</f>
        <v>4860</v>
      </c>
      <c r="R9">
        <v>4</v>
      </c>
      <c r="S9" s="130">
        <v>0</v>
      </c>
      <c r="T9">
        <v>0</v>
      </c>
      <c r="U9">
        <v>0</v>
      </c>
      <c r="V9">
        <v>0</v>
      </c>
      <c r="W9">
        <v>0</v>
      </c>
      <c r="Y9">
        <v>0</v>
      </c>
      <c r="Z9">
        <v>3.5</v>
      </c>
      <c r="AA9">
        <v>4.5</v>
      </c>
      <c r="AD9">
        <f t="shared" si="1"/>
        <v>12</v>
      </c>
      <c r="AE9" s="11">
        <f t="shared" si="11"/>
        <v>1470</v>
      </c>
      <c r="AF9" s="99"/>
      <c r="AG9" s="99"/>
      <c r="AK9" s="99"/>
      <c r="AL9" s="99"/>
      <c r="AM9" s="99"/>
      <c r="AN9" s="99"/>
      <c r="AO9" s="99"/>
      <c r="AP9" s="99"/>
      <c r="AQ9" s="99"/>
      <c r="AR9" s="99"/>
      <c r="AS9" s="99"/>
      <c r="AT9" s="99"/>
      <c r="AU9" s="99"/>
      <c r="AV9" s="11"/>
      <c r="AW9" s="2">
        <f t="shared" si="2"/>
        <v>0</v>
      </c>
      <c r="AX9" s="142">
        <f t="shared" si="3"/>
        <v>6870</v>
      </c>
      <c r="AY9" s="11">
        <f>SUM($AX$6:AX9)</f>
        <v>102450</v>
      </c>
      <c r="AZ9" s="11">
        <f ca="1">IF(B9&lt;TODAY(), SUMIFS($AX$6:AX9, $BK$6:BK9, BK9), "")</f>
        <v>102450</v>
      </c>
      <c r="BA9" s="11">
        <f t="shared" ca="1" si="4"/>
        <v>190.83333333333334</v>
      </c>
      <c r="BB9" s="11" t="s">
        <v>905</v>
      </c>
      <c r="BC9" s="15"/>
      <c r="BE9" s="14"/>
      <c r="BF9" t="str">
        <f t="shared" si="5"/>
        <v>25</v>
      </c>
      <c r="BG9" t="str">
        <f t="shared" si="6"/>
        <v>07</v>
      </c>
      <c r="BH9" s="98">
        <f t="shared" si="7"/>
        <v>11</v>
      </c>
      <c r="BI9" t="str">
        <f t="shared" si="8"/>
        <v>4</v>
      </c>
      <c r="BJ9" t="str">
        <f t="shared" ref="BJ9:BJ73" si="14">CONCATENATE(BE9,"-",BF9,BG9,BH9,"D")</f>
        <v>-250711D</v>
      </c>
      <c r="BK9" t="str">
        <f t="shared" si="10"/>
        <v>2025-07</v>
      </c>
    </row>
    <row r="10" spans="1:80">
      <c r="B10" s="1">
        <v>45850</v>
      </c>
      <c r="C10" t="s">
        <v>906</v>
      </c>
      <c r="G10" s="130" t="s">
        <v>879</v>
      </c>
      <c r="H10">
        <v>3</v>
      </c>
      <c r="I10">
        <f t="shared" si="12"/>
        <v>540</v>
      </c>
      <c r="L10">
        <v>6</v>
      </c>
      <c r="P10" s="130">
        <f>J10+K10+L10+M10+N10+O10</f>
        <v>6</v>
      </c>
      <c r="Q10" s="17">
        <f t="shared" si="13"/>
        <v>1770</v>
      </c>
      <c r="R10">
        <v>0</v>
      </c>
      <c r="S10" s="130">
        <v>0</v>
      </c>
      <c r="T10">
        <v>0</v>
      </c>
      <c r="U10">
        <v>0</v>
      </c>
      <c r="V10">
        <v>0</v>
      </c>
      <c r="W10">
        <v>0</v>
      </c>
      <c r="Y10">
        <v>0</v>
      </c>
      <c r="Z10">
        <v>4</v>
      </c>
      <c r="AA10">
        <v>8</v>
      </c>
      <c r="AD10">
        <f t="shared" si="1"/>
        <v>12</v>
      </c>
      <c r="AE10" s="11">
        <f t="shared" si="11"/>
        <v>1680</v>
      </c>
      <c r="AF10" s="99"/>
      <c r="AG10" s="99"/>
      <c r="AH10">
        <v>36</v>
      </c>
      <c r="AI10">
        <v>84</v>
      </c>
      <c r="AJ10">
        <v>1</v>
      </c>
      <c r="AK10" s="99"/>
      <c r="AL10" s="99"/>
      <c r="AM10" s="99">
        <v>6</v>
      </c>
      <c r="AN10" s="99"/>
      <c r="AO10" s="99"/>
      <c r="AP10" s="99"/>
      <c r="AQ10" s="99">
        <v>10</v>
      </c>
      <c r="AR10" s="99">
        <v>1</v>
      </c>
      <c r="AS10" s="99"/>
      <c r="AT10" s="99">
        <v>1</v>
      </c>
      <c r="AU10" s="99">
        <v>120</v>
      </c>
      <c r="AV10" s="11"/>
      <c r="AW10" s="2">
        <f t="shared" si="2"/>
        <v>10810</v>
      </c>
      <c r="AX10" s="142">
        <f t="shared" si="3"/>
        <v>14800</v>
      </c>
      <c r="AY10" s="11">
        <f>SUM($AX$6:AX10)</f>
        <v>117250</v>
      </c>
      <c r="AZ10" s="11">
        <f ca="1">IF(B10&lt;TODAY(), SUMIFS($AX$6:AX10, $BK$6:BK10, BK10), "")</f>
        <v>117250</v>
      </c>
      <c r="BA10" s="11">
        <f t="shared" ca="1" si="4"/>
        <v>2466.6666666666665</v>
      </c>
      <c r="BB10" s="11"/>
      <c r="BC10" s="15"/>
      <c r="BE10" s="14"/>
      <c r="BF10" t="str">
        <f t="shared" si="5"/>
        <v>25</v>
      </c>
      <c r="BG10" t="str">
        <f t="shared" si="6"/>
        <v>07</v>
      </c>
      <c r="BH10" s="98">
        <f t="shared" si="7"/>
        <v>12</v>
      </c>
      <c r="BI10" t="str">
        <f t="shared" si="8"/>
        <v>4</v>
      </c>
      <c r="BJ10" t="str">
        <f t="shared" si="14"/>
        <v>-250712D</v>
      </c>
      <c r="BK10" t="str">
        <f t="shared" si="10"/>
        <v>2025-07</v>
      </c>
    </row>
    <row r="11" spans="1:80">
      <c r="B11" s="1">
        <v>45851</v>
      </c>
      <c r="C11" t="s">
        <v>906</v>
      </c>
      <c r="G11" s="130" t="s">
        <v>879</v>
      </c>
      <c r="H11">
        <v>4</v>
      </c>
      <c r="I11">
        <f t="shared" si="12"/>
        <v>720</v>
      </c>
      <c r="M11">
        <f>96-6</f>
        <v>90</v>
      </c>
      <c r="P11" s="130">
        <f t="shared" ref="P11:P75" si="15">J11+K11+L11+M11+N11+O11</f>
        <v>90</v>
      </c>
      <c r="Q11" s="17">
        <f t="shared" si="13"/>
        <v>12150</v>
      </c>
      <c r="R11">
        <v>7.75</v>
      </c>
      <c r="S11" s="130">
        <v>0</v>
      </c>
      <c r="T11">
        <v>0</v>
      </c>
      <c r="U11">
        <v>0</v>
      </c>
      <c r="V11">
        <v>0</v>
      </c>
      <c r="W11">
        <v>2</v>
      </c>
      <c r="Y11">
        <v>0</v>
      </c>
      <c r="Z11">
        <v>0</v>
      </c>
      <c r="AA11">
        <v>2.25</v>
      </c>
      <c r="AD11">
        <f t="shared" si="1"/>
        <v>12</v>
      </c>
      <c r="AE11" s="11">
        <f t="shared" si="11"/>
        <v>1900</v>
      </c>
      <c r="AN11" s="99"/>
      <c r="AO11" s="99"/>
      <c r="AP11" s="99"/>
      <c r="AQ11" s="99"/>
      <c r="AR11" s="99"/>
      <c r="AS11" s="99"/>
      <c r="AT11" s="99"/>
      <c r="AU11" s="99"/>
      <c r="AV11" s="11"/>
      <c r="AW11" s="2">
        <f t="shared" si="2"/>
        <v>0</v>
      </c>
      <c r="AX11" s="142">
        <f t="shared" si="3"/>
        <v>14770</v>
      </c>
      <c r="AY11" s="11">
        <f>SUM($AX$6:AX11)</f>
        <v>132020</v>
      </c>
      <c r="AZ11" s="11">
        <f ca="1">IF(B11&lt;TODAY(), SUMIFS($AX$6:AX11, $BK$6:BK11, BK11), "")</f>
        <v>132020</v>
      </c>
      <c r="BA11" s="11">
        <f t="shared" ca="1" si="4"/>
        <v>164.11111111111111</v>
      </c>
      <c r="BB11" s="11"/>
      <c r="BC11" s="15"/>
      <c r="BE11" s="14"/>
      <c r="BF11" t="str">
        <f t="shared" si="5"/>
        <v>25</v>
      </c>
      <c r="BG11" t="str">
        <f t="shared" si="6"/>
        <v>07</v>
      </c>
      <c r="BH11" s="98">
        <f t="shared" si="7"/>
        <v>13</v>
      </c>
      <c r="BI11" t="str">
        <f t="shared" si="8"/>
        <v>4</v>
      </c>
      <c r="BJ11" t="str">
        <f t="shared" si="14"/>
        <v>-250713D</v>
      </c>
      <c r="BK11" t="str">
        <f t="shared" si="10"/>
        <v>2025-07</v>
      </c>
    </row>
    <row r="12" spans="1:80">
      <c r="B12" s="1">
        <v>45852</v>
      </c>
      <c r="C12" t="s">
        <v>907</v>
      </c>
      <c r="G12" s="130" t="s">
        <v>879</v>
      </c>
      <c r="H12">
        <v>4</v>
      </c>
      <c r="I12">
        <f t="shared" si="12"/>
        <v>720</v>
      </c>
      <c r="L12">
        <v>6</v>
      </c>
      <c r="M12">
        <f>120-96</f>
        <v>24</v>
      </c>
      <c r="P12" s="130">
        <f t="shared" si="15"/>
        <v>30</v>
      </c>
      <c r="Q12" s="17">
        <f t="shared" si="13"/>
        <v>5010</v>
      </c>
      <c r="R12">
        <v>4.5</v>
      </c>
      <c r="S12" s="130">
        <v>0</v>
      </c>
      <c r="T12">
        <v>0</v>
      </c>
      <c r="U12">
        <v>0</v>
      </c>
      <c r="V12">
        <v>0</v>
      </c>
      <c r="W12">
        <v>0</v>
      </c>
      <c r="Y12">
        <v>0</v>
      </c>
      <c r="Z12">
        <v>0</v>
      </c>
      <c r="AA12">
        <v>7.5</v>
      </c>
      <c r="AD12">
        <f t="shared" si="1"/>
        <v>12</v>
      </c>
      <c r="AE12" s="11">
        <f t="shared" si="11"/>
        <v>0</v>
      </c>
      <c r="AH12">
        <v>36</v>
      </c>
      <c r="AI12">
        <v>66</v>
      </c>
      <c r="AJ12">
        <v>1</v>
      </c>
      <c r="AM12">
        <v>6</v>
      </c>
      <c r="AN12" s="99"/>
      <c r="AO12" s="99"/>
      <c r="AP12" s="99"/>
      <c r="AQ12" s="99">
        <v>11</v>
      </c>
      <c r="AR12" s="99">
        <v>1</v>
      </c>
      <c r="AS12" s="99"/>
      <c r="AT12" s="99">
        <v>1</v>
      </c>
      <c r="AU12" s="99">
        <v>101</v>
      </c>
      <c r="AV12" s="11"/>
      <c r="AW12" s="2">
        <f t="shared" si="2"/>
        <v>9754</v>
      </c>
      <c r="AX12" s="142">
        <f t="shared" si="3"/>
        <v>15484</v>
      </c>
      <c r="AY12" s="11">
        <f>SUM($AX$6:AX12)</f>
        <v>147504</v>
      </c>
      <c r="AZ12" s="11">
        <f ca="1">IF(B12&lt;TODAY(), SUMIFS($AX$6:AX12, $BK$6:BK12, BK12), "")</f>
        <v>147504</v>
      </c>
      <c r="BA12" s="11">
        <f t="shared" ca="1" si="4"/>
        <v>516.13333333333333</v>
      </c>
      <c r="BB12" s="11"/>
      <c r="BC12" s="15"/>
      <c r="BE12" s="14"/>
      <c r="BF12" t="str">
        <f t="shared" si="5"/>
        <v>25</v>
      </c>
      <c r="BG12" t="str">
        <f t="shared" si="6"/>
        <v>07</v>
      </c>
      <c r="BH12" s="98">
        <f t="shared" si="7"/>
        <v>14</v>
      </c>
      <c r="BI12" t="str">
        <f t="shared" si="8"/>
        <v>4</v>
      </c>
      <c r="BJ12" t="str">
        <f t="shared" si="14"/>
        <v>-250714D</v>
      </c>
      <c r="BK12" t="str">
        <f t="shared" si="10"/>
        <v>2025-07</v>
      </c>
    </row>
    <row r="13" spans="1:80">
      <c r="B13" s="1">
        <v>45853</v>
      </c>
      <c r="C13" t="s">
        <v>908</v>
      </c>
      <c r="G13" s="130" t="s">
        <v>879</v>
      </c>
      <c r="H13">
        <v>4</v>
      </c>
      <c r="I13">
        <f t="shared" si="12"/>
        <v>720</v>
      </c>
      <c r="M13">
        <v>125</v>
      </c>
      <c r="P13" s="130">
        <f t="shared" si="15"/>
        <v>125</v>
      </c>
      <c r="Q13" s="17">
        <f t="shared" si="13"/>
        <v>16875</v>
      </c>
      <c r="R13">
        <v>7.5</v>
      </c>
      <c r="S13" s="130">
        <v>0</v>
      </c>
      <c r="T13">
        <v>0</v>
      </c>
      <c r="U13">
        <v>0</v>
      </c>
      <c r="V13">
        <v>0</v>
      </c>
      <c r="W13">
        <v>0</v>
      </c>
      <c r="Y13">
        <v>0</v>
      </c>
      <c r="Z13">
        <v>0</v>
      </c>
      <c r="AA13">
        <v>4.5</v>
      </c>
      <c r="AD13">
        <f t="shared" si="1"/>
        <v>12</v>
      </c>
      <c r="AE13" s="11">
        <f t="shared" si="11"/>
        <v>0</v>
      </c>
      <c r="AH13">
        <v>12</v>
      </c>
      <c r="AI13">
        <v>18</v>
      </c>
      <c r="AJ13">
        <v>1</v>
      </c>
      <c r="AN13" s="99"/>
      <c r="AO13" s="99"/>
      <c r="AP13" s="99"/>
      <c r="AQ13" s="99">
        <v>2</v>
      </c>
      <c r="AR13" s="99">
        <v>1</v>
      </c>
      <c r="AS13" s="99"/>
      <c r="AT13" s="99">
        <v>1</v>
      </c>
      <c r="AU13" s="99">
        <v>30</v>
      </c>
      <c r="AV13" s="11"/>
      <c r="AW13" s="2">
        <f t="shared" si="2"/>
        <v>4894</v>
      </c>
      <c r="AX13" s="142">
        <f t="shared" si="3"/>
        <v>22489</v>
      </c>
      <c r="AY13" s="136">
        <f>SUM($AX$6:AX13)</f>
        <v>169993</v>
      </c>
      <c r="AZ13" s="11">
        <f ca="1">IF(B13&lt;TODAY(), SUMIFS($AX$6:AX13, $BK$6:BK13, BK13), "")</f>
        <v>169993</v>
      </c>
      <c r="BA13" s="11">
        <f t="shared" ca="1" si="4"/>
        <v>179.91200000000001</v>
      </c>
      <c r="BB13" s="11"/>
      <c r="BC13" s="124"/>
      <c r="BE13" s="125"/>
      <c r="BF13" t="str">
        <f t="shared" si="5"/>
        <v>25</v>
      </c>
      <c r="BG13" t="str">
        <f t="shared" si="6"/>
        <v>07</v>
      </c>
      <c r="BH13" s="98">
        <f t="shared" si="7"/>
        <v>15</v>
      </c>
      <c r="BI13" t="str">
        <f t="shared" si="8"/>
        <v>4</v>
      </c>
      <c r="BJ13" t="str">
        <f t="shared" si="14"/>
        <v>-250715D</v>
      </c>
      <c r="BK13" t="str">
        <f t="shared" si="10"/>
        <v>2025-07</v>
      </c>
    </row>
    <row r="14" spans="1:80">
      <c r="A14" s="130"/>
      <c r="B14" s="1">
        <v>45854</v>
      </c>
      <c r="C14" t="s">
        <v>909</v>
      </c>
      <c r="D14" t="s">
        <v>910</v>
      </c>
      <c r="G14" s="130" t="s">
        <v>879</v>
      </c>
      <c r="H14">
        <v>4</v>
      </c>
      <c r="I14">
        <f t="shared" si="12"/>
        <v>720</v>
      </c>
      <c r="L14">
        <v>6</v>
      </c>
      <c r="M14">
        <v>90</v>
      </c>
      <c r="P14" s="130">
        <f t="shared" si="15"/>
        <v>96</v>
      </c>
      <c r="Q14" s="17">
        <f t="shared" si="13"/>
        <v>13920</v>
      </c>
      <c r="R14">
        <v>5.25</v>
      </c>
      <c r="S14" s="130">
        <v>0</v>
      </c>
      <c r="T14">
        <v>0</v>
      </c>
      <c r="U14">
        <v>0</v>
      </c>
      <c r="V14">
        <v>0</v>
      </c>
      <c r="W14">
        <v>6.25</v>
      </c>
      <c r="Y14">
        <v>0.5</v>
      </c>
      <c r="Z14">
        <v>0</v>
      </c>
      <c r="AA14">
        <v>0</v>
      </c>
      <c r="AD14">
        <f t="shared" si="1"/>
        <v>12</v>
      </c>
      <c r="AE14" s="11">
        <f t="shared" si="11"/>
        <v>6117.5</v>
      </c>
      <c r="AF14">
        <v>1</v>
      </c>
      <c r="AN14" s="99"/>
      <c r="AO14" s="99"/>
      <c r="AP14" s="99"/>
      <c r="AQ14" s="99"/>
      <c r="AR14" s="99"/>
      <c r="AS14" s="99"/>
      <c r="AT14" s="99"/>
      <c r="AU14" s="99"/>
      <c r="AV14" s="11"/>
      <c r="AW14" s="2">
        <f t="shared" si="2"/>
        <v>0</v>
      </c>
      <c r="AX14" s="142">
        <f t="shared" si="3"/>
        <v>20757.5</v>
      </c>
      <c r="AY14" s="11">
        <f>SUM($AX$6:AX14)</f>
        <v>190750.5</v>
      </c>
      <c r="AZ14" s="11">
        <f ca="1">IF(B14&lt;TODAY(), SUMIFS($AX$6:AX14, $BK$6:BK14, BK14), "")</f>
        <v>190750.5</v>
      </c>
      <c r="BA14" s="11">
        <f t="shared" ca="1" si="4"/>
        <v>216.22395833333334</v>
      </c>
      <c r="BB14" s="11"/>
      <c r="BC14" s="124"/>
      <c r="BE14" s="125"/>
      <c r="BF14" t="str">
        <f t="shared" si="5"/>
        <v>25</v>
      </c>
      <c r="BG14" t="str">
        <f t="shared" si="6"/>
        <v>07</v>
      </c>
      <c r="BH14" s="98">
        <f t="shared" si="7"/>
        <v>16</v>
      </c>
      <c r="BI14" t="str">
        <f t="shared" si="8"/>
        <v>4</v>
      </c>
      <c r="BJ14" t="str">
        <f t="shared" si="14"/>
        <v>-250716D</v>
      </c>
      <c r="BK14" t="str">
        <f t="shared" si="10"/>
        <v>2025-07</v>
      </c>
    </row>
    <row r="15" spans="1:80">
      <c r="A15" s="130"/>
      <c r="B15" s="1">
        <v>45855</v>
      </c>
      <c r="C15" t="s">
        <v>906</v>
      </c>
      <c r="G15" s="130" t="s">
        <v>879</v>
      </c>
      <c r="H15">
        <v>4</v>
      </c>
      <c r="I15">
        <f t="shared" si="12"/>
        <v>720</v>
      </c>
      <c r="M15">
        <v>63</v>
      </c>
      <c r="P15" s="130">
        <f t="shared" si="15"/>
        <v>63</v>
      </c>
      <c r="Q15" s="17">
        <f t="shared" si="13"/>
        <v>8505</v>
      </c>
      <c r="R15">
        <v>6.25</v>
      </c>
      <c r="S15" s="130">
        <v>0</v>
      </c>
      <c r="T15">
        <v>0</v>
      </c>
      <c r="U15">
        <v>0</v>
      </c>
      <c r="V15">
        <v>0</v>
      </c>
      <c r="W15">
        <v>5.75</v>
      </c>
      <c r="Y15">
        <v>0</v>
      </c>
      <c r="Z15">
        <v>0</v>
      </c>
      <c r="AA15">
        <v>0</v>
      </c>
      <c r="AD15">
        <f t="shared" si="1"/>
        <v>12</v>
      </c>
      <c r="AE15" s="11">
        <f t="shared" si="11"/>
        <v>5462.5</v>
      </c>
      <c r="AH15">
        <f>4.5*6</f>
        <v>27</v>
      </c>
      <c r="AI15">
        <f>16*6</f>
        <v>96</v>
      </c>
      <c r="AJ15">
        <v>1</v>
      </c>
      <c r="AN15" s="99"/>
      <c r="AO15" s="99"/>
      <c r="AP15" s="99"/>
      <c r="AQ15" s="99"/>
      <c r="AR15" s="99">
        <v>1</v>
      </c>
      <c r="AS15" s="99"/>
      <c r="AT15" s="99">
        <v>1</v>
      </c>
      <c r="AU15" s="99"/>
      <c r="AV15" s="11"/>
      <c r="AW15" s="2">
        <f t="shared" si="2"/>
        <v>8110</v>
      </c>
      <c r="AX15" s="142">
        <f t="shared" si="3"/>
        <v>22797.5</v>
      </c>
      <c r="AY15" s="11">
        <f>SUM($AX$6:AX15)</f>
        <v>213548</v>
      </c>
      <c r="AZ15" s="11">
        <f ca="1">IF(B15&lt;TODAY(), SUMIFS($AX$6:AX15, $BK$6:BK15, BK15), "")</f>
        <v>213548</v>
      </c>
      <c r="BA15" s="11">
        <f t="shared" ca="1" si="4"/>
        <v>361.86507936507934</v>
      </c>
      <c r="BB15" s="11"/>
      <c r="BC15" s="124"/>
      <c r="BE15" s="125"/>
      <c r="BF15" t="str">
        <f t="shared" si="5"/>
        <v>25</v>
      </c>
      <c r="BG15" t="str">
        <f t="shared" si="6"/>
        <v>07</v>
      </c>
      <c r="BH15" s="98" t="str">
        <f t="shared" ref="BH15:BH23" si="16">_xlfn.TEXTJOIN(,TRUE,"0",DAY(B15))</f>
        <v>017</v>
      </c>
      <c r="BI15" t="str">
        <f t="shared" si="8"/>
        <v>4</v>
      </c>
      <c r="BJ15" t="str">
        <f t="shared" si="14"/>
        <v>-2507017D</v>
      </c>
      <c r="BK15" t="str">
        <f t="shared" si="10"/>
        <v>2025-07</v>
      </c>
    </row>
    <row r="16" spans="1:80">
      <c r="A16" s="130"/>
      <c r="B16" s="1">
        <v>45856</v>
      </c>
      <c r="C16" t="s">
        <v>906</v>
      </c>
      <c r="G16" s="130" t="s">
        <v>879</v>
      </c>
      <c r="H16">
        <v>4</v>
      </c>
      <c r="I16">
        <f t="shared" si="12"/>
        <v>720</v>
      </c>
      <c r="P16" s="130">
        <f t="shared" si="15"/>
        <v>0</v>
      </c>
      <c r="Q16" s="17">
        <f t="shared" si="13"/>
        <v>0</v>
      </c>
      <c r="R16">
        <v>0</v>
      </c>
      <c r="S16" s="130">
        <v>0</v>
      </c>
      <c r="T16">
        <v>0</v>
      </c>
      <c r="U16">
        <v>0</v>
      </c>
      <c r="V16">
        <v>0</v>
      </c>
      <c r="W16">
        <v>0</v>
      </c>
      <c r="Y16">
        <v>0</v>
      </c>
      <c r="Z16">
        <v>0</v>
      </c>
      <c r="AA16">
        <v>12</v>
      </c>
      <c r="AD16">
        <f t="shared" si="1"/>
        <v>12</v>
      </c>
      <c r="AE16" s="11">
        <f t="shared" si="11"/>
        <v>0</v>
      </c>
      <c r="AN16" s="99"/>
      <c r="AO16" s="99"/>
      <c r="AP16" s="99"/>
      <c r="AQ16" s="99"/>
      <c r="AR16" s="99"/>
      <c r="AS16" s="99"/>
      <c r="AT16" s="99"/>
      <c r="AU16" s="99"/>
      <c r="AV16" s="11"/>
      <c r="AW16" s="2">
        <f t="shared" si="2"/>
        <v>0</v>
      </c>
      <c r="AX16" s="142">
        <f t="shared" si="3"/>
        <v>720</v>
      </c>
      <c r="AY16" s="11">
        <f>SUM($AX$6:AX16)</f>
        <v>214268</v>
      </c>
      <c r="AZ16" s="11">
        <f ca="1">IF(B16&lt;TODAY(), SUMIFS($AX$6:AX16, $BK$6:BK16, BK16), "")</f>
        <v>214268</v>
      </c>
      <c r="BA16" s="11" t="str">
        <f t="shared" ca="1" si="4"/>
        <v>No drilling completed today, if maintenance provide context -&gt;</v>
      </c>
      <c r="BB16" s="11" t="s">
        <v>911</v>
      </c>
      <c r="BC16" s="124"/>
      <c r="BE16" s="125"/>
      <c r="BF16" t="str">
        <f t="shared" si="5"/>
        <v>25</v>
      </c>
      <c r="BG16" t="str">
        <f t="shared" si="6"/>
        <v>07</v>
      </c>
      <c r="BH16" s="98" t="str">
        <f t="shared" si="16"/>
        <v>018</v>
      </c>
      <c r="BI16" t="str">
        <f t="shared" si="8"/>
        <v>4</v>
      </c>
      <c r="BJ16" t="str">
        <f t="shared" si="14"/>
        <v>-2507018D</v>
      </c>
      <c r="BK16" t="str">
        <f t="shared" si="10"/>
        <v>2025-07</v>
      </c>
    </row>
    <row r="17" spans="1:63">
      <c r="A17" s="130"/>
      <c r="B17" s="1">
        <v>45857</v>
      </c>
      <c r="C17" t="s">
        <v>912</v>
      </c>
      <c r="G17" s="130" t="s">
        <v>879</v>
      </c>
      <c r="H17">
        <v>4</v>
      </c>
      <c r="I17">
        <f t="shared" si="12"/>
        <v>720</v>
      </c>
      <c r="P17" s="130">
        <f t="shared" si="15"/>
        <v>0</v>
      </c>
      <c r="Q17" s="17">
        <f t="shared" si="13"/>
        <v>0</v>
      </c>
      <c r="R17">
        <v>0.5</v>
      </c>
      <c r="S17" s="130">
        <v>0</v>
      </c>
      <c r="T17">
        <v>0</v>
      </c>
      <c r="U17">
        <v>0</v>
      </c>
      <c r="V17">
        <v>0</v>
      </c>
      <c r="W17">
        <v>8</v>
      </c>
      <c r="Y17">
        <v>0</v>
      </c>
      <c r="Z17">
        <v>0</v>
      </c>
      <c r="AA17">
        <v>0</v>
      </c>
      <c r="AB17" s="109">
        <v>3.5</v>
      </c>
      <c r="AC17" s="109"/>
      <c r="AD17">
        <f t="shared" si="1"/>
        <v>12</v>
      </c>
      <c r="AE17" s="11">
        <f t="shared" si="11"/>
        <v>7600</v>
      </c>
      <c r="AH17">
        <v>6</v>
      </c>
      <c r="AI17">
        <v>12</v>
      </c>
      <c r="AJ17">
        <v>1</v>
      </c>
      <c r="AN17" s="99"/>
      <c r="AO17" s="99"/>
      <c r="AP17" s="99"/>
      <c r="AQ17" s="99"/>
      <c r="AR17" s="99">
        <v>1</v>
      </c>
      <c r="AS17" s="99"/>
      <c r="AT17" s="99">
        <v>1</v>
      </c>
      <c r="AU17" s="99"/>
      <c r="AV17" s="11"/>
      <c r="AW17" s="2">
        <f t="shared" si="2"/>
        <v>3742</v>
      </c>
      <c r="AX17" s="142">
        <f t="shared" si="3"/>
        <v>12062</v>
      </c>
      <c r="AY17" s="11">
        <f>SUM($AX$6:AX17)</f>
        <v>226330</v>
      </c>
      <c r="AZ17" s="11">
        <f ca="1">IF(B17&lt;TODAY(), SUMIFS($AX$6:AX17, $BK$6:BK17, BK17), "")</f>
        <v>226330</v>
      </c>
      <c r="BA17" s="11" t="str">
        <f t="shared" ca="1" si="4"/>
        <v>No drilling completed today, if maintenance provide context -&gt;</v>
      </c>
      <c r="BB17" s="11"/>
      <c r="BC17" s="124"/>
      <c r="BE17" s="125"/>
      <c r="BF17" t="str">
        <f t="shared" si="5"/>
        <v>25</v>
      </c>
      <c r="BG17" t="str">
        <f t="shared" si="6"/>
        <v>07</v>
      </c>
      <c r="BH17" s="98" t="str">
        <f t="shared" si="16"/>
        <v>019</v>
      </c>
      <c r="BI17" t="str">
        <f t="shared" si="8"/>
        <v>4</v>
      </c>
      <c r="BJ17" t="str">
        <f t="shared" si="14"/>
        <v>-2507019D</v>
      </c>
      <c r="BK17" t="str">
        <f t="shared" si="10"/>
        <v>2025-07</v>
      </c>
    </row>
    <row r="18" spans="1:63" s="127" customFormat="1">
      <c r="A18" s="133"/>
      <c r="B18" s="126">
        <v>45858</v>
      </c>
      <c r="C18" s="127" t="s">
        <v>912</v>
      </c>
      <c r="G18" s="133" t="s">
        <v>879</v>
      </c>
      <c r="H18" s="127">
        <v>4</v>
      </c>
      <c r="I18" s="127">
        <f t="shared" si="12"/>
        <v>720</v>
      </c>
      <c r="J18" s="133"/>
      <c r="P18" s="133">
        <f t="shared" si="15"/>
        <v>0</v>
      </c>
      <c r="Q18" s="134">
        <f t="shared" si="13"/>
        <v>0</v>
      </c>
      <c r="R18" s="127">
        <v>0</v>
      </c>
      <c r="S18" s="133">
        <v>0</v>
      </c>
      <c r="T18" s="127">
        <v>0</v>
      </c>
      <c r="U18" s="127">
        <v>0</v>
      </c>
      <c r="V18" s="127">
        <v>0</v>
      </c>
      <c r="W18" s="127">
        <v>2.5</v>
      </c>
      <c r="Y18" s="127">
        <v>0</v>
      </c>
      <c r="Z18" s="127">
        <v>0</v>
      </c>
      <c r="AA18" s="127">
        <v>9.5</v>
      </c>
      <c r="AC18"/>
      <c r="AD18">
        <f t="shared" si="1"/>
        <v>12</v>
      </c>
      <c r="AE18" s="135">
        <f t="shared" si="11"/>
        <v>2375</v>
      </c>
      <c r="AF18" s="173"/>
      <c r="AG18" s="173"/>
      <c r="AH18" s="173"/>
      <c r="AI18" s="173"/>
      <c r="AJ18" s="173"/>
      <c r="AK18" s="173"/>
      <c r="AL18" s="173"/>
      <c r="AM18" s="173"/>
      <c r="AN18" s="173"/>
      <c r="AO18" s="173"/>
      <c r="AP18" s="173"/>
      <c r="AQ18" s="173"/>
      <c r="AR18" s="173"/>
      <c r="AS18" s="173"/>
      <c r="AT18" s="173"/>
      <c r="AU18" s="173"/>
      <c r="AV18" s="135"/>
      <c r="AW18" s="2">
        <f t="shared" si="2"/>
        <v>0</v>
      </c>
      <c r="AX18" s="142">
        <f t="shared" si="3"/>
        <v>3095</v>
      </c>
      <c r="AY18" s="135">
        <f>SUM($AX$6:AX18)</f>
        <v>229425</v>
      </c>
      <c r="AZ18" s="11">
        <f ca="1">IF(B18&lt;TODAY(), SUMIFS($AX$6:AX18, $BK$6:BK18, BK18), "")</f>
        <v>229425</v>
      </c>
      <c r="BA18" s="11" t="str">
        <f t="shared" ca="1" si="4"/>
        <v>No drilling completed today, if maintenance provide context -&gt;</v>
      </c>
      <c r="BB18" s="135" t="s">
        <v>913</v>
      </c>
      <c r="BC18" s="128"/>
      <c r="BE18" s="129"/>
      <c r="BF18" s="127" t="str">
        <f t="shared" si="5"/>
        <v>25</v>
      </c>
      <c r="BG18" s="127" t="str">
        <f t="shared" si="6"/>
        <v>07</v>
      </c>
      <c r="BH18" s="144" t="str">
        <f t="shared" si="16"/>
        <v>020</v>
      </c>
      <c r="BI18" s="127" t="str">
        <f t="shared" si="8"/>
        <v>4</v>
      </c>
      <c r="BJ18" s="127" t="str">
        <f t="shared" si="14"/>
        <v>-2507020D</v>
      </c>
      <c r="BK18" s="127" t="str">
        <f t="shared" si="10"/>
        <v>2025-07</v>
      </c>
    </row>
    <row r="19" spans="1:63" s="109" customFormat="1">
      <c r="A19" s="130"/>
      <c r="B19" s="1">
        <v>45859</v>
      </c>
      <c r="C19"/>
      <c r="D19"/>
      <c r="E19"/>
      <c r="F19"/>
      <c r="G19" s="130" t="s">
        <v>879</v>
      </c>
      <c r="H19">
        <v>3</v>
      </c>
      <c r="I19">
        <f t="shared" si="12"/>
        <v>540</v>
      </c>
      <c r="J19" s="130"/>
      <c r="K19"/>
      <c r="L19"/>
      <c r="M19"/>
      <c r="N19"/>
      <c r="O19"/>
      <c r="P19" s="130">
        <f t="shared" si="15"/>
        <v>0</v>
      </c>
      <c r="Q19" s="17">
        <f t="shared" si="13"/>
        <v>0</v>
      </c>
      <c r="R19">
        <v>0</v>
      </c>
      <c r="S19" s="130">
        <v>0</v>
      </c>
      <c r="T19">
        <v>0</v>
      </c>
      <c r="U19">
        <v>0</v>
      </c>
      <c r="V19">
        <v>0</v>
      </c>
      <c r="W19">
        <v>0</v>
      </c>
      <c r="X19"/>
      <c r="Y19">
        <v>0</v>
      </c>
      <c r="Z19">
        <v>0</v>
      </c>
      <c r="AA19">
        <v>0</v>
      </c>
      <c r="AB19"/>
      <c r="AC19"/>
      <c r="AD19">
        <f t="shared" si="1"/>
        <v>0</v>
      </c>
      <c r="AE19" s="11">
        <f t="shared" si="11"/>
        <v>0</v>
      </c>
      <c r="AF19" s="11"/>
      <c r="AG19" s="11"/>
      <c r="AH19" s="99"/>
      <c r="AI19" s="99"/>
      <c r="AJ19" s="99"/>
      <c r="AK19" s="99"/>
      <c r="AL19" s="99"/>
      <c r="AM19" s="99"/>
      <c r="AN19" s="99"/>
      <c r="AO19" s="99"/>
      <c r="AP19" s="99"/>
      <c r="AQ19" s="99"/>
      <c r="AR19" s="99"/>
      <c r="AS19" s="99"/>
      <c r="AT19" s="99"/>
      <c r="AU19" s="99"/>
      <c r="AV19" s="99"/>
      <c r="AW19" s="2">
        <f t="shared" si="2"/>
        <v>0</v>
      </c>
      <c r="AX19" s="142">
        <f t="shared" si="3"/>
        <v>540</v>
      </c>
      <c r="AY19" s="11">
        <f>SUM($AX$6:AX19)</f>
        <v>229965</v>
      </c>
      <c r="AZ19" s="11">
        <f ca="1">IF(B19&lt;TODAY(), SUMIFS($AX$6:AX19, $BK$6:BK19, BK19), "")</f>
        <v>229965</v>
      </c>
      <c r="BA19" s="11" t="str">
        <f t="shared" ca="1" si="4"/>
        <v>No drilling completed today, if maintenance provide context -&gt;</v>
      </c>
      <c r="BB19" s="11" t="s">
        <v>914</v>
      </c>
      <c r="BC19" s="124"/>
      <c r="BD19"/>
      <c r="BE19" s="132"/>
      <c r="BF19" s="109" t="str">
        <f t="shared" si="5"/>
        <v>25</v>
      </c>
      <c r="BG19" s="109" t="str">
        <f t="shared" si="6"/>
        <v>07</v>
      </c>
      <c r="BH19" s="98" t="str">
        <f t="shared" si="16"/>
        <v>021</v>
      </c>
      <c r="BI19" s="109" t="str">
        <f t="shared" si="8"/>
        <v>4</v>
      </c>
      <c r="BJ19" t="str">
        <f t="shared" si="14"/>
        <v>-2507021D</v>
      </c>
      <c r="BK19" s="109" t="str">
        <f t="shared" si="10"/>
        <v>2025-07</v>
      </c>
    </row>
    <row r="20" spans="1:63">
      <c r="A20" s="130"/>
      <c r="B20" s="1">
        <v>45860</v>
      </c>
      <c r="G20" s="130" t="s">
        <v>879</v>
      </c>
      <c r="H20">
        <v>3</v>
      </c>
      <c r="I20">
        <f t="shared" si="12"/>
        <v>540</v>
      </c>
      <c r="P20" s="130">
        <f t="shared" si="15"/>
        <v>0</v>
      </c>
      <c r="Q20" s="17">
        <f t="shared" si="13"/>
        <v>0</v>
      </c>
      <c r="R20">
        <v>0</v>
      </c>
      <c r="S20" s="130">
        <v>0</v>
      </c>
      <c r="T20">
        <v>0</v>
      </c>
      <c r="U20">
        <v>0</v>
      </c>
      <c r="V20">
        <v>0</v>
      </c>
      <c r="W20">
        <v>0</v>
      </c>
      <c r="Y20">
        <v>0</v>
      </c>
      <c r="Z20">
        <v>0</v>
      </c>
      <c r="AA20">
        <v>0</v>
      </c>
      <c r="AD20">
        <f t="shared" si="1"/>
        <v>0</v>
      </c>
      <c r="AE20" s="11">
        <f t="shared" si="11"/>
        <v>0</v>
      </c>
      <c r="AF20" s="11"/>
      <c r="AG20" s="11"/>
      <c r="AH20" s="99">
        <v>4</v>
      </c>
      <c r="AI20" s="99">
        <v>1</v>
      </c>
      <c r="AJ20" s="99"/>
      <c r="AK20" s="99"/>
      <c r="AL20" s="99"/>
      <c r="AM20" s="99"/>
      <c r="AN20" s="99"/>
      <c r="AO20" s="99"/>
      <c r="AP20" s="99"/>
      <c r="AQ20" s="99"/>
      <c r="AR20" s="99"/>
      <c r="AS20" s="99"/>
      <c r="AT20" s="99"/>
      <c r="AU20" s="99"/>
      <c r="AV20" s="99"/>
      <c r="AW20" s="2">
        <f t="shared" si="2"/>
        <v>172</v>
      </c>
      <c r="AX20" s="142">
        <f t="shared" si="3"/>
        <v>712</v>
      </c>
      <c r="AY20" s="11">
        <f>SUM($AX$6:AX20)</f>
        <v>230677</v>
      </c>
      <c r="AZ20" s="11">
        <f ca="1">IF(B20&lt;TODAY(), SUMIFS($AX$6:AX20, $BK$6:BK20, BK20), "")</f>
        <v>230677</v>
      </c>
      <c r="BA20" s="11" t="str">
        <f t="shared" ca="1" si="4"/>
        <v>No drilling completed today, if maintenance provide context -&gt;</v>
      </c>
      <c r="BB20" s="11" t="s">
        <v>914</v>
      </c>
      <c r="BC20" s="124"/>
      <c r="BE20" s="125"/>
      <c r="BF20" t="str">
        <f t="shared" si="5"/>
        <v>25</v>
      </c>
      <c r="BG20" t="str">
        <f t="shared" si="6"/>
        <v>07</v>
      </c>
      <c r="BH20" s="98" t="str">
        <f t="shared" si="16"/>
        <v>022</v>
      </c>
      <c r="BI20" t="str">
        <f t="shared" si="8"/>
        <v>4</v>
      </c>
      <c r="BJ20" t="str">
        <f t="shared" si="14"/>
        <v>-2507022D</v>
      </c>
      <c r="BK20" t="str">
        <f t="shared" si="10"/>
        <v>2025-07</v>
      </c>
    </row>
    <row r="21" spans="1:63">
      <c r="B21" s="1">
        <v>45861</v>
      </c>
      <c r="G21" s="130" t="s">
        <v>879</v>
      </c>
      <c r="H21">
        <v>3</v>
      </c>
      <c r="I21">
        <f t="shared" si="12"/>
        <v>540</v>
      </c>
      <c r="P21" s="130">
        <f t="shared" si="15"/>
        <v>0</v>
      </c>
      <c r="Q21" s="17">
        <f t="shared" si="13"/>
        <v>0</v>
      </c>
      <c r="R21">
        <v>0</v>
      </c>
      <c r="S21" s="130">
        <v>0</v>
      </c>
      <c r="T21">
        <v>0</v>
      </c>
      <c r="U21">
        <v>0</v>
      </c>
      <c r="V21">
        <v>0</v>
      </c>
      <c r="W21">
        <v>0</v>
      </c>
      <c r="Y21">
        <v>0</v>
      </c>
      <c r="Z21">
        <v>0</v>
      </c>
      <c r="AA21">
        <v>0</v>
      </c>
      <c r="AD21">
        <f t="shared" si="1"/>
        <v>0</v>
      </c>
      <c r="AE21" s="11">
        <f t="shared" si="11"/>
        <v>0</v>
      </c>
      <c r="AF21" s="11"/>
      <c r="AG21" s="11"/>
      <c r="AH21" s="99"/>
      <c r="AI21" s="99"/>
      <c r="AJ21" s="99"/>
      <c r="AK21" s="99"/>
      <c r="AL21" s="99"/>
      <c r="AM21" s="99"/>
      <c r="AN21" s="99"/>
      <c r="AO21" s="99"/>
      <c r="AP21" s="99"/>
      <c r="AQ21" s="99"/>
      <c r="AR21" s="99"/>
      <c r="AS21" s="99"/>
      <c r="AT21" s="99"/>
      <c r="AU21" s="99"/>
      <c r="AV21" s="99"/>
      <c r="AW21" s="2">
        <f t="shared" si="2"/>
        <v>0</v>
      </c>
      <c r="AX21" s="142">
        <f t="shared" si="3"/>
        <v>540</v>
      </c>
      <c r="AY21" s="11">
        <f>SUM($AX$6:AX21)</f>
        <v>231217</v>
      </c>
      <c r="AZ21" s="11">
        <f ca="1">IF(B21&lt;TODAY(), SUMIFS($AX$6:AX21, $BK$6:BK21, BK21), "")</f>
        <v>231217</v>
      </c>
      <c r="BA21" s="11" t="str">
        <f t="shared" ca="1" si="4"/>
        <v>No drilling completed today, if maintenance provide context -&gt;</v>
      </c>
      <c r="BB21" s="11" t="s">
        <v>914</v>
      </c>
      <c r="BC21" s="15"/>
      <c r="BE21" s="14"/>
      <c r="BF21" t="str">
        <f t="shared" si="5"/>
        <v>25</v>
      </c>
      <c r="BG21" t="str">
        <f t="shared" si="6"/>
        <v>07</v>
      </c>
      <c r="BH21" s="98" t="str">
        <f t="shared" si="16"/>
        <v>023</v>
      </c>
      <c r="BI21" t="str">
        <f t="shared" si="8"/>
        <v>4</v>
      </c>
      <c r="BJ21" t="str">
        <f t="shared" si="14"/>
        <v>-2507023D</v>
      </c>
      <c r="BK21" t="str">
        <f t="shared" si="10"/>
        <v>2025-07</v>
      </c>
    </row>
    <row r="22" spans="1:63">
      <c r="B22" s="1">
        <v>45862</v>
      </c>
      <c r="G22" s="130" t="s">
        <v>915</v>
      </c>
      <c r="H22">
        <v>3</v>
      </c>
      <c r="I22">
        <f t="shared" si="12"/>
        <v>540</v>
      </c>
      <c r="P22" s="130">
        <f t="shared" si="15"/>
        <v>0</v>
      </c>
      <c r="Q22" s="17">
        <f t="shared" si="13"/>
        <v>0</v>
      </c>
      <c r="R22">
        <v>0</v>
      </c>
      <c r="S22" s="130">
        <v>0</v>
      </c>
      <c r="T22">
        <v>0</v>
      </c>
      <c r="U22">
        <v>0</v>
      </c>
      <c r="V22">
        <v>0</v>
      </c>
      <c r="W22">
        <v>0</v>
      </c>
      <c r="Y22">
        <v>0</v>
      </c>
      <c r="Z22">
        <v>0</v>
      </c>
      <c r="AA22">
        <v>0</v>
      </c>
      <c r="AD22">
        <f t="shared" si="1"/>
        <v>0</v>
      </c>
      <c r="AE22" s="11">
        <f t="shared" si="11"/>
        <v>0</v>
      </c>
      <c r="AF22" s="11"/>
      <c r="AG22" s="11"/>
      <c r="AH22" s="99"/>
      <c r="AI22" s="99"/>
      <c r="AJ22" s="99"/>
      <c r="AK22" s="99"/>
      <c r="AL22" s="99"/>
      <c r="AM22" s="99"/>
      <c r="AN22" s="99"/>
      <c r="AO22" s="99"/>
      <c r="AP22" s="99"/>
      <c r="AQ22" s="99"/>
      <c r="AR22" s="99"/>
      <c r="AS22" s="99"/>
      <c r="AT22" s="99"/>
      <c r="AU22" s="99"/>
      <c r="AV22" s="99"/>
      <c r="AW22" s="2">
        <f t="shared" si="2"/>
        <v>0</v>
      </c>
      <c r="AX22" s="142">
        <f t="shared" si="3"/>
        <v>540</v>
      </c>
      <c r="AY22" s="11">
        <f>SUM($AX$6:AX22)</f>
        <v>231757</v>
      </c>
      <c r="AZ22" s="11">
        <f ca="1">IF(B22&lt;TODAY(), SUMIFS($AX$6:AX22, $BK$6:BK22, BK22), "")</f>
        <v>231757</v>
      </c>
      <c r="BA22" s="11" t="str">
        <f t="shared" ca="1" si="4"/>
        <v>No drilling completed today, if maintenance provide context -&gt;</v>
      </c>
      <c r="BB22" s="11" t="s">
        <v>914</v>
      </c>
      <c r="BC22" s="15"/>
      <c r="BD22" s="10"/>
      <c r="BE22" s="14"/>
      <c r="BF22" t="str">
        <f t="shared" si="5"/>
        <v>25</v>
      </c>
      <c r="BG22" t="str">
        <f t="shared" si="6"/>
        <v>07</v>
      </c>
      <c r="BH22" s="98" t="str">
        <f t="shared" si="16"/>
        <v>024</v>
      </c>
      <c r="BI22" t="str">
        <f t="shared" si="8"/>
        <v>4</v>
      </c>
      <c r="BJ22" t="str">
        <f t="shared" si="14"/>
        <v>-2507024D</v>
      </c>
      <c r="BK22" t="str">
        <f t="shared" si="10"/>
        <v>2025-07</v>
      </c>
    </row>
    <row r="23" spans="1:63">
      <c r="B23" s="1">
        <v>45863</v>
      </c>
      <c r="C23" t="s">
        <v>912</v>
      </c>
      <c r="G23" s="130" t="s">
        <v>915</v>
      </c>
      <c r="H23">
        <v>3</v>
      </c>
      <c r="I23">
        <f t="shared" si="12"/>
        <v>540</v>
      </c>
      <c r="M23">
        <v>3</v>
      </c>
      <c r="P23" s="130">
        <f t="shared" si="15"/>
        <v>3</v>
      </c>
      <c r="Q23" s="17">
        <f>(J23*$J$3)+(K23*$K$3)+(L23*$L$3)+(M23*$M$3)+(N23*$N$3)+(O23*$O$3)</f>
        <v>405</v>
      </c>
      <c r="R23">
        <v>0.75</v>
      </c>
      <c r="S23" s="130">
        <v>0</v>
      </c>
      <c r="T23">
        <v>0</v>
      </c>
      <c r="U23">
        <v>0</v>
      </c>
      <c r="V23">
        <v>0</v>
      </c>
      <c r="W23">
        <v>5.25</v>
      </c>
      <c r="Y23">
        <v>0</v>
      </c>
      <c r="Z23">
        <v>0</v>
      </c>
      <c r="AA23">
        <v>0</v>
      </c>
      <c r="AB23" s="109">
        <v>6</v>
      </c>
      <c r="AC23" s="109"/>
      <c r="AD23">
        <f t="shared" si="1"/>
        <v>12</v>
      </c>
      <c r="AE23" s="11">
        <f>(S23*$S$3)+(T23*$T$3)+(U23*$U$3)+(W23*$W$3)+(Y23*$Y$3)+(Z23*$Z$3)+(V23*$V$3)</f>
        <v>4987.5</v>
      </c>
      <c r="AF23" s="11"/>
      <c r="AG23" s="11"/>
      <c r="AH23" s="99"/>
      <c r="AI23" s="99"/>
      <c r="AJ23" s="99"/>
      <c r="AK23" s="99"/>
      <c r="AL23" s="99">
        <v>1</v>
      </c>
      <c r="AM23" s="99"/>
      <c r="AN23" s="99"/>
      <c r="AO23" s="99"/>
      <c r="AP23" s="99"/>
      <c r="AQ23" s="99"/>
      <c r="AR23" s="99"/>
      <c r="AS23" s="99"/>
      <c r="AT23" s="99"/>
      <c r="AU23" s="99"/>
      <c r="AV23" s="99"/>
      <c r="AW23" s="2">
        <f t="shared" si="2"/>
        <v>200</v>
      </c>
      <c r="AX23" s="142">
        <f t="shared" si="3"/>
        <v>6132.5</v>
      </c>
      <c r="AY23" s="11">
        <f>SUM($AX$6:AX23)</f>
        <v>237889.5</v>
      </c>
      <c r="AZ23" s="11">
        <f ca="1">IF(B23&lt;TODAY(), SUMIFS($AX$6:AX23, $BK$6:BK23, BK23), "")</f>
        <v>237889.5</v>
      </c>
      <c r="BA23" s="11">
        <f t="shared" ca="1" si="4"/>
        <v>2044.1666666666667</v>
      </c>
      <c r="BB23" s="11" t="s">
        <v>916</v>
      </c>
      <c r="BC23" s="15"/>
      <c r="BE23" s="14"/>
      <c r="BF23" t="str">
        <f t="shared" si="5"/>
        <v>25</v>
      </c>
      <c r="BG23" t="str">
        <f t="shared" si="6"/>
        <v>07</v>
      </c>
      <c r="BH23" s="98" t="str">
        <f t="shared" si="16"/>
        <v>025</v>
      </c>
      <c r="BI23" t="str">
        <f t="shared" si="8"/>
        <v>4</v>
      </c>
      <c r="BJ23" t="str">
        <f t="shared" si="14"/>
        <v>-2507025D</v>
      </c>
      <c r="BK23" t="str">
        <f t="shared" si="10"/>
        <v>2025-07</v>
      </c>
    </row>
    <row r="24" spans="1:63">
      <c r="B24" s="1">
        <v>45864</v>
      </c>
      <c r="C24" t="s">
        <v>912</v>
      </c>
      <c r="G24" s="130" t="s">
        <v>915</v>
      </c>
      <c r="H24">
        <v>3</v>
      </c>
      <c r="I24">
        <f t="shared" si="12"/>
        <v>540</v>
      </c>
      <c r="M24">
        <f>30-3</f>
        <v>27</v>
      </c>
      <c r="P24" s="130">
        <f t="shared" si="15"/>
        <v>27</v>
      </c>
      <c r="Q24" s="17">
        <f>(J24*$J$3)+(K24*$K$3)+(L24*$L$3)+(M24*$M$3)+(N24*$N$3)+(O24*$O$3)</f>
        <v>3645</v>
      </c>
      <c r="R24">
        <v>3.25</v>
      </c>
      <c r="S24" s="130">
        <v>0</v>
      </c>
      <c r="T24">
        <v>0</v>
      </c>
      <c r="U24">
        <v>0</v>
      </c>
      <c r="V24">
        <v>0</v>
      </c>
      <c r="W24">
        <v>8.75</v>
      </c>
      <c r="Y24">
        <v>0</v>
      </c>
      <c r="Z24">
        <v>0</v>
      </c>
      <c r="AA24">
        <v>0</v>
      </c>
      <c r="AD24">
        <f t="shared" si="1"/>
        <v>12</v>
      </c>
      <c r="AE24" s="11">
        <f t="shared" si="11"/>
        <v>8312.5</v>
      </c>
      <c r="AF24" s="11"/>
      <c r="AG24" s="11"/>
      <c r="AH24" s="99"/>
      <c r="AI24" s="99"/>
      <c r="AJ24" s="99"/>
      <c r="AK24" s="99"/>
      <c r="AL24" s="99"/>
      <c r="AM24" s="99"/>
      <c r="AN24" s="99"/>
      <c r="AO24" s="99"/>
      <c r="AP24" s="99"/>
      <c r="AQ24" s="99"/>
      <c r="AR24" s="99"/>
      <c r="AS24" s="99"/>
      <c r="AT24" s="99"/>
      <c r="AU24" s="99"/>
      <c r="AV24" s="99"/>
      <c r="AW24" s="2">
        <f t="shared" si="2"/>
        <v>0</v>
      </c>
      <c r="AX24" s="142">
        <f t="shared" si="3"/>
        <v>12497.5</v>
      </c>
      <c r="AY24" s="11">
        <f>SUM($AX$6:AX24)</f>
        <v>250387</v>
      </c>
      <c r="AZ24" s="11">
        <f ca="1">IF(B24&lt;TODAY(), SUMIFS($AX$6:AX24, $BK$6:BK24, BK24), "")</f>
        <v>250387</v>
      </c>
      <c r="BA24" s="11">
        <f t="shared" ca="1" si="4"/>
        <v>462.87037037037038</v>
      </c>
      <c r="BB24" s="11"/>
      <c r="BC24" s="15"/>
      <c r="BE24" s="14"/>
      <c r="BF24" t="str">
        <f t="shared" si="5"/>
        <v>25</v>
      </c>
      <c r="BG24" t="str">
        <f t="shared" si="6"/>
        <v>07</v>
      </c>
      <c r="BH24" s="98">
        <f t="shared" ref="BH24:BH32" si="17">DAY(B24)</f>
        <v>26</v>
      </c>
      <c r="BI24" t="str">
        <f t="shared" si="8"/>
        <v>4</v>
      </c>
      <c r="BJ24" t="str">
        <f t="shared" si="14"/>
        <v>-250726D</v>
      </c>
      <c r="BK24" t="str">
        <f t="shared" si="10"/>
        <v>2025-07</v>
      </c>
    </row>
    <row r="25" spans="1:63">
      <c r="B25" s="1">
        <v>45865</v>
      </c>
      <c r="C25" t="s">
        <v>912</v>
      </c>
      <c r="G25" s="130" t="s">
        <v>915</v>
      </c>
      <c r="H25">
        <v>3</v>
      </c>
      <c r="I25">
        <f t="shared" si="12"/>
        <v>540</v>
      </c>
      <c r="M25">
        <f>100-30</f>
        <v>70</v>
      </c>
      <c r="P25" s="130">
        <f t="shared" si="15"/>
        <v>70</v>
      </c>
      <c r="Q25" s="17">
        <f t="shared" si="13"/>
        <v>9450</v>
      </c>
      <c r="R25">
        <v>6.5</v>
      </c>
      <c r="S25" s="130">
        <v>0</v>
      </c>
      <c r="T25">
        <v>0</v>
      </c>
      <c r="U25">
        <v>0</v>
      </c>
      <c r="V25">
        <v>0</v>
      </c>
      <c r="W25">
        <v>4.5</v>
      </c>
      <c r="Y25">
        <v>0</v>
      </c>
      <c r="Z25">
        <v>1</v>
      </c>
      <c r="AA25">
        <v>0</v>
      </c>
      <c r="AD25">
        <f t="shared" si="1"/>
        <v>12</v>
      </c>
      <c r="AE25" s="11">
        <f t="shared" si="11"/>
        <v>4695</v>
      </c>
      <c r="AF25" s="11"/>
      <c r="AG25" s="11"/>
      <c r="AH25" s="99"/>
      <c r="AI25" s="99"/>
      <c r="AJ25" s="99"/>
      <c r="AK25" s="99"/>
      <c r="AL25" s="99"/>
      <c r="AM25" s="99"/>
      <c r="AN25" s="99"/>
      <c r="AO25" s="99"/>
      <c r="AP25" s="99"/>
      <c r="AQ25" s="99"/>
      <c r="AR25" s="99"/>
      <c r="AS25" s="99"/>
      <c r="AT25" s="99"/>
      <c r="AU25" s="99"/>
      <c r="AV25" s="99"/>
      <c r="AW25" s="2">
        <f t="shared" si="2"/>
        <v>0</v>
      </c>
      <c r="AX25" s="142">
        <f t="shared" si="3"/>
        <v>14685</v>
      </c>
      <c r="AY25" s="11">
        <f>SUM($AX$6:AX25)</f>
        <v>265072</v>
      </c>
      <c r="AZ25" s="11">
        <f ca="1">IF(B25&lt;TODAY(), SUMIFS($AX$6:AX25, $BK$6:BK25, BK25), "")</f>
        <v>265072</v>
      </c>
      <c r="BA25" s="11">
        <f t="shared" ca="1" si="4"/>
        <v>209.78571428571428</v>
      </c>
      <c r="BB25" s="11" t="s">
        <v>917</v>
      </c>
      <c r="BC25" s="15"/>
      <c r="BE25" s="14"/>
      <c r="BF25" t="str">
        <f t="shared" si="5"/>
        <v>25</v>
      </c>
      <c r="BG25" t="str">
        <f t="shared" si="6"/>
        <v>07</v>
      </c>
      <c r="BH25" s="98">
        <f t="shared" si="17"/>
        <v>27</v>
      </c>
      <c r="BI25" t="str">
        <f t="shared" si="8"/>
        <v>4</v>
      </c>
      <c r="BJ25" t="str">
        <f t="shared" si="14"/>
        <v>-250727D</v>
      </c>
      <c r="BK25" t="str">
        <f t="shared" si="10"/>
        <v>2025-07</v>
      </c>
    </row>
    <row r="26" spans="1:63">
      <c r="B26" s="1">
        <v>45866</v>
      </c>
      <c r="C26" t="s">
        <v>918</v>
      </c>
      <c r="D26" t="s">
        <v>919</v>
      </c>
      <c r="G26" s="130" t="s">
        <v>915</v>
      </c>
      <c r="H26">
        <v>3</v>
      </c>
      <c r="I26">
        <f t="shared" si="12"/>
        <v>540</v>
      </c>
      <c r="L26">
        <v>2</v>
      </c>
      <c r="M26">
        <v>22</v>
      </c>
      <c r="P26" s="130">
        <f t="shared" si="15"/>
        <v>24</v>
      </c>
      <c r="Q26" s="17">
        <f t="shared" si="13"/>
        <v>3560</v>
      </c>
      <c r="R26">
        <v>1.5</v>
      </c>
      <c r="S26" s="130">
        <v>0</v>
      </c>
      <c r="T26">
        <v>0</v>
      </c>
      <c r="U26">
        <v>0</v>
      </c>
      <c r="V26">
        <v>0</v>
      </c>
      <c r="W26">
        <v>10.5</v>
      </c>
      <c r="Y26">
        <v>0</v>
      </c>
      <c r="Z26">
        <v>0</v>
      </c>
      <c r="AA26">
        <v>0</v>
      </c>
      <c r="AD26">
        <f t="shared" si="1"/>
        <v>12</v>
      </c>
      <c r="AE26" s="11">
        <f t="shared" si="11"/>
        <v>9975</v>
      </c>
      <c r="AF26" s="11"/>
      <c r="AG26" s="11"/>
      <c r="AH26" s="99"/>
      <c r="AI26" s="99"/>
      <c r="AJ26" s="99"/>
      <c r="AK26" s="99"/>
      <c r="AL26" s="99"/>
      <c r="AM26" s="99"/>
      <c r="AN26" s="99"/>
      <c r="AO26" s="99"/>
      <c r="AP26" s="99"/>
      <c r="AQ26" s="99"/>
      <c r="AR26" s="99"/>
      <c r="AS26" s="99"/>
      <c r="AT26" s="99">
        <v>1</v>
      </c>
      <c r="AU26" s="99"/>
      <c r="AV26" s="99"/>
      <c r="AW26" s="2">
        <f t="shared" si="2"/>
        <v>2350</v>
      </c>
      <c r="AX26" s="142">
        <f t="shared" si="3"/>
        <v>16425</v>
      </c>
      <c r="AY26" s="11">
        <f>SUM($AX$6:AX26)</f>
        <v>281497</v>
      </c>
      <c r="AZ26" s="11">
        <f ca="1">IF(B26&lt;TODAY(), SUMIFS($AX$6:AX26, $BK$6:BK26, BK26), "")</f>
        <v>281497</v>
      </c>
      <c r="BA26" s="11">
        <f t="shared" ca="1" si="4"/>
        <v>684.375</v>
      </c>
      <c r="BB26" s="11"/>
      <c r="BC26" s="15"/>
      <c r="BE26" s="14"/>
      <c r="BF26" t="str">
        <f t="shared" si="5"/>
        <v>25</v>
      </c>
      <c r="BG26" t="str">
        <f t="shared" si="6"/>
        <v>07</v>
      </c>
      <c r="BH26" s="98">
        <f t="shared" si="17"/>
        <v>28</v>
      </c>
      <c r="BI26" t="str">
        <f t="shared" si="8"/>
        <v>4</v>
      </c>
      <c r="BJ26" t="str">
        <f t="shared" si="14"/>
        <v>-250728D</v>
      </c>
      <c r="BK26" t="str">
        <f t="shared" si="10"/>
        <v>2025-07</v>
      </c>
    </row>
    <row r="27" spans="1:63">
      <c r="B27" s="1">
        <v>45867</v>
      </c>
      <c r="C27" t="s">
        <v>919</v>
      </c>
      <c r="G27" s="130" t="s">
        <v>915</v>
      </c>
      <c r="H27">
        <v>3</v>
      </c>
      <c r="I27">
        <f t="shared" ref="I27:I32" si="18">H27*$I$3</f>
        <v>540</v>
      </c>
      <c r="P27" s="130">
        <f>J27+K27+L27+M27+N27+O27</f>
        <v>0</v>
      </c>
      <c r="Q27" s="17">
        <f>(J27*$J$3)+(K27*$K$3)+(L27*$L$3)+(M27*$M$3)+(N27*$N$3)+(O27*$O$3)</f>
        <v>0</v>
      </c>
      <c r="R27">
        <v>0</v>
      </c>
      <c r="AD27">
        <f t="shared" si="1"/>
        <v>0</v>
      </c>
      <c r="AE27" s="11">
        <f>(S27*$S$3)+(T27*$T$3)+(U27*$U$3)+(W27*$W$3)+(Y27*$Y$3)+(Z27*$Z$3)+(V27*$V$3)</f>
        <v>0</v>
      </c>
      <c r="AF27" s="11"/>
      <c r="AG27" s="11"/>
      <c r="AH27" s="99">
        <v>1</v>
      </c>
      <c r="AI27" s="99">
        <v>4</v>
      </c>
      <c r="AJ27" s="99"/>
      <c r="AK27" s="99"/>
      <c r="AL27" s="99"/>
      <c r="AM27" s="99"/>
      <c r="AN27" s="99"/>
      <c r="AO27" s="99"/>
      <c r="AP27" s="99"/>
      <c r="AQ27" s="99"/>
      <c r="AR27" s="99"/>
      <c r="AS27" s="99"/>
      <c r="AT27" s="99"/>
      <c r="AU27" s="99"/>
      <c r="AV27" s="99"/>
      <c r="AW27" s="2">
        <f t="shared" si="2"/>
        <v>208</v>
      </c>
      <c r="AX27" s="142">
        <f t="shared" si="3"/>
        <v>748</v>
      </c>
      <c r="AY27" s="11">
        <f>SUM($AX$6:AX27)</f>
        <v>282245</v>
      </c>
      <c r="AZ27" s="11">
        <f ca="1">IF(B27&lt;TODAY(), SUMIFS($AX$6:AX27, $BK$6:BK27, BK27), "")</f>
        <v>282245</v>
      </c>
      <c r="BA27" s="11" t="str">
        <f t="shared" ca="1" si="4"/>
        <v>No drilling completed today, if maintenance provide context -&gt;</v>
      </c>
      <c r="BB27" s="11"/>
      <c r="BC27" s="15"/>
      <c r="BE27" s="14"/>
      <c r="BF27" t="str">
        <f t="shared" si="5"/>
        <v>25</v>
      </c>
      <c r="BG27" t="str">
        <f t="shared" si="6"/>
        <v>07</v>
      </c>
      <c r="BH27" s="98">
        <f t="shared" si="17"/>
        <v>29</v>
      </c>
      <c r="BI27" t="str">
        <f t="shared" si="8"/>
        <v>4</v>
      </c>
      <c r="BJ27" t="str">
        <f t="shared" si="14"/>
        <v>-250729D</v>
      </c>
      <c r="BK27" t="str">
        <f t="shared" si="10"/>
        <v>2025-07</v>
      </c>
    </row>
    <row r="28" spans="1:63">
      <c r="B28" s="1">
        <v>45868</v>
      </c>
      <c r="C28" t="s">
        <v>920</v>
      </c>
      <c r="D28" t="s">
        <v>921</v>
      </c>
      <c r="G28" s="130" t="s">
        <v>915</v>
      </c>
      <c r="H28">
        <v>3</v>
      </c>
      <c r="I28">
        <f t="shared" si="18"/>
        <v>540</v>
      </c>
      <c r="L28">
        <v>2</v>
      </c>
      <c r="M28">
        <v>32</v>
      </c>
      <c r="P28" s="130">
        <f t="shared" si="15"/>
        <v>34</v>
      </c>
      <c r="Q28" s="17">
        <f t="shared" si="13"/>
        <v>4910</v>
      </c>
      <c r="R28">
        <v>3.75</v>
      </c>
      <c r="W28">
        <f>11-3.75</f>
        <v>7.25</v>
      </c>
      <c r="AB28">
        <v>1</v>
      </c>
      <c r="AD28">
        <f t="shared" si="1"/>
        <v>12</v>
      </c>
      <c r="AE28" s="11">
        <f t="shared" si="11"/>
        <v>6887.5</v>
      </c>
      <c r="AF28" s="11"/>
      <c r="AG28" s="11"/>
      <c r="AH28" s="99">
        <v>2</v>
      </c>
      <c r="AI28" s="99">
        <v>8</v>
      </c>
      <c r="AJ28" s="99"/>
      <c r="AK28" s="99"/>
      <c r="AL28" s="99">
        <v>2</v>
      </c>
      <c r="AM28" s="99"/>
      <c r="AN28" s="99"/>
      <c r="AO28" s="99"/>
      <c r="AP28" s="99"/>
      <c r="AQ28" s="99"/>
      <c r="AR28" s="99"/>
      <c r="AS28" s="99"/>
      <c r="AT28" s="99">
        <v>1</v>
      </c>
      <c r="AU28" s="99"/>
      <c r="AV28" s="99"/>
      <c r="AW28" s="2">
        <f t="shared" si="2"/>
        <v>3166</v>
      </c>
      <c r="AX28" s="142">
        <f t="shared" si="3"/>
        <v>15503.5</v>
      </c>
      <c r="AY28" s="11">
        <f>SUM($AX$6:AX28)</f>
        <v>297748.5</v>
      </c>
      <c r="AZ28" s="11">
        <f ca="1">IF(B28&lt;TODAY(), SUMIFS($AX$6:AX28, $BK$6:BK28, BK28), "")</f>
        <v>297748.5</v>
      </c>
      <c r="BA28" s="11">
        <f t="shared" ca="1" si="4"/>
        <v>455.98529411764707</v>
      </c>
      <c r="BB28" s="11"/>
      <c r="BC28" s="15"/>
      <c r="BD28" s="10"/>
      <c r="BE28" s="14"/>
      <c r="BF28" t="str">
        <f t="shared" si="5"/>
        <v>25</v>
      </c>
      <c r="BG28" t="str">
        <f t="shared" si="6"/>
        <v>07</v>
      </c>
      <c r="BH28" s="98">
        <f t="shared" si="17"/>
        <v>30</v>
      </c>
      <c r="BI28" t="str">
        <f t="shared" si="8"/>
        <v>4</v>
      </c>
      <c r="BJ28" t="str">
        <f t="shared" si="14"/>
        <v>-250730D</v>
      </c>
      <c r="BK28" t="str">
        <f t="shared" si="10"/>
        <v>2025-07</v>
      </c>
    </row>
    <row r="29" spans="1:63">
      <c r="B29" s="1">
        <v>45869</v>
      </c>
      <c r="C29" t="s">
        <v>922</v>
      </c>
      <c r="G29" s="130" t="s">
        <v>915</v>
      </c>
      <c r="H29">
        <v>3</v>
      </c>
      <c r="I29">
        <f t="shared" si="18"/>
        <v>540</v>
      </c>
      <c r="L29">
        <v>2</v>
      </c>
      <c r="M29">
        <v>72</v>
      </c>
      <c r="P29" s="130">
        <f t="shared" si="15"/>
        <v>74</v>
      </c>
      <c r="Q29" s="17">
        <f t="shared" si="13"/>
        <v>10310</v>
      </c>
      <c r="R29">
        <v>6.25</v>
      </c>
      <c r="S29" s="130">
        <v>1</v>
      </c>
      <c r="T29">
        <v>5</v>
      </c>
      <c r="W29">
        <f>12-6.25</f>
        <v>5.75</v>
      </c>
      <c r="Y29">
        <v>0</v>
      </c>
      <c r="Z29">
        <v>0</v>
      </c>
      <c r="AA29">
        <v>0</v>
      </c>
      <c r="AB29">
        <v>0</v>
      </c>
      <c r="AD29">
        <f t="shared" si="1"/>
        <v>12</v>
      </c>
      <c r="AE29" s="11">
        <f t="shared" si="11"/>
        <v>5462.5</v>
      </c>
      <c r="AF29" s="11"/>
      <c r="AG29" s="11"/>
      <c r="AH29" s="99">
        <v>3</v>
      </c>
      <c r="AI29" s="99">
        <v>12</v>
      </c>
      <c r="AJ29" s="99"/>
      <c r="AK29" s="99"/>
      <c r="AL29" s="99"/>
      <c r="AM29" s="99"/>
      <c r="AN29" s="99"/>
      <c r="AO29" s="99"/>
      <c r="AP29" s="99"/>
      <c r="AQ29" s="99"/>
      <c r="AR29" s="99"/>
      <c r="AS29" s="99"/>
      <c r="AT29" s="99"/>
      <c r="AU29" s="99"/>
      <c r="AV29" s="99"/>
      <c r="AW29" s="2">
        <f t="shared" si="2"/>
        <v>624</v>
      </c>
      <c r="AX29" s="142">
        <f t="shared" si="3"/>
        <v>16936.5</v>
      </c>
      <c r="AY29" s="11">
        <f>SUM($AX$6:AX29)</f>
        <v>314685</v>
      </c>
      <c r="AZ29" s="11">
        <f ca="1">IF(B29&lt;TODAY(), SUMIFS($AX$6:AX29, $BK$6:BK29, BK29), "")</f>
        <v>314685</v>
      </c>
      <c r="BA29" s="11">
        <f t="shared" ca="1" si="4"/>
        <v>228.87162162162161</v>
      </c>
      <c r="BB29" s="11" t="s">
        <v>923</v>
      </c>
      <c r="BC29" s="15"/>
      <c r="BD29" s="10"/>
      <c r="BE29" s="14"/>
      <c r="BF29" t="str">
        <f t="shared" si="5"/>
        <v>25</v>
      </c>
      <c r="BG29" t="str">
        <f t="shared" si="6"/>
        <v>07</v>
      </c>
      <c r="BH29" s="98">
        <f t="shared" si="17"/>
        <v>31</v>
      </c>
      <c r="BI29" t="str">
        <f t="shared" si="8"/>
        <v>4</v>
      </c>
      <c r="BJ29" t="str">
        <f t="shared" si="14"/>
        <v>-250731D</v>
      </c>
      <c r="BK29" t="str">
        <f t="shared" si="10"/>
        <v>2025-07</v>
      </c>
    </row>
    <row r="30" spans="1:63">
      <c r="B30" s="1">
        <v>45870</v>
      </c>
      <c r="C30" t="s">
        <v>922</v>
      </c>
      <c r="D30" t="s">
        <v>924</v>
      </c>
      <c r="G30" s="130" t="s">
        <v>915</v>
      </c>
      <c r="H30">
        <v>3</v>
      </c>
      <c r="I30">
        <f t="shared" si="18"/>
        <v>540</v>
      </c>
      <c r="L30">
        <v>2</v>
      </c>
      <c r="M30">
        <v>26</v>
      </c>
      <c r="P30" s="130">
        <f t="shared" si="15"/>
        <v>28</v>
      </c>
      <c r="Q30" s="17">
        <f t="shared" si="13"/>
        <v>4100</v>
      </c>
      <c r="R30">
        <v>4.75</v>
      </c>
      <c r="T30">
        <v>3.25</v>
      </c>
      <c r="W30">
        <f>12-4.75</f>
        <v>7.25</v>
      </c>
      <c r="AD30">
        <f t="shared" si="1"/>
        <v>12</v>
      </c>
      <c r="AE30" s="11">
        <f t="shared" si="11"/>
        <v>6887.5</v>
      </c>
      <c r="AF30" s="11"/>
      <c r="AG30" s="11"/>
      <c r="AH30" s="99"/>
      <c r="AI30" s="99"/>
      <c r="AJ30" s="99"/>
      <c r="AK30" s="99"/>
      <c r="AL30" s="99">
        <v>2</v>
      </c>
      <c r="AM30" s="99"/>
      <c r="AN30" s="99"/>
      <c r="AO30" s="99"/>
      <c r="AP30" s="99"/>
      <c r="AQ30" s="99"/>
      <c r="AR30" s="99"/>
      <c r="AS30" s="99"/>
      <c r="AT30" s="99">
        <v>1</v>
      </c>
      <c r="AU30" s="99"/>
      <c r="AV30" s="99"/>
      <c r="AW30" s="2">
        <f t="shared" si="2"/>
        <v>2750</v>
      </c>
      <c r="AX30" s="142">
        <f t="shared" si="3"/>
        <v>14277.5</v>
      </c>
      <c r="AY30" s="11">
        <f>SUM($AX$6:AX30)</f>
        <v>328962.5</v>
      </c>
      <c r="AZ30" s="11">
        <f ca="1">IF(B30&lt;TODAY(), SUMIFS($AX$6:AX30, $BK$6:BK30, BK30), "")</f>
        <v>14277.5</v>
      </c>
      <c r="BA30" s="11">
        <f t="shared" ca="1" si="4"/>
        <v>509.91071428571428</v>
      </c>
      <c r="BB30" s="11"/>
      <c r="BC30" s="15"/>
      <c r="BE30" s="14"/>
      <c r="BF30" t="str">
        <f t="shared" si="5"/>
        <v>25</v>
      </c>
      <c r="BG30" t="str">
        <f t="shared" si="6"/>
        <v>08</v>
      </c>
      <c r="BH30" s="98">
        <f t="shared" si="17"/>
        <v>1</v>
      </c>
      <c r="BI30" t="str">
        <f t="shared" si="8"/>
        <v>4</v>
      </c>
      <c r="BJ30" t="str">
        <f t="shared" si="14"/>
        <v>-25081D</v>
      </c>
      <c r="BK30" t="str">
        <f t="shared" si="10"/>
        <v>2025-08</v>
      </c>
    </row>
    <row r="31" spans="1:63">
      <c r="B31" s="1">
        <v>45871</v>
      </c>
      <c r="C31" t="s">
        <v>924</v>
      </c>
      <c r="G31" s="130" t="s">
        <v>915</v>
      </c>
      <c r="H31">
        <v>3</v>
      </c>
      <c r="I31">
        <f t="shared" si="18"/>
        <v>540</v>
      </c>
      <c r="L31">
        <v>7</v>
      </c>
      <c r="M31">
        <v>23</v>
      </c>
      <c r="P31" s="130">
        <f t="shared" si="15"/>
        <v>30</v>
      </c>
      <c r="Q31" s="17">
        <f t="shared" si="13"/>
        <v>5170</v>
      </c>
      <c r="R31">
        <v>5</v>
      </c>
      <c r="W31">
        <v>7</v>
      </c>
      <c r="AD31">
        <f t="shared" si="1"/>
        <v>12</v>
      </c>
      <c r="AE31" s="11">
        <f t="shared" si="11"/>
        <v>6650</v>
      </c>
      <c r="AF31" s="11"/>
      <c r="AG31" s="11"/>
      <c r="AH31" s="99">
        <v>6</v>
      </c>
      <c r="AI31" s="99">
        <v>18</v>
      </c>
      <c r="AJ31" s="99"/>
      <c r="AK31" s="99"/>
      <c r="AL31" s="99">
        <v>4</v>
      </c>
      <c r="AM31" s="99"/>
      <c r="AN31" s="99"/>
      <c r="AO31" s="99"/>
      <c r="AP31" s="99"/>
      <c r="AQ31" s="99"/>
      <c r="AR31" s="99">
        <v>1</v>
      </c>
      <c r="AS31" s="99"/>
      <c r="AT31" s="99">
        <v>1</v>
      </c>
      <c r="AU31" s="99"/>
      <c r="AV31" s="99"/>
      <c r="AW31" s="2">
        <f t="shared" si="2"/>
        <v>4784</v>
      </c>
      <c r="AX31" s="142">
        <f t="shared" si="3"/>
        <v>17144</v>
      </c>
      <c r="AY31" s="11">
        <f>SUM($AX$6:AX31)</f>
        <v>346106.5</v>
      </c>
      <c r="AZ31" s="11">
        <f ca="1">IF(B31&lt;TODAY(), SUMIFS($AX$6:AX31, $BK$6:BK31, BK31), "")</f>
        <v>31421.5</v>
      </c>
      <c r="BA31" s="11">
        <f t="shared" ca="1" si="4"/>
        <v>571.4666666666667</v>
      </c>
      <c r="BB31" s="11"/>
      <c r="BC31" s="15"/>
      <c r="BE31" s="14"/>
      <c r="BF31" t="str">
        <f t="shared" si="5"/>
        <v>25</v>
      </c>
      <c r="BG31" t="str">
        <f t="shared" si="6"/>
        <v>08</v>
      </c>
      <c r="BH31" s="98">
        <f t="shared" si="17"/>
        <v>2</v>
      </c>
      <c r="BI31" t="str">
        <f t="shared" si="8"/>
        <v>4</v>
      </c>
      <c r="BJ31" t="str">
        <f t="shared" si="14"/>
        <v>-25082D</v>
      </c>
      <c r="BK31" t="str">
        <f t="shared" si="10"/>
        <v>2025-08</v>
      </c>
    </row>
    <row r="32" spans="1:63">
      <c r="B32" s="1">
        <v>45872</v>
      </c>
      <c r="G32" s="130" t="s">
        <v>915</v>
      </c>
      <c r="H32">
        <v>3</v>
      </c>
      <c r="I32">
        <f t="shared" si="18"/>
        <v>540</v>
      </c>
      <c r="L32">
        <v>8</v>
      </c>
      <c r="P32" s="130">
        <f t="shared" si="15"/>
        <v>8</v>
      </c>
      <c r="Q32" s="17">
        <f t="shared" si="13"/>
        <v>2360</v>
      </c>
      <c r="R32">
        <v>0.75</v>
      </c>
      <c r="T32">
        <v>2</v>
      </c>
      <c r="W32">
        <v>10.25</v>
      </c>
      <c r="AB32">
        <v>1</v>
      </c>
      <c r="AD32">
        <f t="shared" si="1"/>
        <v>12</v>
      </c>
      <c r="AE32" s="11">
        <f t="shared" si="11"/>
        <v>9737.5</v>
      </c>
      <c r="AF32" s="11"/>
      <c r="AG32" s="11"/>
      <c r="AH32" s="99">
        <v>6</v>
      </c>
      <c r="AI32" s="99"/>
      <c r="AJ32" s="99"/>
      <c r="AK32" s="99"/>
      <c r="AL32" s="99"/>
      <c r="AM32" s="99"/>
      <c r="AN32" s="99"/>
      <c r="AO32" s="99"/>
      <c r="AP32" s="99"/>
      <c r="AQ32" s="99"/>
      <c r="AR32" s="99"/>
      <c r="AS32" s="99"/>
      <c r="AT32" s="99"/>
      <c r="AU32" s="99"/>
      <c r="AV32" s="99"/>
      <c r="AW32" s="2">
        <f t="shared" si="2"/>
        <v>192</v>
      </c>
      <c r="AX32" s="142">
        <f t="shared" si="3"/>
        <v>12829.5</v>
      </c>
      <c r="AY32" s="11">
        <f>SUM($AX$6:AX32)</f>
        <v>358936</v>
      </c>
      <c r="AZ32" s="11">
        <f ca="1">IF(B32&lt;TODAY(), SUMIFS($AX$6:AX32, $BK$6:BK32, BK32), "")</f>
        <v>44251</v>
      </c>
      <c r="BA32" s="11">
        <f t="shared" ca="1" si="4"/>
        <v>1603.6875</v>
      </c>
      <c r="BB32" s="11"/>
      <c r="BC32" s="15"/>
      <c r="BE32" s="14"/>
      <c r="BF32" t="str">
        <f t="shared" si="5"/>
        <v>25</v>
      </c>
      <c r="BG32" t="str">
        <f t="shared" si="6"/>
        <v>08</v>
      </c>
      <c r="BH32" s="98">
        <f t="shared" si="17"/>
        <v>3</v>
      </c>
      <c r="BI32" t="str">
        <f t="shared" si="8"/>
        <v>4</v>
      </c>
      <c r="BJ32" t="str">
        <f t="shared" si="14"/>
        <v>-25083D</v>
      </c>
      <c r="BK32" t="str">
        <f t="shared" si="10"/>
        <v>2025-08</v>
      </c>
    </row>
    <row r="33" spans="2:63">
      <c r="B33" s="1">
        <v>45873</v>
      </c>
      <c r="Q33" s="17"/>
      <c r="AE33" s="11"/>
      <c r="AF33" s="11"/>
      <c r="AG33" s="11"/>
      <c r="AH33" s="99"/>
      <c r="AI33" s="99"/>
      <c r="AJ33" s="99"/>
      <c r="AK33" s="99"/>
      <c r="AL33" s="99"/>
      <c r="AM33" s="99"/>
      <c r="AN33" s="99"/>
      <c r="AO33" s="99"/>
      <c r="AP33" s="99"/>
      <c r="AQ33" s="99"/>
      <c r="AR33" s="99"/>
      <c r="AS33" s="99"/>
      <c r="AT33" s="99"/>
      <c r="AU33" s="99"/>
      <c r="AV33" s="99"/>
      <c r="AW33" s="2"/>
      <c r="AX33" s="142"/>
      <c r="AY33" s="11"/>
      <c r="AZ33" s="11"/>
      <c r="BA33" s="11"/>
      <c r="BB33" s="11"/>
      <c r="BC33" s="15"/>
      <c r="BE33" s="14"/>
    </row>
    <row r="34" spans="2:63">
      <c r="B34" s="1">
        <v>45874</v>
      </c>
      <c r="P34" s="130">
        <f t="shared" si="15"/>
        <v>0</v>
      </c>
      <c r="Q34" s="17">
        <f t="shared" si="13"/>
        <v>0</v>
      </c>
      <c r="R34">
        <v>0</v>
      </c>
      <c r="AE34" s="11">
        <f t="shared" si="11"/>
        <v>0</v>
      </c>
      <c r="AF34" s="11"/>
      <c r="AG34" s="11"/>
      <c r="AH34" s="99"/>
      <c r="AI34" s="99"/>
      <c r="AJ34" s="99"/>
      <c r="AK34" s="99"/>
      <c r="AL34" s="99"/>
      <c r="AM34" s="99"/>
      <c r="AN34" s="99"/>
      <c r="AO34" s="99"/>
      <c r="AP34" s="99"/>
      <c r="AQ34" s="99"/>
      <c r="AR34" s="99"/>
      <c r="AS34" s="99"/>
      <c r="AT34" s="99"/>
      <c r="AU34" s="99"/>
      <c r="AV34" s="99"/>
      <c r="AW34" s="2">
        <f t="shared" ref="AW34:AW71" si="19">($AH$3*AH34)+($AI$3*AI34)+($AJ$3*AJ34)+($AL$3*AL34)+($AN$3*AN34)+($AO$3*AO34)+($AP$3*AP34)+($AQ$3*AQ34)+($AR$3*AR34)+($AS$3*AS34)+AV34</f>
        <v>0</v>
      </c>
      <c r="AX34" s="142" t="e">
        <f>I34+#REF!+AE34+AW34</f>
        <v>#REF!</v>
      </c>
      <c r="AY34" s="11" t="e">
        <f>SUM($AX$6:AX34)</f>
        <v>#REF!</v>
      </c>
      <c r="AZ34" s="11" t="e">
        <f ca="1">IF(B34&lt;TODAY(), SUMIFS($AX$6:AX34, $BK$6:BK34, BK34), "")</f>
        <v>#REF!</v>
      </c>
      <c r="BA34" s="11" t="str">
        <f t="shared" ref="BA34:BA43" ca="1" si="20">IF(B34&gt;TODAY()-1,"",(IF(P34=0,"No drilling completed today, if maintenance provide context -&gt;",AX34/P34)))</f>
        <v>No drilling completed today, if maintenance provide context -&gt;</v>
      </c>
      <c r="BB34" s="11"/>
      <c r="BC34" s="15"/>
      <c r="BE34" s="14"/>
      <c r="BF34" t="str">
        <f t="shared" ref="BF34:BF65" si="21">RIGHT(YEAR(B34),2)</f>
        <v>25</v>
      </c>
      <c r="BG34" t="str">
        <f t="shared" ref="BG34:BG65" si="22">_xlfn.TEXTJOIN(,TRUE,"0",MONTH(B34))</f>
        <v>08</v>
      </c>
      <c r="BH34" s="98">
        <f t="shared" ref="BH34:BH46" si="23">DAY(B34)</f>
        <v>5</v>
      </c>
      <c r="BI34" t="str">
        <f t="shared" ref="BI34:BI65" si="24">LEFT(B34,1)</f>
        <v>4</v>
      </c>
      <c r="BJ34" t="str">
        <f t="shared" si="14"/>
        <v>-25085D</v>
      </c>
      <c r="BK34" t="str">
        <f t="shared" ref="BK34:BK65" si="25">TEXT(B34, "yyyy-mm")</f>
        <v>2025-08</v>
      </c>
    </row>
    <row r="35" spans="2:63">
      <c r="B35" s="1">
        <v>45875</v>
      </c>
      <c r="P35" s="130">
        <f t="shared" si="15"/>
        <v>0</v>
      </c>
      <c r="Q35" s="17">
        <f t="shared" si="13"/>
        <v>0</v>
      </c>
      <c r="R35">
        <v>0</v>
      </c>
      <c r="AE35" s="11">
        <f t="shared" si="11"/>
        <v>0</v>
      </c>
      <c r="AF35" s="11"/>
      <c r="AG35" s="11"/>
      <c r="AH35" s="99"/>
      <c r="AI35" s="99"/>
      <c r="AJ35" s="99"/>
      <c r="AK35" s="99"/>
      <c r="AL35" s="99"/>
      <c r="AM35" s="99"/>
      <c r="AN35" s="99"/>
      <c r="AO35" s="99"/>
      <c r="AP35" s="99"/>
      <c r="AQ35" s="99"/>
      <c r="AR35" s="99"/>
      <c r="AS35" s="99"/>
      <c r="AT35" s="99"/>
      <c r="AU35" s="99"/>
      <c r="AV35" s="99"/>
      <c r="AW35" s="2">
        <f t="shared" si="19"/>
        <v>0</v>
      </c>
      <c r="AX35" s="142" t="e">
        <f>I35+#REF!+AE35+AW35</f>
        <v>#REF!</v>
      </c>
      <c r="AY35" s="11" t="e">
        <f>SUM($AX$6:AX35)</f>
        <v>#REF!</v>
      </c>
      <c r="AZ35" s="11" t="e">
        <f ca="1">IF(B35&lt;TODAY(), SUMIFS($AX$6:AX35, $BK$6:BK35, BK35), "")</f>
        <v>#REF!</v>
      </c>
      <c r="BA35" s="11" t="str">
        <f t="shared" ca="1" si="20"/>
        <v>No drilling completed today, if maintenance provide context -&gt;</v>
      </c>
      <c r="BB35" s="11"/>
      <c r="BC35" s="15"/>
      <c r="BE35" s="14"/>
      <c r="BF35" t="str">
        <f t="shared" si="21"/>
        <v>25</v>
      </c>
      <c r="BG35" t="str">
        <f t="shared" si="22"/>
        <v>08</v>
      </c>
      <c r="BH35" s="98">
        <f t="shared" si="23"/>
        <v>6</v>
      </c>
      <c r="BI35" t="str">
        <f t="shared" si="24"/>
        <v>4</v>
      </c>
      <c r="BJ35" t="str">
        <f t="shared" si="14"/>
        <v>-25086D</v>
      </c>
      <c r="BK35" t="str">
        <f t="shared" si="25"/>
        <v>2025-08</v>
      </c>
    </row>
    <row r="36" spans="2:63">
      <c r="B36" s="1">
        <v>45876</v>
      </c>
      <c r="P36" s="130">
        <f t="shared" si="15"/>
        <v>0</v>
      </c>
      <c r="Q36" s="17">
        <f t="shared" si="13"/>
        <v>0</v>
      </c>
      <c r="R36">
        <v>0</v>
      </c>
      <c r="AE36" s="11">
        <f t="shared" si="11"/>
        <v>0</v>
      </c>
      <c r="AF36" s="11"/>
      <c r="AG36" s="11"/>
      <c r="AH36" s="99"/>
      <c r="AI36" s="99"/>
      <c r="AJ36" s="99"/>
      <c r="AK36" s="99"/>
      <c r="AL36" s="99"/>
      <c r="AM36" s="99"/>
      <c r="AN36" s="99"/>
      <c r="AO36" s="99"/>
      <c r="AP36" s="99"/>
      <c r="AQ36" s="99"/>
      <c r="AR36" s="99"/>
      <c r="AS36" s="99"/>
      <c r="AT36" s="99"/>
      <c r="AU36" s="99"/>
      <c r="AV36" s="99"/>
      <c r="AW36" s="2">
        <f t="shared" si="19"/>
        <v>0</v>
      </c>
      <c r="AX36" s="142" t="e">
        <f>I36+#REF!+AE36+AW36</f>
        <v>#REF!</v>
      </c>
      <c r="AY36" s="11" t="e">
        <f>SUM($AX$6:AX36)</f>
        <v>#REF!</v>
      </c>
      <c r="AZ36" s="11" t="e">
        <f ca="1">IF(B36&lt;TODAY(), SUMIFS($AX$6:AX36, $BK$6:BK36, BK36), "")</f>
        <v>#REF!</v>
      </c>
      <c r="BA36" s="11" t="str">
        <f t="shared" ca="1" si="20"/>
        <v>No drilling completed today, if maintenance provide context -&gt;</v>
      </c>
      <c r="BB36" s="11"/>
      <c r="BC36" s="15"/>
      <c r="BE36" s="14"/>
      <c r="BF36" t="str">
        <f t="shared" si="21"/>
        <v>25</v>
      </c>
      <c r="BG36" t="str">
        <f t="shared" si="22"/>
        <v>08</v>
      </c>
      <c r="BH36" s="98">
        <f t="shared" si="23"/>
        <v>7</v>
      </c>
      <c r="BI36" t="str">
        <f t="shared" si="24"/>
        <v>4</v>
      </c>
      <c r="BJ36" t="str">
        <f t="shared" si="14"/>
        <v>-25087D</v>
      </c>
      <c r="BK36" t="str">
        <f t="shared" si="25"/>
        <v>2025-08</v>
      </c>
    </row>
    <row r="37" spans="2:63">
      <c r="B37" s="1">
        <v>45877</v>
      </c>
      <c r="P37" s="130">
        <f t="shared" si="15"/>
        <v>0</v>
      </c>
      <c r="Q37" s="17">
        <f t="shared" si="13"/>
        <v>0</v>
      </c>
      <c r="R37">
        <v>0</v>
      </c>
      <c r="AE37" s="11">
        <f t="shared" si="11"/>
        <v>0</v>
      </c>
      <c r="AF37" s="11"/>
      <c r="AG37" s="11"/>
      <c r="AH37" s="99"/>
      <c r="AI37" s="99"/>
      <c r="AJ37" s="99"/>
      <c r="AK37" s="99"/>
      <c r="AL37" s="99"/>
      <c r="AM37" s="99"/>
      <c r="AN37" s="99"/>
      <c r="AO37" s="99"/>
      <c r="AP37" s="99"/>
      <c r="AQ37" s="99"/>
      <c r="AR37" s="99"/>
      <c r="AS37" s="99"/>
      <c r="AT37" s="99"/>
      <c r="AU37" s="99"/>
      <c r="AV37" s="99"/>
      <c r="AW37" s="2">
        <f t="shared" si="19"/>
        <v>0</v>
      </c>
      <c r="AX37" s="142" t="e">
        <f>I37+#REF!+AE37+AW37</f>
        <v>#REF!</v>
      </c>
      <c r="AY37" s="11" t="e">
        <f>SUM($AX$6:AX37)</f>
        <v>#REF!</v>
      </c>
      <c r="AZ37" s="11" t="e">
        <f ca="1">IF(B37&lt;TODAY(), SUMIFS($AX$6:AX37, $BK$6:BK37, BK37), "")</f>
        <v>#REF!</v>
      </c>
      <c r="BA37" s="11" t="str">
        <f t="shared" ca="1" si="20"/>
        <v>No drilling completed today, if maintenance provide context -&gt;</v>
      </c>
      <c r="BB37" s="11"/>
      <c r="BC37" s="15"/>
      <c r="BE37" s="14"/>
      <c r="BF37" t="str">
        <f t="shared" si="21"/>
        <v>25</v>
      </c>
      <c r="BG37" t="str">
        <f t="shared" si="22"/>
        <v>08</v>
      </c>
      <c r="BH37" s="98">
        <f t="shared" si="23"/>
        <v>8</v>
      </c>
      <c r="BI37" t="str">
        <f t="shared" si="24"/>
        <v>4</v>
      </c>
      <c r="BJ37" t="str">
        <f t="shared" si="14"/>
        <v>-25088D</v>
      </c>
      <c r="BK37" t="str">
        <f t="shared" si="25"/>
        <v>2025-08</v>
      </c>
    </row>
    <row r="38" spans="2:63">
      <c r="B38" s="1">
        <v>45878</v>
      </c>
      <c r="P38" s="130">
        <f t="shared" si="15"/>
        <v>0</v>
      </c>
      <c r="Q38" s="17">
        <f t="shared" si="13"/>
        <v>0</v>
      </c>
      <c r="R38">
        <v>0</v>
      </c>
      <c r="AE38" s="11">
        <f t="shared" si="11"/>
        <v>0</v>
      </c>
      <c r="AF38" s="11"/>
      <c r="AG38" s="11"/>
      <c r="AH38" s="99"/>
      <c r="AI38" s="99"/>
      <c r="AJ38" s="99"/>
      <c r="AK38" s="99"/>
      <c r="AL38" s="99"/>
      <c r="AM38" s="99"/>
      <c r="AN38" s="99"/>
      <c r="AO38" s="99"/>
      <c r="AP38" s="99"/>
      <c r="AQ38" s="99"/>
      <c r="AR38" s="99"/>
      <c r="AS38" s="99"/>
      <c r="AT38" s="99"/>
      <c r="AU38" s="99"/>
      <c r="AV38" s="99"/>
      <c r="AW38" s="2">
        <f t="shared" si="19"/>
        <v>0</v>
      </c>
      <c r="AX38" s="142" t="e">
        <f>I38+#REF!+AE38+AW38</f>
        <v>#REF!</v>
      </c>
      <c r="AY38" s="11" t="e">
        <f>SUM($AX$6:AX38)</f>
        <v>#REF!</v>
      </c>
      <c r="AZ38" s="11" t="e">
        <f ca="1">IF(B38&lt;TODAY(), SUMIFS($AX$6:AX38, $BK$6:BK38, BK38), "")</f>
        <v>#REF!</v>
      </c>
      <c r="BA38" s="11" t="str">
        <f t="shared" ca="1" si="20"/>
        <v>No drilling completed today, if maintenance provide context -&gt;</v>
      </c>
      <c r="BB38" s="11"/>
      <c r="BC38" s="15"/>
      <c r="BE38" s="14"/>
      <c r="BF38" t="str">
        <f t="shared" si="21"/>
        <v>25</v>
      </c>
      <c r="BG38" t="str">
        <f t="shared" si="22"/>
        <v>08</v>
      </c>
      <c r="BH38" s="98">
        <f t="shared" si="23"/>
        <v>9</v>
      </c>
      <c r="BI38" t="str">
        <f t="shared" si="24"/>
        <v>4</v>
      </c>
      <c r="BJ38" t="str">
        <f t="shared" si="14"/>
        <v>-25089D</v>
      </c>
      <c r="BK38" t="str">
        <f t="shared" si="25"/>
        <v>2025-08</v>
      </c>
    </row>
    <row r="39" spans="2:63">
      <c r="B39" s="1">
        <v>45879</v>
      </c>
      <c r="P39" s="130">
        <f t="shared" si="15"/>
        <v>0</v>
      </c>
      <c r="Q39" s="17">
        <f t="shared" si="13"/>
        <v>0</v>
      </c>
      <c r="R39">
        <v>0</v>
      </c>
      <c r="AE39" s="11">
        <f t="shared" si="11"/>
        <v>0</v>
      </c>
      <c r="AF39" s="11"/>
      <c r="AG39" s="11"/>
      <c r="AH39" s="99"/>
      <c r="AI39" s="99"/>
      <c r="AJ39" s="99"/>
      <c r="AK39" s="99"/>
      <c r="AL39" s="99"/>
      <c r="AM39" s="99"/>
      <c r="AN39" s="99"/>
      <c r="AO39" s="99"/>
      <c r="AP39" s="99"/>
      <c r="AQ39" s="99"/>
      <c r="AR39" s="99"/>
      <c r="AS39" s="99"/>
      <c r="AT39" s="99"/>
      <c r="AU39" s="99"/>
      <c r="AV39" s="99"/>
      <c r="AW39" s="2">
        <f t="shared" si="19"/>
        <v>0</v>
      </c>
      <c r="AX39" s="142" t="e">
        <f>I39+#REF!+AE39+AW39</f>
        <v>#REF!</v>
      </c>
      <c r="AY39" s="11" t="e">
        <f>SUM($AX$6:AX39)</f>
        <v>#REF!</v>
      </c>
      <c r="AZ39" s="11" t="e">
        <f ca="1">IF(B39&lt;TODAY(), SUMIFS($AX$6:AX39, $BK$6:BK39, BK39), "")</f>
        <v>#REF!</v>
      </c>
      <c r="BA39" s="11" t="str">
        <f t="shared" ca="1" si="20"/>
        <v>No drilling completed today, if maintenance provide context -&gt;</v>
      </c>
      <c r="BB39" s="11" t="s">
        <v>734</v>
      </c>
      <c r="BC39" s="15"/>
      <c r="BE39" s="14"/>
      <c r="BF39" t="str">
        <f t="shared" si="21"/>
        <v>25</v>
      </c>
      <c r="BG39" t="str">
        <f t="shared" si="22"/>
        <v>08</v>
      </c>
      <c r="BH39" s="98">
        <f t="shared" si="23"/>
        <v>10</v>
      </c>
      <c r="BI39" t="str">
        <f t="shared" si="24"/>
        <v>4</v>
      </c>
      <c r="BJ39" t="str">
        <f t="shared" si="14"/>
        <v>-250810D</v>
      </c>
      <c r="BK39" t="str">
        <f t="shared" si="25"/>
        <v>2025-08</v>
      </c>
    </row>
    <row r="40" spans="2:63">
      <c r="B40" s="1">
        <v>45880</v>
      </c>
      <c r="P40" s="130">
        <f t="shared" si="15"/>
        <v>0</v>
      </c>
      <c r="Q40" s="17">
        <f t="shared" si="13"/>
        <v>0</v>
      </c>
      <c r="R40">
        <v>0</v>
      </c>
      <c r="AE40" s="11">
        <f t="shared" si="11"/>
        <v>0</v>
      </c>
      <c r="AF40" s="11"/>
      <c r="AG40" s="11"/>
      <c r="AH40" s="99"/>
      <c r="AI40" s="99"/>
      <c r="AJ40" s="99"/>
      <c r="AK40" s="99"/>
      <c r="AL40" s="99"/>
      <c r="AM40" s="99"/>
      <c r="AN40" s="99"/>
      <c r="AO40" s="99"/>
      <c r="AP40" s="99"/>
      <c r="AQ40" s="99"/>
      <c r="AR40" s="99"/>
      <c r="AS40" s="99"/>
      <c r="AT40" s="99"/>
      <c r="AU40" s="99"/>
      <c r="AV40" s="99"/>
      <c r="AW40" s="2">
        <f t="shared" si="19"/>
        <v>0</v>
      </c>
      <c r="AX40" s="142" t="e">
        <f>I40+#REF!+AE40+AW40</f>
        <v>#REF!</v>
      </c>
      <c r="AY40" s="11" t="e">
        <f>SUM($AX$6:AX40)</f>
        <v>#REF!</v>
      </c>
      <c r="AZ40" s="11" t="e">
        <f ca="1">IF(B40&lt;TODAY(), SUMIFS($AX$6:AX40, $BK$6:BK40, BK40), "")</f>
        <v>#REF!</v>
      </c>
      <c r="BA40" s="11" t="str">
        <f t="shared" ca="1" si="20"/>
        <v>No drilling completed today, if maintenance provide context -&gt;</v>
      </c>
      <c r="BB40" s="11" t="s">
        <v>736</v>
      </c>
      <c r="BC40" s="15"/>
      <c r="BE40" s="14"/>
      <c r="BF40" t="str">
        <f t="shared" si="21"/>
        <v>25</v>
      </c>
      <c r="BG40" t="str">
        <f t="shared" si="22"/>
        <v>08</v>
      </c>
      <c r="BH40" s="98">
        <f t="shared" si="23"/>
        <v>11</v>
      </c>
      <c r="BI40" t="str">
        <f t="shared" si="24"/>
        <v>4</v>
      </c>
      <c r="BJ40" t="str">
        <f t="shared" si="14"/>
        <v>-250811D</v>
      </c>
      <c r="BK40" t="str">
        <f t="shared" si="25"/>
        <v>2025-08</v>
      </c>
    </row>
    <row r="41" spans="2:63">
      <c r="B41" s="1">
        <v>45881</v>
      </c>
      <c r="P41" s="130">
        <f t="shared" si="15"/>
        <v>0</v>
      </c>
      <c r="Q41" s="17">
        <f t="shared" si="13"/>
        <v>0</v>
      </c>
      <c r="R41">
        <v>0</v>
      </c>
      <c r="AE41" s="11">
        <f t="shared" si="11"/>
        <v>0</v>
      </c>
      <c r="AF41" s="11"/>
      <c r="AG41" s="11"/>
      <c r="AH41" s="99"/>
      <c r="AI41" s="99"/>
      <c r="AJ41" s="99"/>
      <c r="AK41" s="99"/>
      <c r="AL41" s="99"/>
      <c r="AM41" s="99"/>
      <c r="AN41" s="99"/>
      <c r="AO41" s="99"/>
      <c r="AP41" s="99"/>
      <c r="AQ41" s="99"/>
      <c r="AR41" s="99"/>
      <c r="AS41" s="99"/>
      <c r="AT41" s="99"/>
      <c r="AU41" s="99"/>
      <c r="AV41" s="99"/>
      <c r="AW41" s="2">
        <f t="shared" si="19"/>
        <v>0</v>
      </c>
      <c r="AX41" s="142" t="e">
        <f>I41+#REF!+AE41+AW41</f>
        <v>#REF!</v>
      </c>
      <c r="AY41" s="11" t="e">
        <f>SUM($AX$6:AX41)</f>
        <v>#REF!</v>
      </c>
      <c r="AZ41" s="11" t="e">
        <f ca="1">IF(B41&lt;TODAY(), SUMIFS($AX$6:AX41, $BK$6:BK41, BK41), "")</f>
        <v>#REF!</v>
      </c>
      <c r="BA41" s="11" t="str">
        <f t="shared" ca="1" si="20"/>
        <v>No drilling completed today, if maintenance provide context -&gt;</v>
      </c>
      <c r="BB41" s="11"/>
      <c r="BC41" s="15"/>
      <c r="BE41" s="14"/>
      <c r="BF41" t="str">
        <f t="shared" si="21"/>
        <v>25</v>
      </c>
      <c r="BG41" t="str">
        <f t="shared" si="22"/>
        <v>08</v>
      </c>
      <c r="BH41" s="98">
        <f t="shared" si="23"/>
        <v>12</v>
      </c>
      <c r="BI41" t="str">
        <f t="shared" si="24"/>
        <v>4</v>
      </c>
      <c r="BJ41" t="str">
        <f t="shared" si="14"/>
        <v>-250812D</v>
      </c>
      <c r="BK41" t="str">
        <f t="shared" si="25"/>
        <v>2025-08</v>
      </c>
    </row>
    <row r="42" spans="2:63">
      <c r="B42" s="1">
        <v>45882</v>
      </c>
      <c r="P42" s="130">
        <f t="shared" si="15"/>
        <v>0</v>
      </c>
      <c r="Q42" s="17">
        <f t="shared" si="13"/>
        <v>0</v>
      </c>
      <c r="R42">
        <v>0</v>
      </c>
      <c r="AE42" s="11">
        <f t="shared" si="11"/>
        <v>0</v>
      </c>
      <c r="AF42" s="11"/>
      <c r="AG42" s="11"/>
      <c r="AH42" s="99"/>
      <c r="AI42" s="99"/>
      <c r="AJ42" s="99"/>
      <c r="AK42" s="99"/>
      <c r="AL42" s="99"/>
      <c r="AM42" s="99"/>
      <c r="AN42" s="99"/>
      <c r="AO42" s="99"/>
      <c r="AP42" s="99"/>
      <c r="AQ42" s="99"/>
      <c r="AR42" s="99"/>
      <c r="AS42" s="99"/>
      <c r="AT42" s="99"/>
      <c r="AU42" s="99"/>
      <c r="AV42" s="99"/>
      <c r="AW42" s="2">
        <f t="shared" si="19"/>
        <v>0</v>
      </c>
      <c r="AX42" s="142" t="e">
        <f>I42+#REF!+AE42+AW42</f>
        <v>#REF!</v>
      </c>
      <c r="AY42" s="11" t="e">
        <f>SUM($AX$6:AX42)</f>
        <v>#REF!</v>
      </c>
      <c r="AZ42" s="11" t="e">
        <f ca="1">IF(B42&lt;TODAY(), SUMIFS($AX$6:AX42, $BK$6:BK42, BK42), "")</f>
        <v>#REF!</v>
      </c>
      <c r="BA42" s="11" t="str">
        <f t="shared" ca="1" si="20"/>
        <v>No drilling completed today, if maintenance provide context -&gt;</v>
      </c>
      <c r="BB42" s="11"/>
      <c r="BC42" s="15"/>
      <c r="BE42" s="14"/>
      <c r="BF42" t="str">
        <f t="shared" si="21"/>
        <v>25</v>
      </c>
      <c r="BG42" t="str">
        <f t="shared" si="22"/>
        <v>08</v>
      </c>
      <c r="BH42" s="98">
        <f t="shared" si="23"/>
        <v>13</v>
      </c>
      <c r="BI42" t="str">
        <f t="shared" si="24"/>
        <v>4</v>
      </c>
      <c r="BJ42" t="str">
        <f t="shared" si="14"/>
        <v>-250813D</v>
      </c>
      <c r="BK42" t="str">
        <f t="shared" si="25"/>
        <v>2025-08</v>
      </c>
    </row>
    <row r="43" spans="2:63">
      <c r="B43" s="1">
        <v>45883</v>
      </c>
      <c r="P43" s="130">
        <f t="shared" si="15"/>
        <v>0</v>
      </c>
      <c r="Q43" s="17">
        <f t="shared" si="13"/>
        <v>0</v>
      </c>
      <c r="R43">
        <v>0</v>
      </c>
      <c r="AE43" s="11">
        <f>(S43*$S$3)+(T43*$T$3)+(U43*$U$3)+(W43*$W$3)+(Y43*$Y$3)+(Z43*$Z$3)+(V43*$V$3)</f>
        <v>0</v>
      </c>
      <c r="AF43" s="11"/>
      <c r="AG43" s="11"/>
      <c r="AH43" s="99"/>
      <c r="AI43" s="99"/>
      <c r="AJ43" s="99"/>
      <c r="AK43" s="99"/>
      <c r="AL43" s="99"/>
      <c r="AM43" s="99"/>
      <c r="AN43" s="99"/>
      <c r="AO43" s="99"/>
      <c r="AP43" s="99"/>
      <c r="AQ43" s="99"/>
      <c r="AR43" s="99"/>
      <c r="AS43" s="99"/>
      <c r="AT43" s="99"/>
      <c r="AU43" s="99"/>
      <c r="AV43" s="99"/>
      <c r="AW43" s="2">
        <f t="shared" si="19"/>
        <v>0</v>
      </c>
      <c r="AX43" s="142" t="e">
        <f>I43+#REF!+AE43+AW43</f>
        <v>#REF!</v>
      </c>
      <c r="AY43" s="11" t="e">
        <f>SUM($AX$6:AX43)</f>
        <v>#REF!</v>
      </c>
      <c r="AZ43" s="11" t="e">
        <f ca="1">IF(B43&lt;TODAY(), SUMIFS($AX$6:AX43, $BK$6:BK43, BK43), "")</f>
        <v>#REF!</v>
      </c>
      <c r="BA43" s="11" t="str">
        <f t="shared" ca="1" si="20"/>
        <v>No drilling completed today, if maintenance provide context -&gt;</v>
      </c>
      <c r="BC43" s="15"/>
      <c r="BE43" s="14"/>
      <c r="BF43" t="str">
        <f t="shared" si="21"/>
        <v>25</v>
      </c>
      <c r="BG43" t="str">
        <f t="shared" si="22"/>
        <v>08</v>
      </c>
      <c r="BH43" s="98">
        <f t="shared" si="23"/>
        <v>14</v>
      </c>
      <c r="BI43" t="str">
        <f t="shared" si="24"/>
        <v>4</v>
      </c>
      <c r="BJ43" t="str">
        <f t="shared" si="14"/>
        <v>-250814D</v>
      </c>
      <c r="BK43" t="str">
        <f t="shared" si="25"/>
        <v>2025-08</v>
      </c>
    </row>
    <row r="44" spans="2:63">
      <c r="B44" s="1">
        <v>45884</v>
      </c>
      <c r="P44" s="130">
        <f t="shared" si="15"/>
        <v>0</v>
      </c>
      <c r="Q44" s="17">
        <f t="shared" si="13"/>
        <v>0</v>
      </c>
      <c r="R44">
        <v>0</v>
      </c>
      <c r="AH44" s="99"/>
      <c r="AI44" s="99"/>
      <c r="AJ44" s="99"/>
      <c r="AK44" s="99"/>
      <c r="AL44" s="99"/>
      <c r="AM44" s="99"/>
      <c r="AN44" s="99"/>
      <c r="AO44" s="99"/>
      <c r="AP44" s="99"/>
      <c r="AQ44" s="99"/>
      <c r="AR44" s="99"/>
      <c r="AS44" s="99"/>
      <c r="AT44" s="99"/>
      <c r="AU44" s="99"/>
      <c r="AV44" s="99"/>
      <c r="AW44" s="2">
        <f t="shared" si="19"/>
        <v>0</v>
      </c>
      <c r="AZ44" s="11" t="e">
        <f ca="1">IF(B44&lt;TODAY(), SUMIFS($AX$6:AX44, $BK$6:BK44, BK44), "")</f>
        <v>#REF!</v>
      </c>
      <c r="BC44" s="15"/>
      <c r="BE44" s="14"/>
      <c r="BF44" t="str">
        <f t="shared" si="21"/>
        <v>25</v>
      </c>
      <c r="BG44" t="str">
        <f t="shared" si="22"/>
        <v>08</v>
      </c>
      <c r="BH44" s="98">
        <f t="shared" si="23"/>
        <v>15</v>
      </c>
      <c r="BI44" t="str">
        <f t="shared" si="24"/>
        <v>4</v>
      </c>
      <c r="BJ44" t="str">
        <f t="shared" si="14"/>
        <v>-250815D</v>
      </c>
      <c r="BK44" t="str">
        <f t="shared" si="25"/>
        <v>2025-08</v>
      </c>
    </row>
    <row r="45" spans="2:63">
      <c r="B45" s="1">
        <v>45885</v>
      </c>
      <c r="P45" s="130">
        <f t="shared" si="15"/>
        <v>0</v>
      </c>
      <c r="Q45" s="17">
        <f t="shared" si="13"/>
        <v>0</v>
      </c>
      <c r="R45">
        <v>0</v>
      </c>
      <c r="AH45" s="99"/>
      <c r="AI45" s="99"/>
      <c r="AJ45" s="99"/>
      <c r="AK45" s="99"/>
      <c r="AL45" s="99"/>
      <c r="AM45" s="99"/>
      <c r="AN45" s="99"/>
      <c r="AO45" s="99"/>
      <c r="AP45" s="99"/>
      <c r="AQ45" s="99"/>
      <c r="AR45" s="99"/>
      <c r="AS45" s="99"/>
      <c r="AT45" s="99"/>
      <c r="AU45" s="99"/>
      <c r="AV45" s="99"/>
      <c r="AW45" s="2">
        <f t="shared" si="19"/>
        <v>0</v>
      </c>
      <c r="AZ45" s="11" t="e">
        <f ca="1">IF(B45&lt;TODAY(), SUMIFS($AX$6:AX45, $BK$6:BK45, BK45), "")</f>
        <v>#REF!</v>
      </c>
      <c r="BC45" s="15"/>
      <c r="BE45" s="14"/>
      <c r="BF45" t="str">
        <f t="shared" si="21"/>
        <v>25</v>
      </c>
      <c r="BG45" t="str">
        <f t="shared" si="22"/>
        <v>08</v>
      </c>
      <c r="BH45" s="98">
        <f t="shared" si="23"/>
        <v>16</v>
      </c>
      <c r="BI45" t="str">
        <f t="shared" si="24"/>
        <v>4</v>
      </c>
      <c r="BJ45" t="str">
        <f t="shared" si="14"/>
        <v>-250816D</v>
      </c>
      <c r="BK45" t="str">
        <f t="shared" si="25"/>
        <v>2025-08</v>
      </c>
    </row>
    <row r="46" spans="2:63">
      <c r="B46" s="1">
        <v>45886</v>
      </c>
      <c r="P46" s="130">
        <f t="shared" si="15"/>
        <v>0</v>
      </c>
      <c r="Q46" s="17">
        <f t="shared" si="13"/>
        <v>0</v>
      </c>
      <c r="R46">
        <v>0</v>
      </c>
      <c r="AH46" s="99"/>
      <c r="AI46" s="99"/>
      <c r="AJ46" s="99"/>
      <c r="AK46" s="99"/>
      <c r="AL46" s="99"/>
      <c r="AM46" s="99"/>
      <c r="AN46" s="99"/>
      <c r="AO46" s="99"/>
      <c r="AP46" s="99"/>
      <c r="AQ46" s="99"/>
      <c r="AR46" s="99"/>
      <c r="AS46" s="99"/>
      <c r="AT46" s="99"/>
      <c r="AU46" s="99"/>
      <c r="AV46" s="99"/>
      <c r="AW46" s="2">
        <f t="shared" si="19"/>
        <v>0</v>
      </c>
      <c r="AZ46" s="11" t="e">
        <f ca="1">IF(B46&lt;TODAY(), SUMIFS($AX$6:AX46, $BK$6:BK46, BK46), "")</f>
        <v>#REF!</v>
      </c>
      <c r="BC46" s="15"/>
      <c r="BE46" s="14"/>
      <c r="BF46" t="str">
        <f t="shared" si="21"/>
        <v>25</v>
      </c>
      <c r="BG46" t="str">
        <f t="shared" si="22"/>
        <v>08</v>
      </c>
      <c r="BH46" s="98">
        <f t="shared" si="23"/>
        <v>17</v>
      </c>
      <c r="BI46" t="str">
        <f t="shared" si="24"/>
        <v>4</v>
      </c>
      <c r="BJ46" t="str">
        <f t="shared" si="14"/>
        <v>-250817D</v>
      </c>
      <c r="BK46" t="str">
        <f t="shared" si="25"/>
        <v>2025-08</v>
      </c>
    </row>
    <row r="47" spans="2:63">
      <c r="B47" s="1">
        <v>45887</v>
      </c>
      <c r="P47" s="130">
        <f t="shared" si="15"/>
        <v>0</v>
      </c>
      <c r="Q47" s="17">
        <f t="shared" si="13"/>
        <v>0</v>
      </c>
      <c r="R47">
        <v>0</v>
      </c>
      <c r="AH47" s="99"/>
      <c r="AI47" s="99"/>
      <c r="AJ47" s="99"/>
      <c r="AK47" s="99"/>
      <c r="AL47" s="99"/>
      <c r="AM47" s="99"/>
      <c r="AN47" s="99"/>
      <c r="AO47" s="99"/>
      <c r="AP47" s="99"/>
      <c r="AQ47" s="99"/>
      <c r="AR47" s="99"/>
      <c r="AS47" s="99"/>
      <c r="AT47" s="99"/>
      <c r="AU47" s="99"/>
      <c r="AV47" s="99"/>
      <c r="AW47" s="2">
        <f t="shared" si="19"/>
        <v>0</v>
      </c>
      <c r="AZ47" s="11" t="e">
        <f ca="1">IF(B47&lt;TODAY(), SUMIFS($AX$6:AX47, $BK$6:BK47, BK47), "")</f>
        <v>#REF!</v>
      </c>
      <c r="BC47" s="15"/>
      <c r="BE47" s="14"/>
      <c r="BF47" t="str">
        <f t="shared" si="21"/>
        <v>25</v>
      </c>
      <c r="BG47" t="str">
        <f t="shared" si="22"/>
        <v>08</v>
      </c>
      <c r="BH47" s="98" t="str">
        <f t="shared" ref="BH47:BH55" si="26">_xlfn.TEXTJOIN(,TRUE,"0",DAY(B47))</f>
        <v>018</v>
      </c>
      <c r="BI47" t="str">
        <f t="shared" si="24"/>
        <v>4</v>
      </c>
      <c r="BJ47" t="str">
        <f t="shared" si="14"/>
        <v>-2508018D</v>
      </c>
      <c r="BK47" t="str">
        <f t="shared" si="25"/>
        <v>2025-08</v>
      </c>
    </row>
    <row r="48" spans="2:63">
      <c r="B48" s="1">
        <v>45888</v>
      </c>
      <c r="P48" s="130">
        <f t="shared" si="15"/>
        <v>0</v>
      </c>
      <c r="Q48" s="17">
        <f t="shared" si="13"/>
        <v>0</v>
      </c>
      <c r="R48">
        <v>0</v>
      </c>
      <c r="AH48" s="99"/>
      <c r="AI48" s="99"/>
      <c r="AJ48" s="99"/>
      <c r="AK48" s="99"/>
      <c r="AL48" s="99"/>
      <c r="AM48" s="99"/>
      <c r="AN48" s="99"/>
      <c r="AO48" s="99"/>
      <c r="AP48" s="99"/>
      <c r="AQ48" s="99"/>
      <c r="AR48" s="99"/>
      <c r="AS48" s="99"/>
      <c r="AT48" s="99"/>
      <c r="AU48" s="99"/>
      <c r="AV48" s="99"/>
      <c r="AW48" s="2">
        <f t="shared" si="19"/>
        <v>0</v>
      </c>
      <c r="AZ48" s="11" t="e">
        <f ca="1">IF(B48&lt;TODAY(), SUMIFS($AX$6:AX48, $BK$6:BK48, BK48), "")</f>
        <v>#REF!</v>
      </c>
      <c r="BC48" s="15"/>
      <c r="BE48" s="14"/>
      <c r="BF48" t="str">
        <f t="shared" si="21"/>
        <v>25</v>
      </c>
      <c r="BG48" t="str">
        <f t="shared" si="22"/>
        <v>08</v>
      </c>
      <c r="BH48" s="98" t="str">
        <f t="shared" si="26"/>
        <v>019</v>
      </c>
      <c r="BI48" t="str">
        <f t="shared" si="24"/>
        <v>4</v>
      </c>
      <c r="BJ48" t="str">
        <f t="shared" si="14"/>
        <v>-2508019D</v>
      </c>
      <c r="BK48" t="str">
        <f t="shared" si="25"/>
        <v>2025-08</v>
      </c>
    </row>
    <row r="49" spans="2:63">
      <c r="B49" s="1">
        <v>45889</v>
      </c>
      <c r="P49" s="130">
        <f t="shared" si="15"/>
        <v>0</v>
      </c>
      <c r="Q49" s="17">
        <f t="shared" si="13"/>
        <v>0</v>
      </c>
      <c r="R49">
        <v>0</v>
      </c>
      <c r="AH49" s="99"/>
      <c r="AI49" s="99"/>
      <c r="AJ49" s="99"/>
      <c r="AK49" s="99"/>
      <c r="AL49" s="99"/>
      <c r="AM49" s="99"/>
      <c r="AN49" s="99"/>
      <c r="AO49" s="99"/>
      <c r="AP49" s="99"/>
      <c r="AQ49" s="99"/>
      <c r="AR49" s="99"/>
      <c r="AS49" s="99"/>
      <c r="AT49" s="99"/>
      <c r="AU49" s="99"/>
      <c r="AV49" s="99"/>
      <c r="AW49" s="2">
        <f t="shared" si="19"/>
        <v>0</v>
      </c>
      <c r="AZ49" s="11" t="e">
        <f ca="1">IF(B49&lt;TODAY(), SUMIFS($AX$6:AX49, $BK$6:BK49, BK49), "")</f>
        <v>#REF!</v>
      </c>
      <c r="BC49" s="15"/>
      <c r="BE49" s="14"/>
      <c r="BF49" t="str">
        <f t="shared" si="21"/>
        <v>25</v>
      </c>
      <c r="BG49" t="str">
        <f t="shared" si="22"/>
        <v>08</v>
      </c>
      <c r="BH49" s="98" t="str">
        <f t="shared" si="26"/>
        <v>020</v>
      </c>
      <c r="BI49" t="str">
        <f t="shared" si="24"/>
        <v>4</v>
      </c>
      <c r="BJ49" t="str">
        <f t="shared" si="14"/>
        <v>-2508020D</v>
      </c>
      <c r="BK49" t="str">
        <f t="shared" si="25"/>
        <v>2025-08</v>
      </c>
    </row>
    <row r="50" spans="2:63">
      <c r="B50" s="1">
        <v>45890</v>
      </c>
      <c r="P50" s="130">
        <f t="shared" si="15"/>
        <v>0</v>
      </c>
      <c r="Q50" s="17">
        <f t="shared" si="13"/>
        <v>0</v>
      </c>
      <c r="R50">
        <v>0</v>
      </c>
      <c r="AH50" s="99"/>
      <c r="AI50" s="99"/>
      <c r="AJ50" s="99"/>
      <c r="AK50" s="99"/>
      <c r="AL50" s="99"/>
      <c r="AM50" s="99"/>
      <c r="AN50" s="99"/>
      <c r="AO50" s="99"/>
      <c r="AP50" s="99"/>
      <c r="AQ50" s="99"/>
      <c r="AR50" s="99"/>
      <c r="AS50" s="99"/>
      <c r="AT50" s="99"/>
      <c r="AU50" s="99"/>
      <c r="AV50" s="99"/>
      <c r="AW50" s="2">
        <f t="shared" si="19"/>
        <v>0</v>
      </c>
      <c r="AZ50" s="11" t="e">
        <f ca="1">IF(B50&lt;TODAY(), SUMIFS($AX$6:AX50, $BK$6:BK50, BK50), "")</f>
        <v>#REF!</v>
      </c>
      <c r="BC50" s="15"/>
      <c r="BE50" s="14"/>
      <c r="BF50" t="str">
        <f t="shared" si="21"/>
        <v>25</v>
      </c>
      <c r="BG50" t="str">
        <f t="shared" si="22"/>
        <v>08</v>
      </c>
      <c r="BH50" s="98" t="str">
        <f t="shared" si="26"/>
        <v>021</v>
      </c>
      <c r="BI50" t="str">
        <f t="shared" si="24"/>
        <v>4</v>
      </c>
      <c r="BJ50" t="str">
        <f t="shared" si="14"/>
        <v>-2508021D</v>
      </c>
      <c r="BK50" t="str">
        <f t="shared" si="25"/>
        <v>2025-08</v>
      </c>
    </row>
    <row r="51" spans="2:63">
      <c r="B51" s="1">
        <v>45891</v>
      </c>
      <c r="P51" s="130">
        <f t="shared" si="15"/>
        <v>0</v>
      </c>
      <c r="Q51" s="17">
        <f t="shared" si="13"/>
        <v>0</v>
      </c>
      <c r="R51">
        <v>0</v>
      </c>
      <c r="AH51" s="99"/>
      <c r="AI51" s="99"/>
      <c r="AJ51" s="99"/>
      <c r="AK51" s="99"/>
      <c r="AL51" s="99"/>
      <c r="AM51" s="99"/>
      <c r="AN51" s="99"/>
      <c r="AO51" s="99"/>
      <c r="AP51" s="99"/>
      <c r="AQ51" s="99"/>
      <c r="AR51" s="99"/>
      <c r="AS51" s="99"/>
      <c r="AT51" s="99"/>
      <c r="AU51" s="99"/>
      <c r="AV51" s="99"/>
      <c r="AW51" s="2">
        <f t="shared" si="19"/>
        <v>0</v>
      </c>
      <c r="AZ51" s="11" t="e">
        <f ca="1">IF(B51&lt;TODAY(), SUMIFS($AX$6:AX51, $BK$6:BK51, BK51), "")</f>
        <v>#REF!</v>
      </c>
      <c r="BC51" s="15"/>
      <c r="BE51" s="14"/>
      <c r="BF51" t="str">
        <f t="shared" si="21"/>
        <v>25</v>
      </c>
      <c r="BG51" t="str">
        <f t="shared" si="22"/>
        <v>08</v>
      </c>
      <c r="BH51" s="98" t="str">
        <f t="shared" si="26"/>
        <v>022</v>
      </c>
      <c r="BI51" t="str">
        <f t="shared" si="24"/>
        <v>4</v>
      </c>
      <c r="BJ51" t="str">
        <f t="shared" si="14"/>
        <v>-2508022D</v>
      </c>
      <c r="BK51" t="str">
        <f t="shared" si="25"/>
        <v>2025-08</v>
      </c>
    </row>
    <row r="52" spans="2:63">
      <c r="B52" s="1">
        <v>45892</v>
      </c>
      <c r="P52" s="130">
        <f t="shared" si="15"/>
        <v>0</v>
      </c>
      <c r="Q52" s="17">
        <f t="shared" si="13"/>
        <v>0</v>
      </c>
      <c r="R52">
        <v>0</v>
      </c>
      <c r="AH52" s="99"/>
      <c r="AI52" s="99"/>
      <c r="AJ52" s="99"/>
      <c r="AK52" s="99"/>
      <c r="AL52" s="99"/>
      <c r="AM52" s="99"/>
      <c r="AN52" s="99"/>
      <c r="AO52" s="99"/>
      <c r="AP52" s="99"/>
      <c r="AQ52" s="99"/>
      <c r="AR52" s="99"/>
      <c r="AS52" s="99"/>
      <c r="AT52" s="99"/>
      <c r="AU52" s="99"/>
      <c r="AV52" s="99"/>
      <c r="AW52" s="2">
        <f t="shared" si="19"/>
        <v>0</v>
      </c>
      <c r="AZ52" s="11" t="e">
        <f ca="1">IF(B52&lt;TODAY(), SUMIFS($AX$6:AX52, $BK$6:BK52, BK52), "")</f>
        <v>#REF!</v>
      </c>
      <c r="BC52" s="15"/>
      <c r="BE52" s="14"/>
      <c r="BF52" t="str">
        <f t="shared" si="21"/>
        <v>25</v>
      </c>
      <c r="BG52" t="str">
        <f t="shared" si="22"/>
        <v>08</v>
      </c>
      <c r="BH52" s="98" t="str">
        <f t="shared" si="26"/>
        <v>023</v>
      </c>
      <c r="BI52" t="str">
        <f t="shared" si="24"/>
        <v>4</v>
      </c>
      <c r="BJ52" t="str">
        <f t="shared" si="14"/>
        <v>-2508023D</v>
      </c>
      <c r="BK52" t="str">
        <f t="shared" si="25"/>
        <v>2025-08</v>
      </c>
    </row>
    <row r="53" spans="2:63">
      <c r="B53" s="1">
        <v>45893</v>
      </c>
      <c r="P53" s="130">
        <f t="shared" si="15"/>
        <v>0</v>
      </c>
      <c r="Q53" s="17">
        <f t="shared" si="13"/>
        <v>0</v>
      </c>
      <c r="R53">
        <v>0</v>
      </c>
      <c r="AH53" s="99"/>
      <c r="AI53" s="99"/>
      <c r="AJ53" s="99"/>
      <c r="AK53" s="99"/>
      <c r="AL53" s="99"/>
      <c r="AM53" s="99"/>
      <c r="AN53" s="99"/>
      <c r="AO53" s="99"/>
      <c r="AP53" s="99"/>
      <c r="AQ53" s="99"/>
      <c r="AR53" s="99"/>
      <c r="AS53" s="99"/>
      <c r="AT53" s="99"/>
      <c r="AU53" s="99"/>
      <c r="AV53" s="99"/>
      <c r="AW53" s="2">
        <f t="shared" si="19"/>
        <v>0</v>
      </c>
      <c r="AZ53" s="11" t="e">
        <f ca="1">IF(B53&lt;TODAY(), SUMIFS($AX$6:AX53, $BK$6:BK53, BK53), "")</f>
        <v>#REF!</v>
      </c>
      <c r="BC53" s="15"/>
      <c r="BE53" s="14"/>
      <c r="BF53" t="str">
        <f t="shared" si="21"/>
        <v>25</v>
      </c>
      <c r="BG53" t="str">
        <f t="shared" si="22"/>
        <v>08</v>
      </c>
      <c r="BH53" s="98" t="str">
        <f t="shared" si="26"/>
        <v>024</v>
      </c>
      <c r="BI53" t="str">
        <f t="shared" si="24"/>
        <v>4</v>
      </c>
      <c r="BJ53" t="str">
        <f t="shared" si="14"/>
        <v>-2508024D</v>
      </c>
      <c r="BK53" t="str">
        <f t="shared" si="25"/>
        <v>2025-08</v>
      </c>
    </row>
    <row r="54" spans="2:63">
      <c r="B54" s="1">
        <v>45894</v>
      </c>
      <c r="P54" s="130">
        <f t="shared" si="15"/>
        <v>0</v>
      </c>
      <c r="Q54" s="17">
        <f t="shared" si="13"/>
        <v>0</v>
      </c>
      <c r="R54">
        <v>0</v>
      </c>
      <c r="AH54" s="99"/>
      <c r="AI54" s="99"/>
      <c r="AJ54" s="99"/>
      <c r="AK54" s="99"/>
      <c r="AL54" s="99"/>
      <c r="AM54" s="99"/>
      <c r="AN54" s="99"/>
      <c r="AO54" s="99"/>
      <c r="AP54" s="99"/>
      <c r="AQ54" s="99"/>
      <c r="AR54" s="99"/>
      <c r="AS54" s="99"/>
      <c r="AT54" s="99"/>
      <c r="AU54" s="99"/>
      <c r="AV54" s="99"/>
      <c r="AW54" s="2">
        <f t="shared" si="19"/>
        <v>0</v>
      </c>
      <c r="AZ54" s="11" t="e">
        <f ca="1">IF(B54&lt;TODAY(), SUMIFS($AX$6:AX54, $BK$6:BK54, BK54), "")</f>
        <v>#REF!</v>
      </c>
      <c r="BC54" s="15"/>
      <c r="BE54" s="14"/>
      <c r="BF54" t="str">
        <f t="shared" si="21"/>
        <v>25</v>
      </c>
      <c r="BG54" t="str">
        <f t="shared" si="22"/>
        <v>08</v>
      </c>
      <c r="BH54" s="98" t="str">
        <f t="shared" si="26"/>
        <v>025</v>
      </c>
      <c r="BI54" t="str">
        <f t="shared" si="24"/>
        <v>4</v>
      </c>
      <c r="BJ54" t="str">
        <f t="shared" si="14"/>
        <v>-2508025D</v>
      </c>
      <c r="BK54" t="str">
        <f t="shared" si="25"/>
        <v>2025-08</v>
      </c>
    </row>
    <row r="55" spans="2:63">
      <c r="B55" s="1">
        <v>45895</v>
      </c>
      <c r="P55" s="130">
        <f t="shared" si="15"/>
        <v>0</v>
      </c>
      <c r="Q55" s="17">
        <f t="shared" si="13"/>
        <v>0</v>
      </c>
      <c r="R55">
        <v>0</v>
      </c>
      <c r="AH55" s="99"/>
      <c r="AI55" s="99"/>
      <c r="AJ55" s="99"/>
      <c r="AK55" s="99"/>
      <c r="AL55" s="99"/>
      <c r="AM55" s="99"/>
      <c r="AN55" s="99"/>
      <c r="AO55" s="99"/>
      <c r="AP55" s="99"/>
      <c r="AQ55" s="99"/>
      <c r="AR55" s="99"/>
      <c r="AS55" s="99"/>
      <c r="AT55" s="99"/>
      <c r="AU55" s="99"/>
      <c r="AV55" s="99"/>
      <c r="AW55" s="2">
        <f t="shared" si="19"/>
        <v>0</v>
      </c>
      <c r="AZ55" s="11" t="e">
        <f ca="1">IF(B55&lt;TODAY(), SUMIFS($AX$6:AX55, $BK$6:BK55, BK55), "")</f>
        <v>#REF!</v>
      </c>
      <c r="BC55" s="15"/>
      <c r="BE55" s="14"/>
      <c r="BF55" t="str">
        <f t="shared" si="21"/>
        <v>25</v>
      </c>
      <c r="BG55" t="str">
        <f t="shared" si="22"/>
        <v>08</v>
      </c>
      <c r="BH55" s="98" t="str">
        <f t="shared" si="26"/>
        <v>026</v>
      </c>
      <c r="BI55" t="str">
        <f t="shared" si="24"/>
        <v>4</v>
      </c>
      <c r="BJ55" t="str">
        <f t="shared" si="14"/>
        <v>-2508026D</v>
      </c>
      <c r="BK55" t="str">
        <f t="shared" si="25"/>
        <v>2025-08</v>
      </c>
    </row>
    <row r="56" spans="2:63">
      <c r="B56" s="1">
        <v>45896</v>
      </c>
      <c r="P56" s="130">
        <f t="shared" si="15"/>
        <v>0</v>
      </c>
      <c r="Q56" s="17">
        <f t="shared" si="13"/>
        <v>0</v>
      </c>
      <c r="R56">
        <v>0</v>
      </c>
      <c r="AH56" s="99"/>
      <c r="AI56" s="99"/>
      <c r="AJ56" s="99"/>
      <c r="AK56" s="99"/>
      <c r="AL56" s="99"/>
      <c r="AM56" s="99"/>
      <c r="AN56" s="99"/>
      <c r="AO56" s="99"/>
      <c r="AP56" s="99"/>
      <c r="AQ56" s="99"/>
      <c r="AR56" s="99"/>
      <c r="AS56" s="99"/>
      <c r="AT56" s="99"/>
      <c r="AU56" s="99"/>
      <c r="AV56" s="99"/>
      <c r="AW56" s="2">
        <f t="shared" si="19"/>
        <v>0</v>
      </c>
      <c r="AZ56" s="11" t="e">
        <f ca="1">IF(B56&lt;TODAY(), SUMIFS($AX$6:AX56, $BK$6:BK56, BK56), "")</f>
        <v>#REF!</v>
      </c>
      <c r="BC56" s="15"/>
      <c r="BE56" s="14"/>
      <c r="BF56" t="str">
        <f t="shared" si="21"/>
        <v>25</v>
      </c>
      <c r="BG56" t="str">
        <f t="shared" si="22"/>
        <v>08</v>
      </c>
      <c r="BH56" s="98">
        <f t="shared" ref="BH56:BH77" si="27">DAY(B56)</f>
        <v>27</v>
      </c>
      <c r="BI56" t="str">
        <f t="shared" si="24"/>
        <v>4</v>
      </c>
      <c r="BJ56" t="str">
        <f t="shared" si="14"/>
        <v>-250827D</v>
      </c>
      <c r="BK56" t="str">
        <f t="shared" si="25"/>
        <v>2025-08</v>
      </c>
    </row>
    <row r="57" spans="2:63">
      <c r="B57" s="1">
        <v>45897</v>
      </c>
      <c r="P57" s="130">
        <f t="shared" si="15"/>
        <v>0</v>
      </c>
      <c r="Q57" s="17">
        <f t="shared" si="13"/>
        <v>0</v>
      </c>
      <c r="R57">
        <v>0</v>
      </c>
      <c r="AH57" s="99"/>
      <c r="AI57" s="99"/>
      <c r="AJ57" s="99"/>
      <c r="AK57" s="99"/>
      <c r="AL57" s="99"/>
      <c r="AM57" s="99"/>
      <c r="AN57" s="99"/>
      <c r="AO57" s="99"/>
      <c r="AP57" s="99"/>
      <c r="AQ57" s="99"/>
      <c r="AR57" s="99"/>
      <c r="AS57" s="99"/>
      <c r="AT57" s="99"/>
      <c r="AU57" s="99"/>
      <c r="AV57" s="99"/>
      <c r="AW57" s="2">
        <f t="shared" si="19"/>
        <v>0</v>
      </c>
      <c r="AZ57" s="11" t="e">
        <f ca="1">IF(B57&lt;TODAY(), SUMIFS($AX$6:AX57, $BK$6:BK57, BK57), "")</f>
        <v>#REF!</v>
      </c>
      <c r="BC57" s="15"/>
      <c r="BE57" s="14"/>
      <c r="BF57" t="str">
        <f t="shared" si="21"/>
        <v>25</v>
      </c>
      <c r="BG57" t="str">
        <f t="shared" si="22"/>
        <v>08</v>
      </c>
      <c r="BH57" s="98">
        <f t="shared" si="27"/>
        <v>28</v>
      </c>
      <c r="BI57" t="str">
        <f t="shared" si="24"/>
        <v>4</v>
      </c>
      <c r="BJ57" t="str">
        <f t="shared" si="14"/>
        <v>-250828D</v>
      </c>
      <c r="BK57" t="str">
        <f t="shared" si="25"/>
        <v>2025-08</v>
      </c>
    </row>
    <row r="58" spans="2:63">
      <c r="B58" s="1">
        <v>45898</v>
      </c>
      <c r="P58" s="130">
        <f t="shared" si="15"/>
        <v>0</v>
      </c>
      <c r="Q58" s="17">
        <f t="shared" si="13"/>
        <v>0</v>
      </c>
      <c r="R58">
        <v>0</v>
      </c>
      <c r="AH58" s="99"/>
      <c r="AI58" s="99"/>
      <c r="AJ58" s="99"/>
      <c r="AK58" s="99"/>
      <c r="AL58" s="99"/>
      <c r="AM58" s="99"/>
      <c r="AN58" s="99"/>
      <c r="AO58" s="99"/>
      <c r="AP58" s="99"/>
      <c r="AQ58" s="99"/>
      <c r="AR58" s="99"/>
      <c r="AS58" s="99"/>
      <c r="AT58" s="99"/>
      <c r="AU58" s="99"/>
      <c r="AV58" s="99"/>
      <c r="AW58" s="2">
        <f t="shared" si="19"/>
        <v>0</v>
      </c>
      <c r="AZ58" s="11" t="e">
        <f ca="1">IF(B58&lt;TODAY(), SUMIFS($AX$6:AX58, $BK$6:BK58, BK58), "")</f>
        <v>#REF!</v>
      </c>
      <c r="BC58" s="15"/>
      <c r="BE58" s="14"/>
      <c r="BF58" t="str">
        <f t="shared" si="21"/>
        <v>25</v>
      </c>
      <c r="BG58" t="str">
        <f t="shared" si="22"/>
        <v>08</v>
      </c>
      <c r="BH58" s="98">
        <f t="shared" si="27"/>
        <v>29</v>
      </c>
      <c r="BI58" t="str">
        <f t="shared" si="24"/>
        <v>4</v>
      </c>
      <c r="BJ58" t="str">
        <f t="shared" si="14"/>
        <v>-250829D</v>
      </c>
      <c r="BK58" t="str">
        <f t="shared" si="25"/>
        <v>2025-08</v>
      </c>
    </row>
    <row r="59" spans="2:63">
      <c r="B59" s="1">
        <v>45899</v>
      </c>
      <c r="P59" s="130">
        <f t="shared" si="15"/>
        <v>0</v>
      </c>
      <c r="Q59" s="17">
        <f t="shared" si="13"/>
        <v>0</v>
      </c>
      <c r="R59">
        <v>0</v>
      </c>
      <c r="AH59" s="99"/>
      <c r="AI59" s="99"/>
      <c r="AJ59" s="99"/>
      <c r="AK59" s="99"/>
      <c r="AL59" s="99"/>
      <c r="AM59" s="99"/>
      <c r="AN59" s="99"/>
      <c r="AO59" s="99"/>
      <c r="AP59" s="99"/>
      <c r="AQ59" s="99"/>
      <c r="AR59" s="99"/>
      <c r="AS59" s="99"/>
      <c r="AT59" s="99"/>
      <c r="AU59" s="99"/>
      <c r="AV59" s="99"/>
      <c r="AW59" s="2">
        <f t="shared" si="19"/>
        <v>0</v>
      </c>
      <c r="AZ59" s="11" t="e">
        <f ca="1">IF(B59&lt;TODAY(), SUMIFS($AX$6:AX59, $BK$6:BK59, BK59), "")</f>
        <v>#REF!</v>
      </c>
      <c r="BC59" s="15"/>
      <c r="BE59" s="14"/>
      <c r="BF59" t="str">
        <f t="shared" si="21"/>
        <v>25</v>
      </c>
      <c r="BG59" t="str">
        <f t="shared" si="22"/>
        <v>08</v>
      </c>
      <c r="BH59" s="98">
        <f t="shared" si="27"/>
        <v>30</v>
      </c>
      <c r="BI59" t="str">
        <f t="shared" si="24"/>
        <v>4</v>
      </c>
      <c r="BJ59" t="str">
        <f t="shared" si="14"/>
        <v>-250830D</v>
      </c>
      <c r="BK59" t="str">
        <f t="shared" si="25"/>
        <v>2025-08</v>
      </c>
    </row>
    <row r="60" spans="2:63">
      <c r="B60" s="1">
        <v>45900</v>
      </c>
      <c r="P60" s="130">
        <f t="shared" si="15"/>
        <v>0</v>
      </c>
      <c r="Q60" s="17">
        <f t="shared" si="13"/>
        <v>0</v>
      </c>
      <c r="R60">
        <v>0</v>
      </c>
      <c r="AH60" s="99"/>
      <c r="AI60" s="99"/>
      <c r="AJ60" s="99"/>
      <c r="AK60" s="99"/>
      <c r="AL60" s="99"/>
      <c r="AM60" s="99"/>
      <c r="AN60" s="99"/>
      <c r="AO60" s="99"/>
      <c r="AP60" s="99"/>
      <c r="AQ60" s="99"/>
      <c r="AR60" s="99"/>
      <c r="AS60" s="99"/>
      <c r="AT60" s="99"/>
      <c r="AU60" s="99"/>
      <c r="AV60" s="99"/>
      <c r="AW60" s="2">
        <f t="shared" si="19"/>
        <v>0</v>
      </c>
      <c r="AZ60" s="11" t="e">
        <f ca="1">IF(B60&lt;TODAY(), SUMIFS($AX$6:AX60, $BK$6:BK60, BK60), "")</f>
        <v>#REF!</v>
      </c>
      <c r="BC60" s="15"/>
      <c r="BE60" s="14"/>
      <c r="BF60" t="str">
        <f t="shared" si="21"/>
        <v>25</v>
      </c>
      <c r="BG60" t="str">
        <f t="shared" si="22"/>
        <v>08</v>
      </c>
      <c r="BH60" s="98">
        <f t="shared" si="27"/>
        <v>31</v>
      </c>
      <c r="BI60" t="str">
        <f t="shared" si="24"/>
        <v>4</v>
      </c>
      <c r="BJ60" t="str">
        <f t="shared" si="14"/>
        <v>-250831D</v>
      </c>
      <c r="BK60" t="str">
        <f t="shared" si="25"/>
        <v>2025-08</v>
      </c>
    </row>
    <row r="61" spans="2:63">
      <c r="B61" s="1">
        <v>45901</v>
      </c>
      <c r="P61" s="130">
        <f t="shared" si="15"/>
        <v>0</v>
      </c>
      <c r="Q61" s="17">
        <f t="shared" si="13"/>
        <v>0</v>
      </c>
      <c r="R61">
        <v>0</v>
      </c>
      <c r="AH61" s="99"/>
      <c r="AI61" s="99"/>
      <c r="AJ61" s="99"/>
      <c r="AK61" s="99"/>
      <c r="AL61" s="99"/>
      <c r="AM61" s="99"/>
      <c r="AN61" s="99"/>
      <c r="AO61" s="99"/>
      <c r="AP61" s="99"/>
      <c r="AQ61" s="99"/>
      <c r="AR61" s="99"/>
      <c r="AS61" s="99"/>
      <c r="AT61" s="99"/>
      <c r="AU61" s="99"/>
      <c r="AV61" s="99"/>
      <c r="AW61" s="2">
        <f t="shared" si="19"/>
        <v>0</v>
      </c>
      <c r="AZ61" s="11">
        <f ca="1">IF(B61&lt;TODAY(), SUMIFS($AX$6:AX61, $BK$6:BK61, BK61), "")</f>
        <v>0</v>
      </c>
      <c r="BC61" s="15"/>
      <c r="BE61" s="14"/>
      <c r="BF61" t="str">
        <f t="shared" si="21"/>
        <v>25</v>
      </c>
      <c r="BG61" t="str">
        <f t="shared" si="22"/>
        <v>09</v>
      </c>
      <c r="BH61" s="98">
        <f t="shared" si="27"/>
        <v>1</v>
      </c>
      <c r="BI61" t="str">
        <f t="shared" si="24"/>
        <v>4</v>
      </c>
      <c r="BJ61" t="str">
        <f t="shared" si="14"/>
        <v>-25091D</v>
      </c>
      <c r="BK61" t="str">
        <f t="shared" si="25"/>
        <v>2025-09</v>
      </c>
    </row>
    <row r="62" spans="2:63">
      <c r="B62" s="1">
        <v>45902</v>
      </c>
      <c r="P62" s="130">
        <f t="shared" si="15"/>
        <v>0</v>
      </c>
      <c r="Q62" s="17">
        <f t="shared" si="13"/>
        <v>0</v>
      </c>
      <c r="R62">
        <v>0</v>
      </c>
      <c r="AH62" s="99"/>
      <c r="AI62" s="99"/>
      <c r="AJ62" s="99"/>
      <c r="AK62" s="99"/>
      <c r="AL62" s="99"/>
      <c r="AM62" s="99"/>
      <c r="AN62" s="99"/>
      <c r="AO62" s="99"/>
      <c r="AP62" s="99"/>
      <c r="AQ62" s="99"/>
      <c r="AR62" s="99"/>
      <c r="AS62" s="99"/>
      <c r="AT62" s="99"/>
      <c r="AU62" s="99"/>
      <c r="AV62" s="99"/>
      <c r="AW62" s="2">
        <f t="shared" si="19"/>
        <v>0</v>
      </c>
      <c r="AZ62" s="11">
        <f ca="1">IF(B62&lt;TODAY(), SUMIFS($AX$6:AX62, $BK$6:BK62, BK62), "")</f>
        <v>0</v>
      </c>
      <c r="BC62" s="15"/>
      <c r="BE62" s="14"/>
      <c r="BF62" t="str">
        <f t="shared" si="21"/>
        <v>25</v>
      </c>
      <c r="BG62" t="str">
        <f t="shared" si="22"/>
        <v>09</v>
      </c>
      <c r="BH62" s="98">
        <f t="shared" si="27"/>
        <v>2</v>
      </c>
      <c r="BI62" t="str">
        <f t="shared" si="24"/>
        <v>4</v>
      </c>
      <c r="BJ62" t="str">
        <f t="shared" si="14"/>
        <v>-25092D</v>
      </c>
      <c r="BK62" t="str">
        <f t="shared" si="25"/>
        <v>2025-09</v>
      </c>
    </row>
    <row r="63" spans="2:63">
      <c r="B63" s="1">
        <v>45903</v>
      </c>
      <c r="P63" s="130">
        <f t="shared" si="15"/>
        <v>0</v>
      </c>
      <c r="Q63" s="17">
        <f t="shared" si="13"/>
        <v>0</v>
      </c>
      <c r="R63">
        <v>0</v>
      </c>
      <c r="AH63" s="99"/>
      <c r="AI63" s="99"/>
      <c r="AJ63" s="99"/>
      <c r="AK63" s="99"/>
      <c r="AL63" s="99"/>
      <c r="AM63" s="99"/>
      <c r="AN63" s="99"/>
      <c r="AO63" s="99"/>
      <c r="AP63" s="99"/>
      <c r="AQ63" s="99"/>
      <c r="AR63" s="99"/>
      <c r="AS63" s="99"/>
      <c r="AT63" s="99"/>
      <c r="AU63" s="99"/>
      <c r="AV63" s="99"/>
      <c r="AW63" s="2">
        <f t="shared" si="19"/>
        <v>0</v>
      </c>
      <c r="AZ63" s="11">
        <f ca="1">IF(B63&lt;TODAY(), SUMIFS($AX$6:AX63, $BK$6:BK63, BK63), "")</f>
        <v>0</v>
      </c>
      <c r="BC63" s="15"/>
      <c r="BE63" s="14"/>
      <c r="BF63" t="str">
        <f t="shared" si="21"/>
        <v>25</v>
      </c>
      <c r="BG63" t="str">
        <f t="shared" si="22"/>
        <v>09</v>
      </c>
      <c r="BH63" s="98">
        <f t="shared" si="27"/>
        <v>3</v>
      </c>
      <c r="BI63" t="str">
        <f t="shared" si="24"/>
        <v>4</v>
      </c>
      <c r="BJ63" t="str">
        <f t="shared" si="14"/>
        <v>-25093D</v>
      </c>
      <c r="BK63" t="str">
        <f t="shared" si="25"/>
        <v>2025-09</v>
      </c>
    </row>
    <row r="64" spans="2:63">
      <c r="B64" s="1">
        <v>45904</v>
      </c>
      <c r="P64" s="130">
        <f t="shared" si="15"/>
        <v>0</v>
      </c>
      <c r="Q64" s="17">
        <f t="shared" si="13"/>
        <v>0</v>
      </c>
      <c r="R64">
        <v>0</v>
      </c>
      <c r="AH64" s="99"/>
      <c r="AI64" s="99"/>
      <c r="AJ64" s="99"/>
      <c r="AK64" s="99"/>
      <c r="AL64" s="99"/>
      <c r="AM64" s="99"/>
      <c r="AN64" s="99"/>
      <c r="AO64" s="99"/>
      <c r="AP64" s="99"/>
      <c r="AQ64" s="99"/>
      <c r="AR64" s="99"/>
      <c r="AS64" s="99"/>
      <c r="AT64" s="99"/>
      <c r="AU64" s="99"/>
      <c r="AV64" s="99"/>
      <c r="AW64" s="2">
        <f t="shared" si="19"/>
        <v>0</v>
      </c>
      <c r="AZ64" s="11">
        <f ca="1">IF(B64&lt;TODAY(), SUMIFS($AX$6:AX64, $BK$6:BK64, BK64), "")</f>
        <v>0</v>
      </c>
      <c r="BC64" s="15"/>
      <c r="BE64" s="14"/>
      <c r="BF64" t="str">
        <f t="shared" si="21"/>
        <v>25</v>
      </c>
      <c r="BG64" t="str">
        <f t="shared" si="22"/>
        <v>09</v>
      </c>
      <c r="BH64" s="98">
        <f t="shared" si="27"/>
        <v>4</v>
      </c>
      <c r="BI64" t="str">
        <f t="shared" si="24"/>
        <v>4</v>
      </c>
      <c r="BJ64" t="str">
        <f t="shared" si="14"/>
        <v>-25094D</v>
      </c>
      <c r="BK64" t="str">
        <f t="shared" si="25"/>
        <v>2025-09</v>
      </c>
    </row>
    <row r="65" spans="2:63">
      <c r="B65" s="1">
        <v>45905</v>
      </c>
      <c r="P65" s="130">
        <f t="shared" si="15"/>
        <v>0</v>
      </c>
      <c r="Q65" s="17">
        <f t="shared" si="13"/>
        <v>0</v>
      </c>
      <c r="R65">
        <v>0</v>
      </c>
      <c r="AH65" s="99"/>
      <c r="AI65" s="99"/>
      <c r="AJ65" s="99"/>
      <c r="AK65" s="99"/>
      <c r="AL65" s="99"/>
      <c r="AM65" s="99"/>
      <c r="AN65" s="99"/>
      <c r="AO65" s="99"/>
      <c r="AP65" s="99"/>
      <c r="AQ65" s="99"/>
      <c r="AR65" s="99"/>
      <c r="AS65" s="99"/>
      <c r="AT65" s="99"/>
      <c r="AU65" s="99"/>
      <c r="AV65" s="99"/>
      <c r="AW65" s="2">
        <f t="shared" si="19"/>
        <v>0</v>
      </c>
      <c r="AZ65" s="11">
        <f ca="1">IF(B65&lt;TODAY(), SUMIFS($AX$6:AX65, $BK$6:BK65, BK65), "")</f>
        <v>0</v>
      </c>
      <c r="BC65" s="15"/>
      <c r="BE65" s="14"/>
      <c r="BF65" t="str">
        <f t="shared" si="21"/>
        <v>25</v>
      </c>
      <c r="BG65" t="str">
        <f t="shared" si="22"/>
        <v>09</v>
      </c>
      <c r="BH65" s="98">
        <f t="shared" si="27"/>
        <v>5</v>
      </c>
      <c r="BI65" t="str">
        <f t="shared" si="24"/>
        <v>4</v>
      </c>
      <c r="BJ65" t="str">
        <f t="shared" si="14"/>
        <v>-25095D</v>
      </c>
      <c r="BK65" t="str">
        <f t="shared" si="25"/>
        <v>2025-09</v>
      </c>
    </row>
    <row r="66" spans="2:63">
      <c r="B66" s="1">
        <v>45906</v>
      </c>
      <c r="P66" s="130">
        <f t="shared" si="15"/>
        <v>0</v>
      </c>
      <c r="Q66" s="17">
        <f t="shared" si="13"/>
        <v>0</v>
      </c>
      <c r="R66">
        <v>0</v>
      </c>
      <c r="AH66" s="99"/>
      <c r="AI66" s="99"/>
      <c r="AJ66" s="99"/>
      <c r="AK66" s="99"/>
      <c r="AL66" s="99"/>
      <c r="AM66" s="99"/>
      <c r="AN66" s="99"/>
      <c r="AO66" s="99"/>
      <c r="AP66" s="99"/>
      <c r="AQ66" s="99"/>
      <c r="AR66" s="99"/>
      <c r="AS66" s="99"/>
      <c r="AT66" s="99"/>
      <c r="AU66" s="99"/>
      <c r="AV66" s="99"/>
      <c r="AW66" s="2">
        <f t="shared" si="19"/>
        <v>0</v>
      </c>
      <c r="AZ66" s="11">
        <f ca="1">IF(B66&lt;TODAY(), SUMIFS($AX$6:AX66, $BK$6:BK66, BK66), "")</f>
        <v>0</v>
      </c>
      <c r="BC66" s="15"/>
      <c r="BE66" s="14"/>
      <c r="BF66" t="str">
        <f t="shared" ref="BF66:BF97" si="28">RIGHT(YEAR(B66),2)</f>
        <v>25</v>
      </c>
      <c r="BG66" t="str">
        <f t="shared" ref="BG66:BG97" si="29">_xlfn.TEXTJOIN(,TRUE,"0",MONTH(B66))</f>
        <v>09</v>
      </c>
      <c r="BH66" s="98">
        <f t="shared" si="27"/>
        <v>6</v>
      </c>
      <c r="BI66" t="str">
        <f t="shared" ref="BI66:BI97" si="30">LEFT(B66,1)</f>
        <v>4</v>
      </c>
      <c r="BJ66" t="str">
        <f t="shared" si="14"/>
        <v>-25096D</v>
      </c>
      <c r="BK66" t="str">
        <f t="shared" ref="BK66:BK97" si="31">TEXT(B66, "yyyy-mm")</f>
        <v>2025-09</v>
      </c>
    </row>
    <row r="67" spans="2:63">
      <c r="B67" s="1">
        <v>45907</v>
      </c>
      <c r="P67" s="130">
        <f t="shared" si="15"/>
        <v>0</v>
      </c>
      <c r="Q67" s="17">
        <f t="shared" si="13"/>
        <v>0</v>
      </c>
      <c r="R67">
        <v>0</v>
      </c>
      <c r="AH67" s="99"/>
      <c r="AI67" s="99"/>
      <c r="AJ67" s="99"/>
      <c r="AK67" s="99"/>
      <c r="AL67" s="99"/>
      <c r="AM67" s="99"/>
      <c r="AN67" s="99"/>
      <c r="AO67" s="99"/>
      <c r="AP67" s="99"/>
      <c r="AQ67" s="99"/>
      <c r="AR67" s="99"/>
      <c r="AS67" s="99"/>
      <c r="AT67" s="99"/>
      <c r="AU67" s="99"/>
      <c r="AV67" s="99"/>
      <c r="AW67" s="2">
        <f t="shared" si="19"/>
        <v>0</v>
      </c>
      <c r="AZ67" s="11">
        <f ca="1">IF(B67&lt;TODAY(), SUMIFS($AX$6:AX67, $BK$6:BK67, BK67), "")</f>
        <v>0</v>
      </c>
      <c r="BC67" s="15"/>
      <c r="BE67" s="14"/>
      <c r="BF67" t="str">
        <f t="shared" si="28"/>
        <v>25</v>
      </c>
      <c r="BG67" t="str">
        <f t="shared" si="29"/>
        <v>09</v>
      </c>
      <c r="BH67" s="98">
        <f t="shared" si="27"/>
        <v>7</v>
      </c>
      <c r="BI67" t="str">
        <f t="shared" si="30"/>
        <v>4</v>
      </c>
      <c r="BJ67" t="str">
        <f t="shared" si="14"/>
        <v>-25097D</v>
      </c>
      <c r="BK67" t="str">
        <f t="shared" si="31"/>
        <v>2025-09</v>
      </c>
    </row>
    <row r="68" spans="2:63">
      <c r="B68" s="1">
        <v>45908</v>
      </c>
      <c r="P68" s="130">
        <f t="shared" si="15"/>
        <v>0</v>
      </c>
      <c r="Q68" s="17">
        <f t="shared" si="13"/>
        <v>0</v>
      </c>
      <c r="R68">
        <v>0</v>
      </c>
      <c r="AH68" s="99"/>
      <c r="AI68" s="99"/>
      <c r="AJ68" s="99"/>
      <c r="AK68" s="99"/>
      <c r="AL68" s="99"/>
      <c r="AM68" s="99"/>
      <c r="AN68" s="99"/>
      <c r="AO68" s="99"/>
      <c r="AP68" s="99"/>
      <c r="AQ68" s="99"/>
      <c r="AR68" s="99"/>
      <c r="AS68" s="99"/>
      <c r="AT68" s="99"/>
      <c r="AU68" s="99"/>
      <c r="AV68" s="99"/>
      <c r="AW68" s="2">
        <f t="shared" si="19"/>
        <v>0</v>
      </c>
      <c r="AZ68" s="11">
        <f ca="1">IF(B68&lt;TODAY(), SUMIFS($AX$6:AX68, $BK$6:BK68, BK68), "")</f>
        <v>0</v>
      </c>
      <c r="BC68" s="15"/>
      <c r="BE68" s="14"/>
      <c r="BF68" t="str">
        <f t="shared" si="28"/>
        <v>25</v>
      </c>
      <c r="BG68" t="str">
        <f t="shared" si="29"/>
        <v>09</v>
      </c>
      <c r="BH68" s="98">
        <f t="shared" si="27"/>
        <v>8</v>
      </c>
      <c r="BI68" t="str">
        <f t="shared" si="30"/>
        <v>4</v>
      </c>
      <c r="BJ68" t="str">
        <f t="shared" si="14"/>
        <v>-25098D</v>
      </c>
      <c r="BK68" t="str">
        <f t="shared" si="31"/>
        <v>2025-09</v>
      </c>
    </row>
    <row r="69" spans="2:63">
      <c r="B69" s="1">
        <v>45909</v>
      </c>
      <c r="P69" s="130">
        <f t="shared" si="15"/>
        <v>0</v>
      </c>
      <c r="Q69" s="17">
        <f t="shared" si="13"/>
        <v>0</v>
      </c>
      <c r="R69">
        <v>0</v>
      </c>
      <c r="AH69" s="99"/>
      <c r="AI69" s="99"/>
      <c r="AJ69" s="99"/>
      <c r="AK69" s="99"/>
      <c r="AL69" s="99"/>
      <c r="AM69" s="99"/>
      <c r="AN69" s="99"/>
      <c r="AO69" s="99"/>
      <c r="AP69" s="99"/>
      <c r="AQ69" s="99"/>
      <c r="AR69" s="99"/>
      <c r="AS69" s="99"/>
      <c r="AT69" s="99"/>
      <c r="AU69" s="99"/>
      <c r="AV69" s="99"/>
      <c r="AW69" s="2">
        <f t="shared" si="19"/>
        <v>0</v>
      </c>
      <c r="AZ69" s="11">
        <f ca="1">IF(B69&lt;TODAY(), SUMIFS($AX$6:AX69, $BK$6:BK69, BK69), "")</f>
        <v>0</v>
      </c>
      <c r="BC69" s="15"/>
      <c r="BE69" s="14"/>
      <c r="BF69" t="str">
        <f t="shared" si="28"/>
        <v>25</v>
      </c>
      <c r="BG69" t="str">
        <f t="shared" si="29"/>
        <v>09</v>
      </c>
      <c r="BH69" s="98">
        <f t="shared" si="27"/>
        <v>9</v>
      </c>
      <c r="BI69" t="str">
        <f t="shared" si="30"/>
        <v>4</v>
      </c>
      <c r="BJ69" t="str">
        <f t="shared" si="14"/>
        <v>-25099D</v>
      </c>
      <c r="BK69" t="str">
        <f t="shared" si="31"/>
        <v>2025-09</v>
      </c>
    </row>
    <row r="70" spans="2:63">
      <c r="B70" s="1">
        <v>45910</v>
      </c>
      <c r="P70" s="130">
        <f t="shared" si="15"/>
        <v>0</v>
      </c>
      <c r="Q70" s="17">
        <f t="shared" si="13"/>
        <v>0</v>
      </c>
      <c r="R70">
        <v>0</v>
      </c>
      <c r="AH70" s="99"/>
      <c r="AI70" s="99"/>
      <c r="AJ70" s="99"/>
      <c r="AK70" s="99"/>
      <c r="AL70" s="99"/>
      <c r="AM70" s="99"/>
      <c r="AN70" s="99"/>
      <c r="AO70" s="99"/>
      <c r="AP70" s="99"/>
      <c r="AQ70" s="99"/>
      <c r="AR70" s="99"/>
      <c r="AS70" s="99"/>
      <c r="AT70" s="99"/>
      <c r="AU70" s="99"/>
      <c r="AV70" s="99"/>
      <c r="AW70" s="2">
        <f t="shared" si="19"/>
        <v>0</v>
      </c>
      <c r="AZ70" s="11">
        <f ca="1">IF(B70&lt;TODAY(), SUMIFS($AX$6:AX70, $BK$6:BK70, BK70), "")</f>
        <v>0</v>
      </c>
      <c r="BC70" s="15"/>
      <c r="BE70" s="14"/>
      <c r="BF70" t="str">
        <f t="shared" si="28"/>
        <v>25</v>
      </c>
      <c r="BG70" t="str">
        <f t="shared" si="29"/>
        <v>09</v>
      </c>
      <c r="BH70" s="98">
        <f t="shared" si="27"/>
        <v>10</v>
      </c>
      <c r="BI70" t="str">
        <f t="shared" si="30"/>
        <v>4</v>
      </c>
      <c r="BJ70" t="str">
        <f t="shared" si="14"/>
        <v>-250910D</v>
      </c>
      <c r="BK70" t="str">
        <f t="shared" si="31"/>
        <v>2025-09</v>
      </c>
    </row>
    <row r="71" spans="2:63">
      <c r="B71" s="1">
        <v>45911</v>
      </c>
      <c r="P71" s="130">
        <f t="shared" si="15"/>
        <v>0</v>
      </c>
      <c r="Q71" s="17">
        <f t="shared" si="13"/>
        <v>0</v>
      </c>
      <c r="R71">
        <v>0</v>
      </c>
      <c r="AH71" s="99"/>
      <c r="AI71" s="99"/>
      <c r="AJ71" s="99"/>
      <c r="AK71" s="99"/>
      <c r="AL71" s="99"/>
      <c r="AM71" s="99"/>
      <c r="AN71" s="99"/>
      <c r="AO71" s="99"/>
      <c r="AP71" s="99"/>
      <c r="AQ71" s="99"/>
      <c r="AR71" s="99"/>
      <c r="AS71" s="99"/>
      <c r="AT71" s="99"/>
      <c r="AU71" s="99"/>
      <c r="AV71" s="99"/>
      <c r="AW71" s="2">
        <f t="shared" si="19"/>
        <v>0</v>
      </c>
      <c r="AZ71" s="11">
        <f ca="1">IF(B71&lt;TODAY(), SUMIFS($AX$6:AX71, $BK$6:BK71, BK71), "")</f>
        <v>0</v>
      </c>
      <c r="BC71" s="15"/>
      <c r="BE71" s="14"/>
      <c r="BF71" t="str">
        <f t="shared" si="28"/>
        <v>25</v>
      </c>
      <c r="BG71" t="str">
        <f t="shared" si="29"/>
        <v>09</v>
      </c>
      <c r="BH71" s="98">
        <f t="shared" si="27"/>
        <v>11</v>
      </c>
      <c r="BI71" t="str">
        <f t="shared" si="30"/>
        <v>4</v>
      </c>
      <c r="BJ71" t="str">
        <f t="shared" si="14"/>
        <v>-250911D</v>
      </c>
      <c r="BK71" t="str">
        <f t="shared" si="31"/>
        <v>2025-09</v>
      </c>
    </row>
    <row r="72" spans="2:63">
      <c r="B72" s="1">
        <v>45912</v>
      </c>
      <c r="P72" s="130">
        <f t="shared" si="15"/>
        <v>0</v>
      </c>
      <c r="Q72" s="17">
        <f t="shared" si="13"/>
        <v>0</v>
      </c>
      <c r="R72">
        <v>0</v>
      </c>
      <c r="AH72" s="99"/>
      <c r="AI72" s="99"/>
      <c r="AJ72" s="99"/>
      <c r="AK72" s="99"/>
      <c r="AL72" s="99"/>
      <c r="AM72" s="99"/>
      <c r="AN72" s="99"/>
      <c r="AO72" s="99"/>
      <c r="AP72" s="99"/>
      <c r="AQ72" s="99"/>
      <c r="AR72" s="99"/>
      <c r="AS72" s="99"/>
      <c r="AT72" s="99"/>
      <c r="AU72" s="99"/>
      <c r="AV72" s="99"/>
      <c r="AW72" s="2">
        <f t="shared" ref="AW72:AW135" si="32">($AH$3*AH72)+($AI$3*AI72)+($AJ$3*AJ72)+($AL$3*AL72)+($AN$3*AN72)+($AO$3*AO72)+($AP$3*AP72)+($AQ$3*AQ72)+($AR$3*AR72)+($AS$3*AS72)+AV72</f>
        <v>0</v>
      </c>
      <c r="AZ72" s="11">
        <f ca="1">IF(B72&lt;TODAY(), SUMIFS($AX$6:AX72, $BK$6:BK72, BK72), "")</f>
        <v>0</v>
      </c>
      <c r="BC72" s="15"/>
      <c r="BE72" s="14"/>
      <c r="BF72" t="str">
        <f t="shared" si="28"/>
        <v>25</v>
      </c>
      <c r="BG72" t="str">
        <f t="shared" si="29"/>
        <v>09</v>
      </c>
      <c r="BH72" s="98">
        <f t="shared" si="27"/>
        <v>12</v>
      </c>
      <c r="BI72" t="str">
        <f t="shared" si="30"/>
        <v>4</v>
      </c>
      <c r="BJ72" t="str">
        <f t="shared" si="14"/>
        <v>-250912D</v>
      </c>
      <c r="BK72" t="str">
        <f t="shared" si="31"/>
        <v>2025-09</v>
      </c>
    </row>
    <row r="73" spans="2:63">
      <c r="B73" s="1">
        <v>45913</v>
      </c>
      <c r="P73" s="130">
        <f t="shared" si="15"/>
        <v>0</v>
      </c>
      <c r="Q73" s="17">
        <f t="shared" si="13"/>
        <v>0</v>
      </c>
      <c r="R73">
        <v>0</v>
      </c>
      <c r="AH73" s="99"/>
      <c r="AI73" s="99"/>
      <c r="AJ73" s="99"/>
      <c r="AK73" s="99"/>
      <c r="AL73" s="99"/>
      <c r="AM73" s="99"/>
      <c r="AN73" s="99"/>
      <c r="AO73" s="99"/>
      <c r="AP73" s="99"/>
      <c r="AQ73" s="99"/>
      <c r="AR73" s="99"/>
      <c r="AS73" s="99"/>
      <c r="AT73" s="99"/>
      <c r="AU73" s="99"/>
      <c r="AV73" s="99"/>
      <c r="AW73" s="2">
        <f t="shared" si="32"/>
        <v>0</v>
      </c>
      <c r="AZ73" s="11">
        <f ca="1">IF(B73&lt;TODAY(), SUMIFS($AX$6:AX73, $BK$6:BK73, BK73), "")</f>
        <v>0</v>
      </c>
      <c r="BC73" s="15"/>
      <c r="BE73" s="14"/>
      <c r="BF73" t="str">
        <f t="shared" si="28"/>
        <v>25</v>
      </c>
      <c r="BG73" t="str">
        <f t="shared" si="29"/>
        <v>09</v>
      </c>
      <c r="BH73" s="98">
        <f t="shared" si="27"/>
        <v>13</v>
      </c>
      <c r="BI73" t="str">
        <f t="shared" si="30"/>
        <v>4</v>
      </c>
      <c r="BJ73" t="str">
        <f t="shared" si="14"/>
        <v>-250913D</v>
      </c>
      <c r="BK73" t="str">
        <f t="shared" si="31"/>
        <v>2025-09</v>
      </c>
    </row>
    <row r="74" spans="2:63">
      <c r="B74" s="1">
        <v>45914</v>
      </c>
      <c r="P74" s="130">
        <f t="shared" si="15"/>
        <v>0</v>
      </c>
      <c r="Q74" s="17">
        <f t="shared" ref="Q74:Q137" si="33">(J74*$J$3)+(K74*$K$3)+(L74*$L$3)+(M74*$M$3)+(N74*$N$3)+(O74*$O$3)</f>
        <v>0</v>
      </c>
      <c r="R74">
        <v>0</v>
      </c>
      <c r="AH74" s="99"/>
      <c r="AI74" s="99"/>
      <c r="AJ74" s="99"/>
      <c r="AK74" s="99"/>
      <c r="AL74" s="99"/>
      <c r="AM74" s="99"/>
      <c r="AN74" s="99"/>
      <c r="AO74" s="99"/>
      <c r="AP74" s="99"/>
      <c r="AQ74" s="99"/>
      <c r="AR74" s="99"/>
      <c r="AS74" s="99"/>
      <c r="AT74" s="99"/>
      <c r="AU74" s="99"/>
      <c r="AV74" s="99"/>
      <c r="AW74" s="2">
        <f t="shared" si="32"/>
        <v>0</v>
      </c>
      <c r="AZ74" s="11">
        <f ca="1">IF(B74&lt;TODAY(), SUMIFS($AX$6:AX74, $BK$6:BK74, BK74), "")</f>
        <v>0</v>
      </c>
      <c r="BC74" s="15"/>
      <c r="BE74" s="14"/>
      <c r="BF74" t="str">
        <f t="shared" si="28"/>
        <v>25</v>
      </c>
      <c r="BG74" t="str">
        <f t="shared" si="29"/>
        <v>09</v>
      </c>
      <c r="BH74" s="98">
        <f t="shared" si="27"/>
        <v>14</v>
      </c>
      <c r="BI74" t="str">
        <f t="shared" si="30"/>
        <v>4</v>
      </c>
      <c r="BJ74" t="str">
        <f t="shared" ref="BJ74:BJ137" si="34">CONCATENATE(BE74,"-",BF74,BG74,BH74,"D")</f>
        <v>-250914D</v>
      </c>
      <c r="BK74" t="str">
        <f t="shared" si="31"/>
        <v>2025-09</v>
      </c>
    </row>
    <row r="75" spans="2:63">
      <c r="B75" s="1">
        <v>45915</v>
      </c>
      <c r="P75" s="130">
        <f t="shared" si="15"/>
        <v>0</v>
      </c>
      <c r="Q75" s="17">
        <f t="shared" si="33"/>
        <v>0</v>
      </c>
      <c r="R75">
        <v>0</v>
      </c>
      <c r="AH75" s="99"/>
      <c r="AI75" s="99"/>
      <c r="AJ75" s="99"/>
      <c r="AK75" s="99"/>
      <c r="AL75" s="99"/>
      <c r="AM75" s="99"/>
      <c r="AN75" s="99"/>
      <c r="AO75" s="99"/>
      <c r="AP75" s="99"/>
      <c r="AQ75" s="99"/>
      <c r="AR75" s="99"/>
      <c r="AS75" s="99"/>
      <c r="AT75" s="99"/>
      <c r="AU75" s="99"/>
      <c r="AV75" s="99"/>
      <c r="AW75" s="2">
        <f t="shared" si="32"/>
        <v>0</v>
      </c>
      <c r="AZ75" s="11">
        <f ca="1">IF(B75&lt;TODAY(), SUMIFS($AX$6:AX75, $BK$6:BK75, BK75), "")</f>
        <v>0</v>
      </c>
      <c r="BC75" s="15"/>
      <c r="BE75" s="14"/>
      <c r="BF75" t="str">
        <f t="shared" si="28"/>
        <v>25</v>
      </c>
      <c r="BG75" t="str">
        <f t="shared" si="29"/>
        <v>09</v>
      </c>
      <c r="BH75" s="98">
        <f t="shared" si="27"/>
        <v>15</v>
      </c>
      <c r="BI75" t="str">
        <f t="shared" si="30"/>
        <v>4</v>
      </c>
      <c r="BJ75" t="str">
        <f t="shared" si="34"/>
        <v>-250915D</v>
      </c>
      <c r="BK75" t="str">
        <f t="shared" si="31"/>
        <v>2025-09</v>
      </c>
    </row>
    <row r="76" spans="2:63">
      <c r="B76" s="1">
        <v>45916</v>
      </c>
      <c r="P76" s="130">
        <f t="shared" ref="P76:P139" si="35">J76+K76+L76+M76+N76+O76</f>
        <v>0</v>
      </c>
      <c r="Q76" s="17">
        <f t="shared" si="33"/>
        <v>0</v>
      </c>
      <c r="R76">
        <v>0</v>
      </c>
      <c r="AH76" s="99"/>
      <c r="AI76" s="99"/>
      <c r="AJ76" s="99"/>
      <c r="AK76" s="99"/>
      <c r="AL76" s="99"/>
      <c r="AM76" s="99"/>
      <c r="AN76" s="99"/>
      <c r="AO76" s="99"/>
      <c r="AP76" s="99"/>
      <c r="AQ76" s="99"/>
      <c r="AR76" s="99"/>
      <c r="AS76" s="99"/>
      <c r="AT76" s="99"/>
      <c r="AU76" s="99"/>
      <c r="AV76" s="99"/>
      <c r="AW76" s="2">
        <f t="shared" si="32"/>
        <v>0</v>
      </c>
      <c r="AZ76" s="11">
        <f ca="1">IF(B76&lt;TODAY(), SUMIFS($AX$6:AX76, $BK$6:BK76, BK76), "")</f>
        <v>0</v>
      </c>
      <c r="BC76" s="15"/>
      <c r="BE76" s="14"/>
      <c r="BF76" t="str">
        <f t="shared" si="28"/>
        <v>25</v>
      </c>
      <c r="BG76" t="str">
        <f t="shared" si="29"/>
        <v>09</v>
      </c>
      <c r="BH76" s="98">
        <f t="shared" si="27"/>
        <v>16</v>
      </c>
      <c r="BI76" t="str">
        <f t="shared" si="30"/>
        <v>4</v>
      </c>
      <c r="BJ76" t="str">
        <f t="shared" si="34"/>
        <v>-250916D</v>
      </c>
      <c r="BK76" t="str">
        <f t="shared" si="31"/>
        <v>2025-09</v>
      </c>
    </row>
    <row r="77" spans="2:63">
      <c r="B77" s="1">
        <v>45917</v>
      </c>
      <c r="P77" s="130">
        <f t="shared" si="35"/>
        <v>0</v>
      </c>
      <c r="Q77" s="17">
        <f t="shared" si="33"/>
        <v>0</v>
      </c>
      <c r="R77">
        <v>0</v>
      </c>
      <c r="AH77" s="99"/>
      <c r="AI77" s="99"/>
      <c r="AJ77" s="99"/>
      <c r="AK77" s="99"/>
      <c r="AL77" s="99"/>
      <c r="AM77" s="99"/>
      <c r="AN77" s="99"/>
      <c r="AO77" s="99"/>
      <c r="AP77" s="99"/>
      <c r="AQ77" s="99"/>
      <c r="AR77" s="99"/>
      <c r="AS77" s="99"/>
      <c r="AT77" s="99"/>
      <c r="AU77" s="99"/>
      <c r="AV77" s="99"/>
      <c r="AW77" s="2">
        <f t="shared" si="32"/>
        <v>0</v>
      </c>
      <c r="AZ77" s="11">
        <f ca="1">IF(B77&lt;TODAY(), SUMIFS($AX$6:AX77, $BK$6:BK77, BK77), "")</f>
        <v>0</v>
      </c>
      <c r="BC77" s="15"/>
      <c r="BE77" s="14"/>
      <c r="BF77" t="str">
        <f t="shared" si="28"/>
        <v>25</v>
      </c>
      <c r="BG77" t="str">
        <f t="shared" si="29"/>
        <v>09</v>
      </c>
      <c r="BH77" s="98">
        <f t="shared" si="27"/>
        <v>17</v>
      </c>
      <c r="BI77" t="str">
        <f t="shared" si="30"/>
        <v>4</v>
      </c>
      <c r="BJ77" t="str">
        <f t="shared" si="34"/>
        <v>-250917D</v>
      </c>
      <c r="BK77" t="str">
        <f t="shared" si="31"/>
        <v>2025-09</v>
      </c>
    </row>
    <row r="78" spans="2:63">
      <c r="B78" s="1">
        <v>45918</v>
      </c>
      <c r="P78" s="130">
        <f t="shared" si="35"/>
        <v>0</v>
      </c>
      <c r="Q78" s="17">
        <f t="shared" si="33"/>
        <v>0</v>
      </c>
      <c r="R78">
        <v>0</v>
      </c>
      <c r="AH78" s="99"/>
      <c r="AI78" s="99"/>
      <c r="AJ78" s="99"/>
      <c r="AK78" s="99"/>
      <c r="AL78" s="99"/>
      <c r="AM78" s="99"/>
      <c r="AN78" s="99"/>
      <c r="AO78" s="99"/>
      <c r="AP78" s="99"/>
      <c r="AQ78" s="99"/>
      <c r="AR78" s="99"/>
      <c r="AS78" s="99"/>
      <c r="AT78" s="99"/>
      <c r="AU78" s="99"/>
      <c r="AV78" s="99"/>
      <c r="AW78" s="2">
        <f t="shared" si="32"/>
        <v>0</v>
      </c>
      <c r="AZ78" s="11">
        <f ca="1">IF(B78&lt;TODAY(), SUMIFS($AX$6:AX78, $BK$6:BK78, BK78), "")</f>
        <v>0</v>
      </c>
      <c r="BC78" s="15"/>
      <c r="BE78" s="14"/>
      <c r="BF78" t="str">
        <f t="shared" si="28"/>
        <v>25</v>
      </c>
      <c r="BG78" t="str">
        <f t="shared" si="29"/>
        <v>09</v>
      </c>
      <c r="BH78" s="98" t="str">
        <f t="shared" ref="BH78:BH86" si="36">_xlfn.TEXTJOIN(,TRUE,"0",DAY(B78))</f>
        <v>018</v>
      </c>
      <c r="BI78" t="str">
        <f t="shared" si="30"/>
        <v>4</v>
      </c>
      <c r="BJ78" t="str">
        <f t="shared" si="34"/>
        <v>-2509018D</v>
      </c>
      <c r="BK78" t="str">
        <f t="shared" si="31"/>
        <v>2025-09</v>
      </c>
    </row>
    <row r="79" spans="2:63">
      <c r="B79" s="1">
        <v>45919</v>
      </c>
      <c r="P79" s="130">
        <f t="shared" si="35"/>
        <v>0</v>
      </c>
      <c r="Q79" s="17">
        <f t="shared" si="33"/>
        <v>0</v>
      </c>
      <c r="R79">
        <v>0</v>
      </c>
      <c r="AH79" s="99"/>
      <c r="AI79" s="99"/>
      <c r="AJ79" s="99"/>
      <c r="AK79" s="99"/>
      <c r="AL79" s="99"/>
      <c r="AM79" s="99"/>
      <c r="AN79" s="99"/>
      <c r="AO79" s="99"/>
      <c r="AP79" s="99"/>
      <c r="AQ79" s="99"/>
      <c r="AR79" s="99"/>
      <c r="AS79" s="99"/>
      <c r="AT79" s="99"/>
      <c r="AU79" s="99"/>
      <c r="AV79" s="99"/>
      <c r="AW79" s="2">
        <f t="shared" si="32"/>
        <v>0</v>
      </c>
      <c r="AZ79" s="11">
        <f ca="1">IF(B79&lt;TODAY(), SUMIFS($AX$6:AX79, $BK$6:BK79, BK79), "")</f>
        <v>0</v>
      </c>
      <c r="BC79" s="15"/>
      <c r="BE79" s="14"/>
      <c r="BF79" t="str">
        <f t="shared" si="28"/>
        <v>25</v>
      </c>
      <c r="BG79" t="str">
        <f t="shared" si="29"/>
        <v>09</v>
      </c>
      <c r="BH79" s="98" t="str">
        <f t="shared" si="36"/>
        <v>019</v>
      </c>
      <c r="BI79" t="str">
        <f t="shared" si="30"/>
        <v>4</v>
      </c>
      <c r="BJ79" t="str">
        <f t="shared" si="34"/>
        <v>-2509019D</v>
      </c>
      <c r="BK79" t="str">
        <f t="shared" si="31"/>
        <v>2025-09</v>
      </c>
    </row>
    <row r="80" spans="2:63">
      <c r="B80" s="1">
        <v>45920</v>
      </c>
      <c r="P80" s="130">
        <f t="shared" si="35"/>
        <v>0</v>
      </c>
      <c r="Q80" s="17">
        <f t="shared" si="33"/>
        <v>0</v>
      </c>
      <c r="R80">
        <v>0</v>
      </c>
      <c r="AH80" s="99"/>
      <c r="AI80" s="99"/>
      <c r="AJ80" s="99"/>
      <c r="AK80" s="99"/>
      <c r="AL80" s="99"/>
      <c r="AM80" s="99"/>
      <c r="AN80" s="99"/>
      <c r="AO80" s="99"/>
      <c r="AP80" s="99"/>
      <c r="AQ80" s="99"/>
      <c r="AR80" s="99"/>
      <c r="AS80" s="99"/>
      <c r="AT80" s="99"/>
      <c r="AU80" s="99"/>
      <c r="AV80" s="99"/>
      <c r="AW80" s="2">
        <f t="shared" si="32"/>
        <v>0</v>
      </c>
      <c r="AZ80" s="11">
        <f ca="1">IF(B80&lt;TODAY(), SUMIFS($AX$6:AX80, $BK$6:BK80, BK80), "")</f>
        <v>0</v>
      </c>
      <c r="BC80" s="15"/>
      <c r="BE80" s="14"/>
      <c r="BF80" t="str">
        <f t="shared" si="28"/>
        <v>25</v>
      </c>
      <c r="BG80" t="str">
        <f t="shared" si="29"/>
        <v>09</v>
      </c>
      <c r="BH80" s="98" t="str">
        <f t="shared" si="36"/>
        <v>020</v>
      </c>
      <c r="BI80" t="str">
        <f t="shared" si="30"/>
        <v>4</v>
      </c>
      <c r="BJ80" t="str">
        <f t="shared" si="34"/>
        <v>-2509020D</v>
      </c>
      <c r="BK80" t="str">
        <f t="shared" si="31"/>
        <v>2025-09</v>
      </c>
    </row>
    <row r="81" spans="2:63">
      <c r="B81" s="1">
        <v>45921</v>
      </c>
      <c r="P81" s="130">
        <f t="shared" si="35"/>
        <v>0</v>
      </c>
      <c r="Q81" s="17">
        <f t="shared" si="33"/>
        <v>0</v>
      </c>
      <c r="R81">
        <v>0</v>
      </c>
      <c r="AH81" s="99"/>
      <c r="AI81" s="99"/>
      <c r="AJ81" s="99"/>
      <c r="AK81" s="99"/>
      <c r="AL81" s="99"/>
      <c r="AM81" s="99"/>
      <c r="AN81" s="99"/>
      <c r="AO81" s="99"/>
      <c r="AP81" s="99"/>
      <c r="AQ81" s="99"/>
      <c r="AR81" s="99"/>
      <c r="AS81" s="99"/>
      <c r="AT81" s="99"/>
      <c r="AU81" s="99"/>
      <c r="AV81" s="99"/>
      <c r="AW81" s="2">
        <f t="shared" si="32"/>
        <v>0</v>
      </c>
      <c r="AZ81" s="11">
        <f ca="1">IF(B81&lt;TODAY(), SUMIFS($AX$6:AX81, $BK$6:BK81, BK81), "")</f>
        <v>0</v>
      </c>
      <c r="BC81" s="15"/>
      <c r="BE81" s="14"/>
      <c r="BF81" t="str">
        <f t="shared" si="28"/>
        <v>25</v>
      </c>
      <c r="BG81" t="str">
        <f t="shared" si="29"/>
        <v>09</v>
      </c>
      <c r="BH81" s="98" t="str">
        <f t="shared" si="36"/>
        <v>021</v>
      </c>
      <c r="BI81" t="str">
        <f t="shared" si="30"/>
        <v>4</v>
      </c>
      <c r="BJ81" t="str">
        <f t="shared" si="34"/>
        <v>-2509021D</v>
      </c>
      <c r="BK81" t="str">
        <f t="shared" si="31"/>
        <v>2025-09</v>
      </c>
    </row>
    <row r="82" spans="2:63">
      <c r="B82" s="1">
        <v>45922</v>
      </c>
      <c r="P82" s="130">
        <f t="shared" si="35"/>
        <v>0</v>
      </c>
      <c r="Q82" s="17">
        <f t="shared" si="33"/>
        <v>0</v>
      </c>
      <c r="R82">
        <v>0</v>
      </c>
      <c r="AH82" s="99"/>
      <c r="AI82" s="99"/>
      <c r="AJ82" s="99"/>
      <c r="AK82" s="99"/>
      <c r="AL82" s="99"/>
      <c r="AM82" s="99"/>
      <c r="AN82" s="99"/>
      <c r="AO82" s="99"/>
      <c r="AP82" s="99"/>
      <c r="AQ82" s="99"/>
      <c r="AR82" s="99"/>
      <c r="AS82" s="99"/>
      <c r="AT82" s="99"/>
      <c r="AU82" s="99"/>
      <c r="AV82" s="99"/>
      <c r="AW82" s="2">
        <f t="shared" si="32"/>
        <v>0</v>
      </c>
      <c r="AZ82" s="11">
        <f ca="1">IF(B82&lt;TODAY(), SUMIFS($AX$6:AX82, $BK$6:BK82, BK82), "")</f>
        <v>0</v>
      </c>
      <c r="BC82" s="15"/>
      <c r="BE82" s="14"/>
      <c r="BF82" t="str">
        <f t="shared" si="28"/>
        <v>25</v>
      </c>
      <c r="BG82" t="str">
        <f t="shared" si="29"/>
        <v>09</v>
      </c>
      <c r="BH82" s="98" t="str">
        <f t="shared" si="36"/>
        <v>022</v>
      </c>
      <c r="BI82" t="str">
        <f t="shared" si="30"/>
        <v>4</v>
      </c>
      <c r="BJ82" t="str">
        <f t="shared" si="34"/>
        <v>-2509022D</v>
      </c>
      <c r="BK82" t="str">
        <f t="shared" si="31"/>
        <v>2025-09</v>
      </c>
    </row>
    <row r="83" spans="2:63">
      <c r="B83" s="1">
        <v>45923</v>
      </c>
      <c r="P83" s="130">
        <f t="shared" si="35"/>
        <v>0</v>
      </c>
      <c r="Q83" s="17">
        <f t="shared" si="33"/>
        <v>0</v>
      </c>
      <c r="R83">
        <v>0</v>
      </c>
      <c r="AH83" s="99"/>
      <c r="AI83" s="99"/>
      <c r="AJ83" s="99"/>
      <c r="AK83" s="99"/>
      <c r="AL83" s="99"/>
      <c r="AM83" s="99"/>
      <c r="AN83" s="99"/>
      <c r="AO83" s="99"/>
      <c r="AP83" s="99"/>
      <c r="AQ83" s="99"/>
      <c r="AR83" s="99"/>
      <c r="AS83" s="99"/>
      <c r="AT83" s="99"/>
      <c r="AU83" s="99"/>
      <c r="AV83" s="99"/>
      <c r="AW83" s="2">
        <f t="shared" si="32"/>
        <v>0</v>
      </c>
      <c r="AZ83" s="11">
        <f ca="1">IF(B83&lt;TODAY(), SUMIFS($AX$6:AX83, $BK$6:BK83, BK83), "")</f>
        <v>0</v>
      </c>
      <c r="BC83" s="15"/>
      <c r="BE83" s="14"/>
      <c r="BF83" t="str">
        <f t="shared" si="28"/>
        <v>25</v>
      </c>
      <c r="BG83" t="str">
        <f t="shared" si="29"/>
        <v>09</v>
      </c>
      <c r="BH83" s="98" t="str">
        <f t="shared" si="36"/>
        <v>023</v>
      </c>
      <c r="BI83" t="str">
        <f t="shared" si="30"/>
        <v>4</v>
      </c>
      <c r="BJ83" t="str">
        <f t="shared" si="34"/>
        <v>-2509023D</v>
      </c>
      <c r="BK83" t="str">
        <f t="shared" si="31"/>
        <v>2025-09</v>
      </c>
    </row>
    <row r="84" spans="2:63">
      <c r="B84" s="1">
        <v>45924</v>
      </c>
      <c r="P84" s="130">
        <f t="shared" si="35"/>
        <v>0</v>
      </c>
      <c r="Q84" s="17">
        <f t="shared" si="33"/>
        <v>0</v>
      </c>
      <c r="R84">
        <v>0</v>
      </c>
      <c r="AH84" s="99"/>
      <c r="AI84" s="99"/>
      <c r="AJ84" s="99"/>
      <c r="AK84" s="99"/>
      <c r="AL84" s="99"/>
      <c r="AM84" s="99"/>
      <c r="AN84" s="99"/>
      <c r="AO84" s="99"/>
      <c r="AP84" s="99"/>
      <c r="AQ84" s="99"/>
      <c r="AR84" s="99"/>
      <c r="AS84" s="99"/>
      <c r="AT84" s="99"/>
      <c r="AU84" s="99"/>
      <c r="AV84" s="99"/>
      <c r="AW84" s="2">
        <f t="shared" si="32"/>
        <v>0</v>
      </c>
      <c r="AZ84" s="11">
        <f ca="1">IF(B84&lt;TODAY(), SUMIFS($AX$6:AX84, $BK$6:BK84, BK84), "")</f>
        <v>0</v>
      </c>
      <c r="BC84" s="15"/>
      <c r="BE84" s="14"/>
      <c r="BF84" t="str">
        <f t="shared" si="28"/>
        <v>25</v>
      </c>
      <c r="BG84" t="str">
        <f t="shared" si="29"/>
        <v>09</v>
      </c>
      <c r="BH84" s="98" t="str">
        <f t="shared" si="36"/>
        <v>024</v>
      </c>
      <c r="BI84" t="str">
        <f t="shared" si="30"/>
        <v>4</v>
      </c>
      <c r="BJ84" t="str">
        <f t="shared" si="34"/>
        <v>-2509024D</v>
      </c>
      <c r="BK84" t="str">
        <f t="shared" si="31"/>
        <v>2025-09</v>
      </c>
    </row>
    <row r="85" spans="2:63">
      <c r="B85" s="1">
        <v>45925</v>
      </c>
      <c r="P85" s="130">
        <f t="shared" si="35"/>
        <v>0</v>
      </c>
      <c r="Q85" s="17">
        <f t="shared" si="33"/>
        <v>0</v>
      </c>
      <c r="R85">
        <v>0</v>
      </c>
      <c r="AH85" s="99"/>
      <c r="AI85" s="99"/>
      <c r="AJ85" s="99"/>
      <c r="AK85" s="99"/>
      <c r="AL85" s="99"/>
      <c r="AM85" s="99"/>
      <c r="AN85" s="99"/>
      <c r="AO85" s="99"/>
      <c r="AP85" s="99"/>
      <c r="AQ85" s="99"/>
      <c r="AR85" s="99"/>
      <c r="AS85" s="99"/>
      <c r="AT85" s="99"/>
      <c r="AU85" s="99"/>
      <c r="AV85" s="99"/>
      <c r="AW85" s="2">
        <f t="shared" si="32"/>
        <v>0</v>
      </c>
      <c r="AZ85" s="11">
        <f ca="1">IF(B85&lt;TODAY(), SUMIFS($AX$6:AX85, $BK$6:BK85, BK85), "")</f>
        <v>0</v>
      </c>
      <c r="BC85" s="15"/>
      <c r="BE85" s="14"/>
      <c r="BF85" t="str">
        <f t="shared" si="28"/>
        <v>25</v>
      </c>
      <c r="BG85" t="str">
        <f t="shared" si="29"/>
        <v>09</v>
      </c>
      <c r="BH85" s="98" t="str">
        <f t="shared" si="36"/>
        <v>025</v>
      </c>
      <c r="BI85" t="str">
        <f t="shared" si="30"/>
        <v>4</v>
      </c>
      <c r="BJ85" t="str">
        <f t="shared" si="34"/>
        <v>-2509025D</v>
      </c>
      <c r="BK85" t="str">
        <f t="shared" si="31"/>
        <v>2025-09</v>
      </c>
    </row>
    <row r="86" spans="2:63">
      <c r="B86" s="1">
        <v>45926</v>
      </c>
      <c r="P86" s="130">
        <f t="shared" si="35"/>
        <v>0</v>
      </c>
      <c r="Q86" s="17">
        <f t="shared" si="33"/>
        <v>0</v>
      </c>
      <c r="R86">
        <v>0</v>
      </c>
      <c r="AH86" s="99"/>
      <c r="AI86" s="99"/>
      <c r="AJ86" s="99"/>
      <c r="AK86" s="99"/>
      <c r="AL86" s="99"/>
      <c r="AM86" s="99"/>
      <c r="AN86" s="99"/>
      <c r="AO86" s="99"/>
      <c r="AP86" s="99"/>
      <c r="AQ86" s="99"/>
      <c r="AR86" s="99"/>
      <c r="AS86" s="99"/>
      <c r="AT86" s="99"/>
      <c r="AU86" s="99"/>
      <c r="AV86" s="99"/>
      <c r="AW86" s="2">
        <f t="shared" si="32"/>
        <v>0</v>
      </c>
      <c r="AZ86" s="11">
        <f ca="1">IF(B86&lt;TODAY(), SUMIFS($AX$6:AX86, $BK$6:BK86, BK86), "")</f>
        <v>0</v>
      </c>
      <c r="BC86" s="15"/>
      <c r="BE86" s="14"/>
      <c r="BF86" t="str">
        <f t="shared" si="28"/>
        <v>25</v>
      </c>
      <c r="BG86" t="str">
        <f t="shared" si="29"/>
        <v>09</v>
      </c>
      <c r="BH86" s="98" t="str">
        <f t="shared" si="36"/>
        <v>026</v>
      </c>
      <c r="BI86" t="str">
        <f t="shared" si="30"/>
        <v>4</v>
      </c>
      <c r="BJ86" t="str">
        <f t="shared" si="34"/>
        <v>-2509026D</v>
      </c>
      <c r="BK86" t="str">
        <f t="shared" si="31"/>
        <v>2025-09</v>
      </c>
    </row>
    <row r="87" spans="2:63">
      <c r="B87" s="1">
        <v>45927</v>
      </c>
      <c r="P87" s="130">
        <f t="shared" si="35"/>
        <v>0</v>
      </c>
      <c r="Q87" s="17">
        <f t="shared" si="33"/>
        <v>0</v>
      </c>
      <c r="R87">
        <v>0</v>
      </c>
      <c r="AH87" s="99"/>
      <c r="AI87" s="99"/>
      <c r="AJ87" s="99"/>
      <c r="AK87" s="99"/>
      <c r="AL87" s="99"/>
      <c r="AM87" s="99"/>
      <c r="AN87" s="99"/>
      <c r="AO87" s="99"/>
      <c r="AP87" s="99"/>
      <c r="AQ87" s="99"/>
      <c r="AR87" s="99"/>
      <c r="AS87" s="99"/>
      <c r="AT87" s="99"/>
      <c r="AU87" s="99"/>
      <c r="AV87" s="99"/>
      <c r="AW87" s="2">
        <f t="shared" si="32"/>
        <v>0</v>
      </c>
      <c r="AZ87" s="11">
        <f ca="1">IF(B87&lt;TODAY(), SUMIFS($AX$6:AX87, $BK$6:BK87, BK87), "")</f>
        <v>0</v>
      </c>
      <c r="BC87" s="15"/>
      <c r="BE87" s="14"/>
      <c r="BF87" t="str">
        <f t="shared" si="28"/>
        <v>25</v>
      </c>
      <c r="BG87" t="str">
        <f t="shared" si="29"/>
        <v>09</v>
      </c>
      <c r="BH87" s="98">
        <f t="shared" ref="BH87:BH107" si="37">DAY(B87)</f>
        <v>27</v>
      </c>
      <c r="BI87" t="str">
        <f t="shared" si="30"/>
        <v>4</v>
      </c>
      <c r="BJ87" t="str">
        <f t="shared" si="34"/>
        <v>-250927D</v>
      </c>
      <c r="BK87" t="str">
        <f t="shared" si="31"/>
        <v>2025-09</v>
      </c>
    </row>
    <row r="88" spans="2:63">
      <c r="B88" s="1">
        <v>45928</v>
      </c>
      <c r="P88" s="130">
        <f t="shared" si="35"/>
        <v>0</v>
      </c>
      <c r="Q88" s="17">
        <f t="shared" si="33"/>
        <v>0</v>
      </c>
      <c r="R88">
        <v>0</v>
      </c>
      <c r="AH88" s="99"/>
      <c r="AI88" s="99"/>
      <c r="AJ88" s="99"/>
      <c r="AK88" s="99"/>
      <c r="AL88" s="99"/>
      <c r="AM88" s="99"/>
      <c r="AN88" s="99"/>
      <c r="AO88" s="99"/>
      <c r="AP88" s="99"/>
      <c r="AQ88" s="99"/>
      <c r="AR88" s="99"/>
      <c r="AS88" s="99"/>
      <c r="AT88" s="99"/>
      <c r="AU88" s="99"/>
      <c r="AV88" s="99"/>
      <c r="AW88" s="2">
        <f t="shared" si="32"/>
        <v>0</v>
      </c>
      <c r="AZ88" s="11">
        <f ca="1">IF(B88&lt;TODAY(), SUMIFS($AX$6:AX88, $BK$6:BK88, BK88), "")</f>
        <v>0</v>
      </c>
      <c r="BC88" s="15"/>
      <c r="BE88" s="14"/>
      <c r="BF88" t="str">
        <f t="shared" si="28"/>
        <v>25</v>
      </c>
      <c r="BG88" t="str">
        <f t="shared" si="29"/>
        <v>09</v>
      </c>
      <c r="BH88" s="98">
        <f t="shared" si="37"/>
        <v>28</v>
      </c>
      <c r="BI88" t="str">
        <f t="shared" si="30"/>
        <v>4</v>
      </c>
      <c r="BJ88" t="str">
        <f t="shared" si="34"/>
        <v>-250928D</v>
      </c>
      <c r="BK88" t="str">
        <f t="shared" si="31"/>
        <v>2025-09</v>
      </c>
    </row>
    <row r="89" spans="2:63">
      <c r="B89" s="1">
        <v>45929</v>
      </c>
      <c r="P89" s="130">
        <f t="shared" si="35"/>
        <v>0</v>
      </c>
      <c r="Q89" s="17">
        <f t="shared" si="33"/>
        <v>0</v>
      </c>
      <c r="R89">
        <v>0</v>
      </c>
      <c r="AH89" s="99"/>
      <c r="AI89" s="99"/>
      <c r="AJ89" s="99"/>
      <c r="AK89" s="99"/>
      <c r="AL89" s="99"/>
      <c r="AM89" s="99"/>
      <c r="AN89" s="99"/>
      <c r="AO89" s="99"/>
      <c r="AP89" s="99"/>
      <c r="AQ89" s="99"/>
      <c r="AR89" s="99"/>
      <c r="AS89" s="99"/>
      <c r="AT89" s="99"/>
      <c r="AU89" s="99"/>
      <c r="AV89" s="99"/>
      <c r="AW89" s="2">
        <f t="shared" si="32"/>
        <v>0</v>
      </c>
      <c r="AZ89" s="11">
        <f ca="1">IF(B89&lt;TODAY(), SUMIFS($AX$6:AX89, $BK$6:BK89, BK89), "")</f>
        <v>0</v>
      </c>
      <c r="BC89" s="15"/>
      <c r="BE89" s="14"/>
      <c r="BF89" t="str">
        <f t="shared" si="28"/>
        <v>25</v>
      </c>
      <c r="BG89" t="str">
        <f t="shared" si="29"/>
        <v>09</v>
      </c>
      <c r="BH89" s="98">
        <f t="shared" si="37"/>
        <v>29</v>
      </c>
      <c r="BI89" t="str">
        <f t="shared" si="30"/>
        <v>4</v>
      </c>
      <c r="BJ89" t="str">
        <f t="shared" si="34"/>
        <v>-250929D</v>
      </c>
      <c r="BK89" t="str">
        <f t="shared" si="31"/>
        <v>2025-09</v>
      </c>
    </row>
    <row r="90" spans="2:63">
      <c r="B90" s="1">
        <v>45930</v>
      </c>
      <c r="P90" s="130">
        <f t="shared" si="35"/>
        <v>0</v>
      </c>
      <c r="Q90" s="17">
        <f t="shared" si="33"/>
        <v>0</v>
      </c>
      <c r="R90">
        <v>0</v>
      </c>
      <c r="AH90" s="99"/>
      <c r="AI90" s="99"/>
      <c r="AJ90" s="99"/>
      <c r="AK90" s="99"/>
      <c r="AL90" s="99"/>
      <c r="AM90" s="99"/>
      <c r="AN90" s="99"/>
      <c r="AO90" s="99"/>
      <c r="AP90" s="99"/>
      <c r="AQ90" s="99"/>
      <c r="AR90" s="99"/>
      <c r="AS90" s="99"/>
      <c r="AT90" s="99"/>
      <c r="AU90" s="99"/>
      <c r="AV90" s="99"/>
      <c r="AW90" s="2">
        <f t="shared" si="32"/>
        <v>0</v>
      </c>
      <c r="AZ90" s="11">
        <f ca="1">IF(B90&lt;TODAY(), SUMIFS($AX$6:AX90, $BK$6:BK90, BK90), "")</f>
        <v>0</v>
      </c>
      <c r="BC90" s="15"/>
      <c r="BE90" s="14"/>
      <c r="BF90" t="str">
        <f t="shared" si="28"/>
        <v>25</v>
      </c>
      <c r="BG90" t="str">
        <f t="shared" si="29"/>
        <v>09</v>
      </c>
      <c r="BH90" s="98">
        <f t="shared" si="37"/>
        <v>30</v>
      </c>
      <c r="BI90" t="str">
        <f t="shared" si="30"/>
        <v>4</v>
      </c>
      <c r="BJ90" t="str">
        <f t="shared" si="34"/>
        <v>-250930D</v>
      </c>
      <c r="BK90" t="str">
        <f t="shared" si="31"/>
        <v>2025-09</v>
      </c>
    </row>
    <row r="91" spans="2:63">
      <c r="B91" s="1">
        <v>45931</v>
      </c>
      <c r="P91" s="130">
        <f t="shared" si="35"/>
        <v>0</v>
      </c>
      <c r="Q91" s="17">
        <f t="shared" si="33"/>
        <v>0</v>
      </c>
      <c r="R91">
        <v>0</v>
      </c>
      <c r="AH91" s="99"/>
      <c r="AI91" s="99"/>
      <c r="AJ91" s="99"/>
      <c r="AK91" s="99"/>
      <c r="AL91" s="99"/>
      <c r="AM91" s="99"/>
      <c r="AN91" s="99"/>
      <c r="AO91" s="99"/>
      <c r="AP91" s="99"/>
      <c r="AQ91" s="99"/>
      <c r="AR91" s="99"/>
      <c r="AS91" s="99"/>
      <c r="AT91" s="99"/>
      <c r="AU91" s="99"/>
      <c r="AV91" s="99"/>
      <c r="AW91" s="2">
        <f t="shared" si="32"/>
        <v>0</v>
      </c>
      <c r="AZ91" s="11">
        <f ca="1">IF(B91&lt;TODAY(), SUMIFS($AX$6:AX91, $BK$6:BK91, BK91), "")</f>
        <v>0</v>
      </c>
      <c r="BC91" s="15"/>
      <c r="BE91" s="14"/>
      <c r="BF91" t="str">
        <f t="shared" si="28"/>
        <v>25</v>
      </c>
      <c r="BG91" t="str">
        <f t="shared" si="29"/>
        <v>010</v>
      </c>
      <c r="BH91" s="98">
        <f t="shared" si="37"/>
        <v>1</v>
      </c>
      <c r="BI91" t="str">
        <f t="shared" si="30"/>
        <v>4</v>
      </c>
      <c r="BJ91" t="str">
        <f t="shared" si="34"/>
        <v>-250101D</v>
      </c>
      <c r="BK91" t="str">
        <f t="shared" si="31"/>
        <v>2025-10</v>
      </c>
    </row>
    <row r="92" spans="2:63">
      <c r="B92" s="1">
        <v>45932</v>
      </c>
      <c r="P92" s="130">
        <f t="shared" si="35"/>
        <v>0</v>
      </c>
      <c r="Q92" s="17">
        <f t="shared" si="33"/>
        <v>0</v>
      </c>
      <c r="R92">
        <v>0</v>
      </c>
      <c r="AH92" s="99"/>
      <c r="AI92" s="99"/>
      <c r="AJ92" s="99"/>
      <c r="AK92" s="99"/>
      <c r="AL92" s="99"/>
      <c r="AM92" s="99"/>
      <c r="AN92" s="99"/>
      <c r="AO92" s="99"/>
      <c r="AP92" s="99"/>
      <c r="AQ92" s="99"/>
      <c r="AR92" s="99"/>
      <c r="AS92" s="99"/>
      <c r="AT92" s="99"/>
      <c r="AU92" s="99"/>
      <c r="AV92" s="99"/>
      <c r="AW92" s="2">
        <f t="shared" si="32"/>
        <v>0</v>
      </c>
      <c r="AZ92" s="11">
        <f ca="1">IF(B92&lt;TODAY(), SUMIFS($AX$6:AX92, $BK$6:BK92, BK92), "")</f>
        <v>0</v>
      </c>
      <c r="BC92" s="15"/>
      <c r="BE92" s="14"/>
      <c r="BF92" t="str">
        <f t="shared" si="28"/>
        <v>25</v>
      </c>
      <c r="BG92" t="str">
        <f t="shared" si="29"/>
        <v>010</v>
      </c>
      <c r="BH92" s="98">
        <f t="shared" si="37"/>
        <v>2</v>
      </c>
      <c r="BI92" t="str">
        <f t="shared" si="30"/>
        <v>4</v>
      </c>
      <c r="BJ92" t="str">
        <f t="shared" si="34"/>
        <v>-250102D</v>
      </c>
      <c r="BK92" t="str">
        <f t="shared" si="31"/>
        <v>2025-10</v>
      </c>
    </row>
    <row r="93" spans="2:63">
      <c r="B93" s="1">
        <v>45933</v>
      </c>
      <c r="P93" s="130">
        <f t="shared" si="35"/>
        <v>0</v>
      </c>
      <c r="Q93" s="17">
        <f t="shared" si="33"/>
        <v>0</v>
      </c>
      <c r="R93">
        <v>0</v>
      </c>
      <c r="AH93" s="99"/>
      <c r="AI93" s="99"/>
      <c r="AJ93" s="99"/>
      <c r="AK93" s="99"/>
      <c r="AL93" s="99"/>
      <c r="AM93" s="99"/>
      <c r="AN93" s="99"/>
      <c r="AO93" s="99"/>
      <c r="AP93" s="99"/>
      <c r="AQ93" s="99"/>
      <c r="AR93" s="99"/>
      <c r="AS93" s="99"/>
      <c r="AT93" s="99"/>
      <c r="AU93" s="99"/>
      <c r="AV93" s="99"/>
      <c r="AW93" s="2">
        <f t="shared" si="32"/>
        <v>0</v>
      </c>
      <c r="AZ93" s="11">
        <f ca="1">IF(B93&lt;TODAY(), SUMIFS($AX$6:AX93, $BK$6:BK93, BK93), "")</f>
        <v>0</v>
      </c>
      <c r="BC93" s="15"/>
      <c r="BE93" s="14"/>
      <c r="BF93" t="str">
        <f t="shared" si="28"/>
        <v>25</v>
      </c>
      <c r="BG93" t="str">
        <f t="shared" si="29"/>
        <v>010</v>
      </c>
      <c r="BH93" s="98">
        <f t="shared" si="37"/>
        <v>3</v>
      </c>
      <c r="BI93" t="str">
        <f t="shared" si="30"/>
        <v>4</v>
      </c>
      <c r="BJ93" t="str">
        <f t="shared" si="34"/>
        <v>-250103D</v>
      </c>
      <c r="BK93" t="str">
        <f t="shared" si="31"/>
        <v>2025-10</v>
      </c>
    </row>
    <row r="94" spans="2:63">
      <c r="B94" s="1">
        <v>45934</v>
      </c>
      <c r="P94" s="130">
        <f t="shared" si="35"/>
        <v>0</v>
      </c>
      <c r="Q94" s="17">
        <f t="shared" si="33"/>
        <v>0</v>
      </c>
      <c r="R94">
        <v>0</v>
      </c>
      <c r="AH94" s="99"/>
      <c r="AI94" s="99"/>
      <c r="AJ94" s="99"/>
      <c r="AK94" s="99"/>
      <c r="AL94" s="99"/>
      <c r="AM94" s="99"/>
      <c r="AN94" s="99"/>
      <c r="AO94" s="99"/>
      <c r="AP94" s="99"/>
      <c r="AQ94" s="99"/>
      <c r="AR94" s="99"/>
      <c r="AS94" s="99"/>
      <c r="AT94" s="99"/>
      <c r="AU94" s="99"/>
      <c r="AV94" s="99"/>
      <c r="AW94" s="2">
        <f t="shared" si="32"/>
        <v>0</v>
      </c>
      <c r="AZ94" s="11">
        <f ca="1">IF(B94&lt;TODAY(), SUMIFS($AX$6:AX94, $BK$6:BK94, BK94), "")</f>
        <v>0</v>
      </c>
      <c r="BC94" s="15"/>
      <c r="BE94" s="14"/>
      <c r="BF94" t="str">
        <f t="shared" si="28"/>
        <v>25</v>
      </c>
      <c r="BG94" t="str">
        <f t="shared" si="29"/>
        <v>010</v>
      </c>
      <c r="BH94" s="98">
        <f t="shared" si="37"/>
        <v>4</v>
      </c>
      <c r="BI94" t="str">
        <f t="shared" si="30"/>
        <v>4</v>
      </c>
      <c r="BJ94" t="str">
        <f t="shared" si="34"/>
        <v>-250104D</v>
      </c>
      <c r="BK94" t="str">
        <f t="shared" si="31"/>
        <v>2025-10</v>
      </c>
    </row>
    <row r="95" spans="2:63">
      <c r="B95" s="1">
        <v>45935</v>
      </c>
      <c r="P95" s="130">
        <f t="shared" si="35"/>
        <v>0</v>
      </c>
      <c r="Q95" s="17">
        <f t="shared" si="33"/>
        <v>0</v>
      </c>
      <c r="R95">
        <v>0</v>
      </c>
      <c r="AH95" s="99"/>
      <c r="AI95" s="99"/>
      <c r="AJ95" s="99"/>
      <c r="AK95" s="99"/>
      <c r="AL95" s="99"/>
      <c r="AM95" s="99"/>
      <c r="AN95" s="99"/>
      <c r="AO95" s="99"/>
      <c r="AP95" s="99"/>
      <c r="AQ95" s="99"/>
      <c r="AR95" s="99"/>
      <c r="AS95" s="99"/>
      <c r="AT95" s="99"/>
      <c r="AU95" s="99"/>
      <c r="AV95" s="99"/>
      <c r="AW95" s="2">
        <f t="shared" si="32"/>
        <v>0</v>
      </c>
      <c r="AZ95" s="11">
        <f ca="1">IF(B95&lt;TODAY(), SUMIFS($AX$6:AX95, $BK$6:BK95, BK95), "")</f>
        <v>0</v>
      </c>
      <c r="BC95" s="15"/>
      <c r="BE95" s="14"/>
      <c r="BF95" t="str">
        <f t="shared" si="28"/>
        <v>25</v>
      </c>
      <c r="BG95" t="str">
        <f t="shared" si="29"/>
        <v>010</v>
      </c>
      <c r="BH95" s="98">
        <f t="shared" si="37"/>
        <v>5</v>
      </c>
      <c r="BI95" t="str">
        <f t="shared" si="30"/>
        <v>4</v>
      </c>
      <c r="BJ95" t="str">
        <f t="shared" si="34"/>
        <v>-250105D</v>
      </c>
      <c r="BK95" t="str">
        <f t="shared" si="31"/>
        <v>2025-10</v>
      </c>
    </row>
    <row r="96" spans="2:63">
      <c r="B96" s="1">
        <v>45936</v>
      </c>
      <c r="P96" s="130">
        <f t="shared" si="35"/>
        <v>0</v>
      </c>
      <c r="Q96" s="17">
        <f t="shared" si="33"/>
        <v>0</v>
      </c>
      <c r="R96">
        <v>0</v>
      </c>
      <c r="AH96" s="99"/>
      <c r="AI96" s="99"/>
      <c r="AJ96" s="99"/>
      <c r="AK96" s="99"/>
      <c r="AL96" s="99"/>
      <c r="AM96" s="99"/>
      <c r="AN96" s="99"/>
      <c r="AO96" s="99"/>
      <c r="AP96" s="99"/>
      <c r="AQ96" s="99"/>
      <c r="AR96" s="99"/>
      <c r="AS96" s="99"/>
      <c r="AT96" s="99"/>
      <c r="AU96" s="99"/>
      <c r="AV96" s="99"/>
      <c r="AW96" s="2">
        <f t="shared" si="32"/>
        <v>0</v>
      </c>
      <c r="AZ96" s="11">
        <f ca="1">IF(B96&lt;TODAY(), SUMIFS($AX$6:AX96, $BK$6:BK96, BK96), "")</f>
        <v>0</v>
      </c>
      <c r="BC96" s="15"/>
      <c r="BE96" s="14"/>
      <c r="BF96" t="str">
        <f t="shared" si="28"/>
        <v>25</v>
      </c>
      <c r="BG96" t="str">
        <f t="shared" si="29"/>
        <v>010</v>
      </c>
      <c r="BH96" s="98">
        <f t="shared" si="37"/>
        <v>6</v>
      </c>
      <c r="BI96" t="str">
        <f t="shared" si="30"/>
        <v>4</v>
      </c>
      <c r="BJ96" t="str">
        <f t="shared" si="34"/>
        <v>-250106D</v>
      </c>
      <c r="BK96" t="str">
        <f t="shared" si="31"/>
        <v>2025-10</v>
      </c>
    </row>
    <row r="97" spans="2:63">
      <c r="B97" s="1">
        <v>45937</v>
      </c>
      <c r="P97" s="130">
        <f t="shared" si="35"/>
        <v>0</v>
      </c>
      <c r="Q97" s="17">
        <f t="shared" si="33"/>
        <v>0</v>
      </c>
      <c r="R97">
        <v>0</v>
      </c>
      <c r="AH97" s="99"/>
      <c r="AI97" s="99"/>
      <c r="AJ97" s="99"/>
      <c r="AK97" s="99"/>
      <c r="AL97" s="99"/>
      <c r="AM97" s="99"/>
      <c r="AN97" s="99"/>
      <c r="AO97" s="99"/>
      <c r="AP97" s="99"/>
      <c r="AQ97" s="99"/>
      <c r="AR97" s="99"/>
      <c r="AS97" s="99"/>
      <c r="AT97" s="99"/>
      <c r="AU97" s="99"/>
      <c r="AV97" s="99"/>
      <c r="AW97" s="2">
        <f t="shared" si="32"/>
        <v>0</v>
      </c>
      <c r="AZ97" s="11">
        <f ca="1">IF(B97&lt;TODAY(), SUMIFS($AX$6:AX97, $BK$6:BK97, BK97), "")</f>
        <v>0</v>
      </c>
      <c r="BC97" s="15"/>
      <c r="BE97" s="14"/>
      <c r="BF97" t="str">
        <f t="shared" si="28"/>
        <v>25</v>
      </c>
      <c r="BG97" t="str">
        <f t="shared" si="29"/>
        <v>010</v>
      </c>
      <c r="BH97" s="98">
        <f t="shared" si="37"/>
        <v>7</v>
      </c>
      <c r="BI97" t="str">
        <f t="shared" si="30"/>
        <v>4</v>
      </c>
      <c r="BJ97" t="str">
        <f t="shared" si="34"/>
        <v>-250107D</v>
      </c>
      <c r="BK97" t="str">
        <f t="shared" si="31"/>
        <v>2025-10</v>
      </c>
    </row>
    <row r="98" spans="2:63">
      <c r="B98" s="1">
        <v>45938</v>
      </c>
      <c r="P98" s="130">
        <f t="shared" si="35"/>
        <v>0</v>
      </c>
      <c r="Q98" s="17">
        <f t="shared" si="33"/>
        <v>0</v>
      </c>
      <c r="R98">
        <v>0</v>
      </c>
      <c r="AH98" s="99"/>
      <c r="AI98" s="99"/>
      <c r="AJ98" s="99"/>
      <c r="AK98" s="99"/>
      <c r="AL98" s="99"/>
      <c r="AM98" s="99"/>
      <c r="AN98" s="99"/>
      <c r="AO98" s="99"/>
      <c r="AP98" s="99"/>
      <c r="AQ98" s="99"/>
      <c r="AR98" s="99"/>
      <c r="AS98" s="99"/>
      <c r="AT98" s="99"/>
      <c r="AU98" s="99"/>
      <c r="AV98" s="99"/>
      <c r="AW98" s="2">
        <f t="shared" si="32"/>
        <v>0</v>
      </c>
      <c r="AZ98" s="11">
        <f ca="1">IF(B98&lt;TODAY(), SUMIFS($AX$6:AX98, $BK$6:BK98, BK98), "")</f>
        <v>0</v>
      </c>
      <c r="BC98" s="15"/>
      <c r="BE98" s="14"/>
      <c r="BF98" t="str">
        <f t="shared" ref="BF98:BF129" si="38">RIGHT(YEAR(B98),2)</f>
        <v>25</v>
      </c>
      <c r="BG98" t="str">
        <f t="shared" ref="BG98:BG107" si="39">_xlfn.TEXTJOIN(,TRUE,"0",MONTH(B98))</f>
        <v>010</v>
      </c>
      <c r="BH98" s="98">
        <f t="shared" si="37"/>
        <v>8</v>
      </c>
      <c r="BI98" t="str">
        <f t="shared" ref="BI98:BI129" si="40">LEFT(B98,1)</f>
        <v>4</v>
      </c>
      <c r="BJ98" t="str">
        <f t="shared" si="34"/>
        <v>-250108D</v>
      </c>
      <c r="BK98" t="str">
        <f t="shared" ref="BK98:BK129" si="41">TEXT(B98, "yyyy-mm")</f>
        <v>2025-10</v>
      </c>
    </row>
    <row r="99" spans="2:63">
      <c r="B99" s="1">
        <v>45939</v>
      </c>
      <c r="P99" s="130">
        <f t="shared" si="35"/>
        <v>0</v>
      </c>
      <c r="Q99" s="17">
        <f t="shared" si="33"/>
        <v>0</v>
      </c>
      <c r="R99">
        <v>0</v>
      </c>
      <c r="AH99" s="99"/>
      <c r="AI99" s="99"/>
      <c r="AJ99" s="99"/>
      <c r="AK99" s="99"/>
      <c r="AL99" s="99"/>
      <c r="AM99" s="99"/>
      <c r="AN99" s="99"/>
      <c r="AO99" s="99"/>
      <c r="AP99" s="99"/>
      <c r="AQ99" s="99"/>
      <c r="AR99" s="99"/>
      <c r="AS99" s="99"/>
      <c r="AT99" s="99"/>
      <c r="AU99" s="99"/>
      <c r="AV99" s="99"/>
      <c r="AW99" s="2">
        <f t="shared" si="32"/>
        <v>0</v>
      </c>
      <c r="AZ99" s="11">
        <f ca="1">IF(B99&lt;TODAY(), SUMIFS($AX$6:AX99, $BK$6:BK99, BK99), "")</f>
        <v>0</v>
      </c>
      <c r="BC99" s="15"/>
      <c r="BE99" s="14"/>
      <c r="BF99" t="str">
        <f t="shared" si="38"/>
        <v>25</v>
      </c>
      <c r="BG99" t="str">
        <f t="shared" si="39"/>
        <v>010</v>
      </c>
      <c r="BH99" s="98">
        <f t="shared" si="37"/>
        <v>9</v>
      </c>
      <c r="BI99" t="str">
        <f t="shared" si="40"/>
        <v>4</v>
      </c>
      <c r="BJ99" t="str">
        <f t="shared" si="34"/>
        <v>-250109D</v>
      </c>
      <c r="BK99" t="str">
        <f t="shared" si="41"/>
        <v>2025-10</v>
      </c>
    </row>
    <row r="100" spans="2:63">
      <c r="B100" s="1">
        <v>45940</v>
      </c>
      <c r="P100" s="130">
        <f t="shared" si="35"/>
        <v>0</v>
      </c>
      <c r="Q100" s="17">
        <f t="shared" si="33"/>
        <v>0</v>
      </c>
      <c r="R100">
        <v>0</v>
      </c>
      <c r="AH100" s="99"/>
      <c r="AI100" s="99"/>
      <c r="AJ100" s="99"/>
      <c r="AK100" s="99"/>
      <c r="AL100" s="99"/>
      <c r="AM100" s="99"/>
      <c r="AN100" s="99"/>
      <c r="AO100" s="99"/>
      <c r="AP100" s="99"/>
      <c r="AQ100" s="99"/>
      <c r="AR100" s="99"/>
      <c r="AS100" s="99"/>
      <c r="AT100" s="99"/>
      <c r="AU100" s="99"/>
      <c r="AV100" s="99"/>
      <c r="AW100" s="2">
        <f t="shared" si="32"/>
        <v>0</v>
      </c>
      <c r="AZ100" s="11">
        <f ca="1">IF(B100&lt;TODAY(), SUMIFS($AX$6:AX100, $BK$6:BK100, BK100), "")</f>
        <v>0</v>
      </c>
      <c r="BC100" s="15"/>
      <c r="BE100" s="14"/>
      <c r="BF100" t="str">
        <f t="shared" si="38"/>
        <v>25</v>
      </c>
      <c r="BG100" t="str">
        <f t="shared" si="39"/>
        <v>010</v>
      </c>
      <c r="BH100" s="98">
        <f t="shared" si="37"/>
        <v>10</v>
      </c>
      <c r="BI100" t="str">
        <f t="shared" si="40"/>
        <v>4</v>
      </c>
      <c r="BJ100" t="str">
        <f t="shared" si="34"/>
        <v>-2501010D</v>
      </c>
      <c r="BK100" t="str">
        <f t="shared" si="41"/>
        <v>2025-10</v>
      </c>
    </row>
    <row r="101" spans="2:63">
      <c r="B101" s="1">
        <v>45941</v>
      </c>
      <c r="P101" s="130">
        <f t="shared" si="35"/>
        <v>0</v>
      </c>
      <c r="Q101" s="17">
        <f t="shared" si="33"/>
        <v>0</v>
      </c>
      <c r="R101">
        <v>0</v>
      </c>
      <c r="AH101" s="99"/>
      <c r="AI101" s="99"/>
      <c r="AJ101" s="99"/>
      <c r="AK101" s="99"/>
      <c r="AL101" s="99"/>
      <c r="AM101" s="99"/>
      <c r="AN101" s="99"/>
      <c r="AO101" s="99"/>
      <c r="AP101" s="99"/>
      <c r="AQ101" s="99"/>
      <c r="AR101" s="99"/>
      <c r="AS101" s="99"/>
      <c r="AT101" s="99"/>
      <c r="AU101" s="99"/>
      <c r="AV101" s="99"/>
      <c r="AW101" s="2">
        <f t="shared" si="32"/>
        <v>0</v>
      </c>
      <c r="AZ101" s="11">
        <f ca="1">IF(B101&lt;TODAY(), SUMIFS($AX$6:AX101, $BK$6:BK101, BK101), "")</f>
        <v>0</v>
      </c>
      <c r="BC101" s="15"/>
      <c r="BE101" s="14"/>
      <c r="BF101" t="str">
        <f t="shared" si="38"/>
        <v>25</v>
      </c>
      <c r="BG101" t="str">
        <f t="shared" si="39"/>
        <v>010</v>
      </c>
      <c r="BH101" s="98">
        <f t="shared" si="37"/>
        <v>11</v>
      </c>
      <c r="BI101" t="str">
        <f t="shared" si="40"/>
        <v>4</v>
      </c>
      <c r="BJ101" t="str">
        <f t="shared" si="34"/>
        <v>-2501011D</v>
      </c>
      <c r="BK101" t="str">
        <f t="shared" si="41"/>
        <v>2025-10</v>
      </c>
    </row>
    <row r="102" spans="2:63">
      <c r="B102" s="1">
        <v>45942</v>
      </c>
      <c r="P102" s="130">
        <f t="shared" si="35"/>
        <v>0</v>
      </c>
      <c r="Q102" s="17">
        <f t="shared" si="33"/>
        <v>0</v>
      </c>
      <c r="R102">
        <v>0</v>
      </c>
      <c r="AH102" s="99"/>
      <c r="AI102" s="99"/>
      <c r="AJ102" s="99"/>
      <c r="AK102" s="99"/>
      <c r="AL102" s="99"/>
      <c r="AM102" s="99"/>
      <c r="AN102" s="99"/>
      <c r="AO102" s="99"/>
      <c r="AP102" s="99"/>
      <c r="AQ102" s="99"/>
      <c r="AR102" s="99"/>
      <c r="AS102" s="99"/>
      <c r="AT102" s="99"/>
      <c r="AU102" s="99"/>
      <c r="AV102" s="99"/>
      <c r="AW102" s="2">
        <f t="shared" si="32"/>
        <v>0</v>
      </c>
      <c r="AZ102" s="11">
        <f ca="1">IF(B102&lt;TODAY(), SUMIFS($AX$6:AX102, $BK$6:BK102, BK102), "")</f>
        <v>0</v>
      </c>
      <c r="BC102" s="15"/>
      <c r="BE102" s="14"/>
      <c r="BF102" t="str">
        <f t="shared" si="38"/>
        <v>25</v>
      </c>
      <c r="BG102" t="str">
        <f t="shared" si="39"/>
        <v>010</v>
      </c>
      <c r="BH102" s="98">
        <f t="shared" si="37"/>
        <v>12</v>
      </c>
      <c r="BI102" t="str">
        <f t="shared" si="40"/>
        <v>4</v>
      </c>
      <c r="BJ102" t="str">
        <f t="shared" si="34"/>
        <v>-2501012D</v>
      </c>
      <c r="BK102" t="str">
        <f t="shared" si="41"/>
        <v>2025-10</v>
      </c>
    </row>
    <row r="103" spans="2:63">
      <c r="B103" s="1">
        <v>45943</v>
      </c>
      <c r="P103" s="130">
        <f t="shared" si="35"/>
        <v>0</v>
      </c>
      <c r="Q103" s="17">
        <f t="shared" si="33"/>
        <v>0</v>
      </c>
      <c r="R103">
        <v>0</v>
      </c>
      <c r="AH103" s="99"/>
      <c r="AI103" s="99"/>
      <c r="AJ103" s="99"/>
      <c r="AK103" s="99"/>
      <c r="AL103" s="99"/>
      <c r="AM103" s="99"/>
      <c r="AN103" s="99"/>
      <c r="AO103" s="99"/>
      <c r="AP103" s="99"/>
      <c r="AQ103" s="99"/>
      <c r="AR103" s="99"/>
      <c r="AS103" s="99"/>
      <c r="AT103" s="99"/>
      <c r="AU103" s="99"/>
      <c r="AV103" s="99"/>
      <c r="AW103" s="2">
        <f t="shared" si="32"/>
        <v>0</v>
      </c>
      <c r="AZ103" s="11">
        <f ca="1">IF(B103&lt;TODAY(), SUMIFS($AX$6:AX103, $BK$6:BK103, BK103), "")</f>
        <v>0</v>
      </c>
      <c r="BC103" s="15"/>
      <c r="BE103" s="14"/>
      <c r="BF103" t="str">
        <f t="shared" si="38"/>
        <v>25</v>
      </c>
      <c r="BG103" t="str">
        <f t="shared" si="39"/>
        <v>010</v>
      </c>
      <c r="BH103" s="98">
        <f t="shared" si="37"/>
        <v>13</v>
      </c>
      <c r="BI103" t="str">
        <f t="shared" si="40"/>
        <v>4</v>
      </c>
      <c r="BJ103" t="str">
        <f t="shared" si="34"/>
        <v>-2501013D</v>
      </c>
      <c r="BK103" t="str">
        <f t="shared" si="41"/>
        <v>2025-10</v>
      </c>
    </row>
    <row r="104" spans="2:63">
      <c r="B104" s="1">
        <v>45944</v>
      </c>
      <c r="P104" s="130">
        <f t="shared" si="35"/>
        <v>0</v>
      </c>
      <c r="Q104" s="17">
        <f t="shared" si="33"/>
        <v>0</v>
      </c>
      <c r="R104">
        <v>0</v>
      </c>
      <c r="AH104" s="99"/>
      <c r="AI104" s="99"/>
      <c r="AJ104" s="99"/>
      <c r="AK104" s="99"/>
      <c r="AL104" s="99"/>
      <c r="AM104" s="99"/>
      <c r="AN104" s="99"/>
      <c r="AO104" s="99"/>
      <c r="AP104" s="99"/>
      <c r="AQ104" s="99"/>
      <c r="AR104" s="99"/>
      <c r="AS104" s="99"/>
      <c r="AT104" s="99"/>
      <c r="AU104" s="99"/>
      <c r="AV104" s="99"/>
      <c r="AW104" s="2">
        <f t="shared" si="32"/>
        <v>0</v>
      </c>
      <c r="AZ104" s="11">
        <f ca="1">IF(B104&lt;TODAY(), SUMIFS($AX$6:AX104, $BK$6:BK104, BK104), "")</f>
        <v>0</v>
      </c>
      <c r="BC104" s="15"/>
      <c r="BE104" s="14"/>
      <c r="BF104" t="str">
        <f t="shared" si="38"/>
        <v>25</v>
      </c>
      <c r="BG104" t="str">
        <f t="shared" si="39"/>
        <v>010</v>
      </c>
      <c r="BH104" s="98">
        <f t="shared" si="37"/>
        <v>14</v>
      </c>
      <c r="BI104" t="str">
        <f t="shared" si="40"/>
        <v>4</v>
      </c>
      <c r="BJ104" t="str">
        <f t="shared" si="34"/>
        <v>-2501014D</v>
      </c>
      <c r="BK104" t="str">
        <f t="shared" si="41"/>
        <v>2025-10</v>
      </c>
    </row>
    <row r="105" spans="2:63">
      <c r="B105" s="1">
        <v>45945</v>
      </c>
      <c r="P105" s="130">
        <f t="shared" si="35"/>
        <v>0</v>
      </c>
      <c r="Q105" s="17">
        <f t="shared" si="33"/>
        <v>0</v>
      </c>
      <c r="R105">
        <v>0</v>
      </c>
      <c r="AH105" s="99"/>
      <c r="AI105" s="99"/>
      <c r="AJ105" s="99"/>
      <c r="AK105" s="99"/>
      <c r="AL105" s="99"/>
      <c r="AM105" s="99"/>
      <c r="AN105" s="99"/>
      <c r="AO105" s="99"/>
      <c r="AP105" s="99"/>
      <c r="AQ105" s="99"/>
      <c r="AR105" s="99"/>
      <c r="AS105" s="99"/>
      <c r="AT105" s="99"/>
      <c r="AU105" s="99"/>
      <c r="AV105" s="99"/>
      <c r="AW105" s="2">
        <f t="shared" si="32"/>
        <v>0</v>
      </c>
      <c r="AZ105" s="11">
        <f ca="1">IF(B105&lt;TODAY(), SUMIFS($AX$6:AX105, $BK$6:BK105, BK105), "")</f>
        <v>0</v>
      </c>
      <c r="BC105" s="15"/>
      <c r="BE105" s="14"/>
      <c r="BF105" t="str">
        <f t="shared" si="38"/>
        <v>25</v>
      </c>
      <c r="BG105" t="str">
        <f t="shared" si="39"/>
        <v>010</v>
      </c>
      <c r="BH105" s="98">
        <f t="shared" si="37"/>
        <v>15</v>
      </c>
      <c r="BI105" t="str">
        <f t="shared" si="40"/>
        <v>4</v>
      </c>
      <c r="BJ105" t="str">
        <f t="shared" si="34"/>
        <v>-2501015D</v>
      </c>
      <c r="BK105" t="str">
        <f t="shared" si="41"/>
        <v>2025-10</v>
      </c>
    </row>
    <row r="106" spans="2:63">
      <c r="B106" s="1">
        <v>45946</v>
      </c>
      <c r="P106" s="130">
        <f t="shared" si="35"/>
        <v>0</v>
      </c>
      <c r="Q106" s="17">
        <f t="shared" si="33"/>
        <v>0</v>
      </c>
      <c r="R106">
        <v>0</v>
      </c>
      <c r="AH106" s="99"/>
      <c r="AI106" s="99"/>
      <c r="AJ106" s="99"/>
      <c r="AK106" s="99"/>
      <c r="AL106" s="99"/>
      <c r="AM106" s="99"/>
      <c r="AN106" s="99"/>
      <c r="AO106" s="99"/>
      <c r="AP106" s="99"/>
      <c r="AQ106" s="99"/>
      <c r="AR106" s="99"/>
      <c r="AS106" s="99"/>
      <c r="AT106" s="99"/>
      <c r="AU106" s="99"/>
      <c r="AV106" s="99"/>
      <c r="AW106" s="2">
        <f t="shared" si="32"/>
        <v>0</v>
      </c>
      <c r="AZ106" s="11">
        <f ca="1">IF(B106&lt;TODAY(), SUMIFS($AX$6:AX106, $BK$6:BK106, BK106), "")</f>
        <v>0</v>
      </c>
      <c r="BC106" s="15"/>
      <c r="BE106" s="14"/>
      <c r="BF106" t="str">
        <f t="shared" si="38"/>
        <v>25</v>
      </c>
      <c r="BG106" t="str">
        <f t="shared" si="39"/>
        <v>010</v>
      </c>
      <c r="BH106" s="98">
        <f t="shared" si="37"/>
        <v>16</v>
      </c>
      <c r="BI106" t="str">
        <f t="shared" si="40"/>
        <v>4</v>
      </c>
      <c r="BJ106" t="str">
        <f t="shared" si="34"/>
        <v>-2501016D</v>
      </c>
      <c r="BK106" t="str">
        <f t="shared" si="41"/>
        <v>2025-10</v>
      </c>
    </row>
    <row r="107" spans="2:63">
      <c r="B107" s="1">
        <v>45947</v>
      </c>
      <c r="P107" s="130">
        <f t="shared" si="35"/>
        <v>0</v>
      </c>
      <c r="Q107" s="17">
        <f t="shared" si="33"/>
        <v>0</v>
      </c>
      <c r="R107">
        <v>0</v>
      </c>
      <c r="AH107" s="99"/>
      <c r="AI107" s="99"/>
      <c r="AJ107" s="99"/>
      <c r="AK107" s="99"/>
      <c r="AL107" s="99"/>
      <c r="AM107" s="99"/>
      <c r="AN107" s="99"/>
      <c r="AO107" s="99"/>
      <c r="AP107" s="99"/>
      <c r="AQ107" s="99"/>
      <c r="AR107" s="99"/>
      <c r="AS107" s="99"/>
      <c r="AT107" s="99"/>
      <c r="AU107" s="99"/>
      <c r="AV107" s="99"/>
      <c r="AW107" s="2">
        <f t="shared" si="32"/>
        <v>0</v>
      </c>
      <c r="AZ107" s="11">
        <f ca="1">IF(B107&lt;TODAY(), SUMIFS($AX$6:AX107, $BK$6:BK107, BK107), "")</f>
        <v>0</v>
      </c>
      <c r="BC107" s="15"/>
      <c r="BE107" s="14"/>
      <c r="BF107" t="str">
        <f t="shared" si="38"/>
        <v>25</v>
      </c>
      <c r="BG107" t="str">
        <f t="shared" si="39"/>
        <v>010</v>
      </c>
      <c r="BH107" s="98">
        <f t="shared" si="37"/>
        <v>17</v>
      </c>
      <c r="BI107" t="str">
        <f t="shared" si="40"/>
        <v>4</v>
      </c>
      <c r="BJ107" t="str">
        <f t="shared" si="34"/>
        <v>-2501017D</v>
      </c>
      <c r="BK107" t="str">
        <f t="shared" si="41"/>
        <v>2025-10</v>
      </c>
    </row>
    <row r="108" spans="2:63">
      <c r="B108" s="1">
        <v>45948</v>
      </c>
      <c r="P108" s="130">
        <f t="shared" si="35"/>
        <v>0</v>
      </c>
      <c r="Q108" s="17">
        <f t="shared" si="33"/>
        <v>0</v>
      </c>
      <c r="R108">
        <v>0</v>
      </c>
      <c r="AH108" s="99"/>
      <c r="AI108" s="99"/>
      <c r="AJ108" s="99"/>
      <c r="AK108" s="99"/>
      <c r="AL108" s="99"/>
      <c r="AM108" s="99"/>
      <c r="AN108" s="99"/>
      <c r="AO108" s="99"/>
      <c r="AP108" s="99"/>
      <c r="AQ108" s="99"/>
      <c r="AR108" s="99"/>
      <c r="AS108" s="99"/>
      <c r="AT108" s="99"/>
      <c r="AU108" s="99"/>
      <c r="AV108" s="99"/>
      <c r="AW108" s="2">
        <f t="shared" si="32"/>
        <v>0</v>
      </c>
      <c r="AZ108" s="11">
        <f ca="1">IF(B108&lt;TODAY(), SUMIFS($AX$6:AX108, $BK$6:BK108, BK108), "")</f>
        <v>0</v>
      </c>
      <c r="BC108" s="15"/>
      <c r="BE108" s="14"/>
      <c r="BF108" t="str">
        <f t="shared" si="38"/>
        <v>25</v>
      </c>
      <c r="BG108" t="str">
        <f t="shared" ref="BG108:BG138" si="42">_xlfn.TEXTJOIN(,TRUE,MONTH(B108))</f>
        <v>10</v>
      </c>
      <c r="BH108" s="98" t="str">
        <f t="shared" ref="BH108:BH116" si="43">_xlfn.TEXTJOIN(,TRUE,"0",DAY(B108))</f>
        <v>018</v>
      </c>
      <c r="BI108" t="str">
        <f t="shared" si="40"/>
        <v>4</v>
      </c>
      <c r="BJ108" t="str">
        <f t="shared" si="34"/>
        <v>-2510018D</v>
      </c>
      <c r="BK108" t="str">
        <f t="shared" si="41"/>
        <v>2025-10</v>
      </c>
    </row>
    <row r="109" spans="2:63">
      <c r="B109" s="1">
        <v>45949</v>
      </c>
      <c r="P109" s="130">
        <f t="shared" si="35"/>
        <v>0</v>
      </c>
      <c r="Q109" s="17">
        <f t="shared" si="33"/>
        <v>0</v>
      </c>
      <c r="R109">
        <v>0</v>
      </c>
      <c r="AH109" s="99"/>
      <c r="AI109" s="99"/>
      <c r="AJ109" s="99"/>
      <c r="AK109" s="99"/>
      <c r="AL109" s="99"/>
      <c r="AM109" s="99"/>
      <c r="AN109" s="99"/>
      <c r="AO109" s="99"/>
      <c r="AP109" s="99"/>
      <c r="AQ109" s="99"/>
      <c r="AR109" s="99"/>
      <c r="AS109" s="99"/>
      <c r="AT109" s="99"/>
      <c r="AU109" s="99"/>
      <c r="AV109" s="99"/>
      <c r="AW109" s="2">
        <f t="shared" si="32"/>
        <v>0</v>
      </c>
      <c r="AZ109" s="11">
        <f ca="1">IF(B109&lt;TODAY(), SUMIFS($AX$6:AX109, $BK$6:BK109, BK109), "")</f>
        <v>0</v>
      </c>
      <c r="BC109" s="15"/>
      <c r="BE109" s="14"/>
      <c r="BF109" t="str">
        <f t="shared" si="38"/>
        <v>25</v>
      </c>
      <c r="BG109" t="str">
        <f t="shared" si="42"/>
        <v>10</v>
      </c>
      <c r="BH109" s="98" t="str">
        <f t="shared" si="43"/>
        <v>019</v>
      </c>
      <c r="BI109" t="str">
        <f t="shared" si="40"/>
        <v>4</v>
      </c>
      <c r="BJ109" t="str">
        <f t="shared" si="34"/>
        <v>-2510019D</v>
      </c>
      <c r="BK109" t="str">
        <f t="shared" si="41"/>
        <v>2025-10</v>
      </c>
    </row>
    <row r="110" spans="2:63">
      <c r="B110" s="1">
        <v>45950</v>
      </c>
      <c r="P110" s="130">
        <f t="shared" si="35"/>
        <v>0</v>
      </c>
      <c r="Q110" s="17">
        <f t="shared" si="33"/>
        <v>0</v>
      </c>
      <c r="R110">
        <v>0</v>
      </c>
      <c r="AH110" s="99"/>
      <c r="AI110" s="99"/>
      <c r="AJ110" s="99"/>
      <c r="AK110" s="99"/>
      <c r="AL110" s="99"/>
      <c r="AM110" s="99"/>
      <c r="AN110" s="99"/>
      <c r="AO110" s="99"/>
      <c r="AP110" s="99"/>
      <c r="AQ110" s="99"/>
      <c r="AR110" s="99"/>
      <c r="AS110" s="99"/>
      <c r="AT110" s="99"/>
      <c r="AU110" s="99"/>
      <c r="AV110" s="99"/>
      <c r="AW110" s="2">
        <f t="shared" si="32"/>
        <v>0</v>
      </c>
      <c r="AZ110" s="11">
        <f ca="1">IF(B110&lt;TODAY(), SUMIFS($AX$6:AX110, $BK$6:BK110, BK110), "")</f>
        <v>0</v>
      </c>
      <c r="BC110" s="15"/>
      <c r="BE110" s="14"/>
      <c r="BF110" t="str">
        <f t="shared" si="38"/>
        <v>25</v>
      </c>
      <c r="BG110" t="str">
        <f t="shared" si="42"/>
        <v>10</v>
      </c>
      <c r="BH110" s="98" t="str">
        <f t="shared" si="43"/>
        <v>020</v>
      </c>
      <c r="BI110" t="str">
        <f t="shared" si="40"/>
        <v>4</v>
      </c>
      <c r="BJ110" t="str">
        <f t="shared" si="34"/>
        <v>-2510020D</v>
      </c>
      <c r="BK110" t="str">
        <f t="shared" si="41"/>
        <v>2025-10</v>
      </c>
    </row>
    <row r="111" spans="2:63">
      <c r="B111" s="1">
        <v>45951</v>
      </c>
      <c r="P111" s="130">
        <f t="shared" si="35"/>
        <v>0</v>
      </c>
      <c r="Q111" s="17">
        <f t="shared" si="33"/>
        <v>0</v>
      </c>
      <c r="R111">
        <v>0</v>
      </c>
      <c r="AH111" s="99"/>
      <c r="AI111" s="99"/>
      <c r="AJ111" s="99"/>
      <c r="AK111" s="99"/>
      <c r="AL111" s="99"/>
      <c r="AM111" s="99"/>
      <c r="AN111" s="99"/>
      <c r="AO111" s="99"/>
      <c r="AP111" s="99"/>
      <c r="AQ111" s="99"/>
      <c r="AR111" s="99"/>
      <c r="AS111" s="99"/>
      <c r="AT111" s="99"/>
      <c r="AU111" s="99"/>
      <c r="AV111" s="99"/>
      <c r="AW111" s="2">
        <f t="shared" si="32"/>
        <v>0</v>
      </c>
      <c r="AZ111" s="11">
        <f ca="1">IF(B111&lt;TODAY(), SUMIFS($AX$6:AX111, $BK$6:BK111, BK111), "")</f>
        <v>0</v>
      </c>
      <c r="BC111" s="15"/>
      <c r="BE111" s="14"/>
      <c r="BF111" t="str">
        <f t="shared" si="38"/>
        <v>25</v>
      </c>
      <c r="BG111" t="str">
        <f t="shared" si="42"/>
        <v>10</v>
      </c>
      <c r="BH111" s="98" t="str">
        <f t="shared" si="43"/>
        <v>021</v>
      </c>
      <c r="BI111" t="str">
        <f t="shared" si="40"/>
        <v>4</v>
      </c>
      <c r="BJ111" t="str">
        <f t="shared" si="34"/>
        <v>-2510021D</v>
      </c>
      <c r="BK111" t="str">
        <f t="shared" si="41"/>
        <v>2025-10</v>
      </c>
    </row>
    <row r="112" spans="2:63">
      <c r="B112" s="1">
        <v>45952</v>
      </c>
      <c r="P112" s="130">
        <f t="shared" si="35"/>
        <v>0</v>
      </c>
      <c r="Q112" s="17">
        <f t="shared" si="33"/>
        <v>0</v>
      </c>
      <c r="R112">
        <v>0</v>
      </c>
      <c r="AH112" s="99"/>
      <c r="AI112" s="99"/>
      <c r="AJ112" s="99"/>
      <c r="AK112" s="99"/>
      <c r="AL112" s="99"/>
      <c r="AM112" s="99"/>
      <c r="AN112" s="99"/>
      <c r="AO112" s="99"/>
      <c r="AP112" s="99"/>
      <c r="AQ112" s="99"/>
      <c r="AR112" s="99"/>
      <c r="AS112" s="99"/>
      <c r="AT112" s="99"/>
      <c r="AU112" s="99"/>
      <c r="AV112" s="99"/>
      <c r="AW112" s="2">
        <f t="shared" si="32"/>
        <v>0</v>
      </c>
      <c r="AZ112" s="11">
        <f ca="1">IF(B112&lt;TODAY(), SUMIFS($AX$6:AX112, $BK$6:BK112, BK112), "")</f>
        <v>0</v>
      </c>
      <c r="BC112" s="15"/>
      <c r="BE112" s="14"/>
      <c r="BF112" t="str">
        <f t="shared" si="38"/>
        <v>25</v>
      </c>
      <c r="BG112" t="str">
        <f t="shared" si="42"/>
        <v>10</v>
      </c>
      <c r="BH112" s="98" t="str">
        <f t="shared" si="43"/>
        <v>022</v>
      </c>
      <c r="BI112" t="str">
        <f t="shared" si="40"/>
        <v>4</v>
      </c>
      <c r="BJ112" t="str">
        <f t="shared" si="34"/>
        <v>-2510022D</v>
      </c>
      <c r="BK112" t="str">
        <f t="shared" si="41"/>
        <v>2025-10</v>
      </c>
    </row>
    <row r="113" spans="2:63">
      <c r="B113" s="1">
        <v>45953</v>
      </c>
      <c r="P113" s="130">
        <f t="shared" si="35"/>
        <v>0</v>
      </c>
      <c r="Q113" s="17">
        <f t="shared" si="33"/>
        <v>0</v>
      </c>
      <c r="R113">
        <v>0</v>
      </c>
      <c r="AH113" s="99"/>
      <c r="AI113" s="99"/>
      <c r="AJ113" s="99"/>
      <c r="AK113" s="99"/>
      <c r="AL113" s="99"/>
      <c r="AM113" s="99"/>
      <c r="AN113" s="99"/>
      <c r="AO113" s="99"/>
      <c r="AP113" s="99"/>
      <c r="AQ113" s="99"/>
      <c r="AR113" s="99"/>
      <c r="AS113" s="99"/>
      <c r="AT113" s="99"/>
      <c r="AU113" s="99"/>
      <c r="AV113" s="99"/>
      <c r="AW113" s="2">
        <f t="shared" si="32"/>
        <v>0</v>
      </c>
      <c r="AZ113" s="11">
        <f ca="1">IF(B113&lt;TODAY(), SUMIFS($AX$6:AX113, $BK$6:BK113, BK113), "")</f>
        <v>0</v>
      </c>
      <c r="BC113" s="15"/>
      <c r="BE113" s="14"/>
      <c r="BF113" t="str">
        <f t="shared" si="38"/>
        <v>25</v>
      </c>
      <c r="BG113" t="str">
        <f t="shared" si="42"/>
        <v>10</v>
      </c>
      <c r="BH113" s="98" t="str">
        <f t="shared" si="43"/>
        <v>023</v>
      </c>
      <c r="BI113" t="str">
        <f t="shared" si="40"/>
        <v>4</v>
      </c>
      <c r="BJ113" t="str">
        <f t="shared" si="34"/>
        <v>-2510023D</v>
      </c>
      <c r="BK113" t="str">
        <f t="shared" si="41"/>
        <v>2025-10</v>
      </c>
    </row>
    <row r="114" spans="2:63">
      <c r="B114" s="1">
        <v>45954</v>
      </c>
      <c r="P114" s="130">
        <f t="shared" si="35"/>
        <v>0</v>
      </c>
      <c r="Q114" s="17">
        <f t="shared" si="33"/>
        <v>0</v>
      </c>
      <c r="R114">
        <v>0</v>
      </c>
      <c r="AH114" s="99"/>
      <c r="AI114" s="99"/>
      <c r="AJ114" s="99"/>
      <c r="AK114" s="99"/>
      <c r="AL114" s="99"/>
      <c r="AM114" s="99"/>
      <c r="AN114" s="99"/>
      <c r="AO114" s="99"/>
      <c r="AP114" s="99"/>
      <c r="AQ114" s="99"/>
      <c r="AR114" s="99"/>
      <c r="AS114" s="99"/>
      <c r="AT114" s="99"/>
      <c r="AU114" s="99"/>
      <c r="AV114" s="99"/>
      <c r="AW114" s="2">
        <f t="shared" si="32"/>
        <v>0</v>
      </c>
      <c r="AZ114" s="11">
        <f ca="1">IF(B114&lt;TODAY(), SUMIFS($AX$6:AX114, $BK$6:BK114, BK114), "")</f>
        <v>0</v>
      </c>
      <c r="BC114" s="15"/>
      <c r="BE114" s="14"/>
      <c r="BF114" t="str">
        <f t="shared" si="38"/>
        <v>25</v>
      </c>
      <c r="BG114" t="str">
        <f t="shared" si="42"/>
        <v>10</v>
      </c>
      <c r="BH114" s="98" t="str">
        <f t="shared" si="43"/>
        <v>024</v>
      </c>
      <c r="BI114" t="str">
        <f t="shared" si="40"/>
        <v>4</v>
      </c>
      <c r="BJ114" t="str">
        <f t="shared" si="34"/>
        <v>-2510024D</v>
      </c>
      <c r="BK114" t="str">
        <f t="shared" si="41"/>
        <v>2025-10</v>
      </c>
    </row>
    <row r="115" spans="2:63">
      <c r="B115" s="1">
        <v>45955</v>
      </c>
      <c r="P115" s="130">
        <f t="shared" si="35"/>
        <v>0</v>
      </c>
      <c r="Q115" s="17">
        <f t="shared" si="33"/>
        <v>0</v>
      </c>
      <c r="R115">
        <v>0</v>
      </c>
      <c r="AH115" s="99"/>
      <c r="AI115" s="99"/>
      <c r="AJ115" s="99"/>
      <c r="AK115" s="99"/>
      <c r="AL115" s="99"/>
      <c r="AM115" s="99"/>
      <c r="AN115" s="99"/>
      <c r="AO115" s="99"/>
      <c r="AP115" s="99"/>
      <c r="AQ115" s="99"/>
      <c r="AR115" s="99"/>
      <c r="AS115" s="99"/>
      <c r="AT115" s="99"/>
      <c r="AU115" s="99"/>
      <c r="AV115" s="99"/>
      <c r="AW115" s="2">
        <f t="shared" si="32"/>
        <v>0</v>
      </c>
      <c r="AZ115" s="11">
        <f ca="1">IF(B115&lt;TODAY(), SUMIFS($AX$6:AX115, $BK$6:BK115, BK115), "")</f>
        <v>0</v>
      </c>
      <c r="BC115" s="15"/>
      <c r="BE115" s="14"/>
      <c r="BF115" t="str">
        <f t="shared" si="38"/>
        <v>25</v>
      </c>
      <c r="BG115" t="str">
        <f t="shared" si="42"/>
        <v>10</v>
      </c>
      <c r="BH115" s="98" t="str">
        <f t="shared" si="43"/>
        <v>025</v>
      </c>
      <c r="BI115" t="str">
        <f t="shared" si="40"/>
        <v>4</v>
      </c>
      <c r="BJ115" t="str">
        <f t="shared" si="34"/>
        <v>-2510025D</v>
      </c>
      <c r="BK115" t="str">
        <f t="shared" si="41"/>
        <v>2025-10</v>
      </c>
    </row>
    <row r="116" spans="2:63">
      <c r="B116" s="1">
        <v>45956</v>
      </c>
      <c r="P116" s="130">
        <f t="shared" si="35"/>
        <v>0</v>
      </c>
      <c r="Q116" s="17">
        <f t="shared" si="33"/>
        <v>0</v>
      </c>
      <c r="R116">
        <v>0</v>
      </c>
      <c r="AH116" s="99"/>
      <c r="AI116" s="99"/>
      <c r="AJ116" s="99"/>
      <c r="AK116" s="99"/>
      <c r="AL116" s="99"/>
      <c r="AM116" s="99"/>
      <c r="AN116" s="99"/>
      <c r="AO116" s="99"/>
      <c r="AP116" s="99"/>
      <c r="AQ116" s="99"/>
      <c r="AR116" s="99"/>
      <c r="AS116" s="99"/>
      <c r="AT116" s="99"/>
      <c r="AU116" s="99"/>
      <c r="AV116" s="99"/>
      <c r="AW116" s="2">
        <f t="shared" si="32"/>
        <v>0</v>
      </c>
      <c r="AZ116" s="11">
        <f ca="1">IF(B116&lt;TODAY(), SUMIFS($AX$6:AX116, $BK$6:BK116, BK116), "")</f>
        <v>0</v>
      </c>
      <c r="BC116" s="15"/>
      <c r="BE116" s="14"/>
      <c r="BF116" t="str">
        <f t="shared" si="38"/>
        <v>25</v>
      </c>
      <c r="BG116" t="str">
        <f t="shared" si="42"/>
        <v>10</v>
      </c>
      <c r="BH116" s="98" t="str">
        <f t="shared" si="43"/>
        <v>026</v>
      </c>
      <c r="BI116" t="str">
        <f t="shared" si="40"/>
        <v>4</v>
      </c>
      <c r="BJ116" t="str">
        <f t="shared" si="34"/>
        <v>-2510026D</v>
      </c>
      <c r="BK116" t="str">
        <f t="shared" si="41"/>
        <v>2025-10</v>
      </c>
    </row>
    <row r="117" spans="2:63">
      <c r="B117" s="1">
        <v>45957</v>
      </c>
      <c r="P117" s="130">
        <f t="shared" si="35"/>
        <v>0</v>
      </c>
      <c r="Q117" s="17">
        <f t="shared" si="33"/>
        <v>0</v>
      </c>
      <c r="R117">
        <v>0</v>
      </c>
      <c r="AH117" s="99"/>
      <c r="AI117" s="99"/>
      <c r="AJ117" s="99"/>
      <c r="AK117" s="99"/>
      <c r="AL117" s="99"/>
      <c r="AM117" s="99"/>
      <c r="AN117" s="99"/>
      <c r="AO117" s="99"/>
      <c r="AP117" s="99"/>
      <c r="AQ117" s="99"/>
      <c r="AR117" s="99"/>
      <c r="AS117" s="99"/>
      <c r="AT117" s="99"/>
      <c r="AU117" s="99"/>
      <c r="AV117" s="99"/>
      <c r="AW117" s="2">
        <f t="shared" si="32"/>
        <v>0</v>
      </c>
      <c r="AZ117" s="11">
        <f ca="1">IF(B117&lt;TODAY(), SUMIFS($AX$6:AX117, $BK$6:BK117, BK117), "")</f>
        <v>0</v>
      </c>
      <c r="BC117" s="15"/>
      <c r="BE117" s="14"/>
      <c r="BF117" t="str">
        <f t="shared" si="38"/>
        <v>25</v>
      </c>
      <c r="BG117" t="str">
        <f t="shared" si="42"/>
        <v>10</v>
      </c>
      <c r="BH117" s="98">
        <f t="shared" ref="BH117:BH138" si="44">DAY(B117)</f>
        <v>27</v>
      </c>
      <c r="BI117" t="str">
        <f t="shared" si="40"/>
        <v>4</v>
      </c>
      <c r="BJ117" t="str">
        <f t="shared" si="34"/>
        <v>-251027D</v>
      </c>
      <c r="BK117" t="str">
        <f t="shared" si="41"/>
        <v>2025-10</v>
      </c>
    </row>
    <row r="118" spans="2:63">
      <c r="B118" s="1">
        <v>45958</v>
      </c>
      <c r="P118" s="130">
        <f t="shared" si="35"/>
        <v>0</v>
      </c>
      <c r="Q118" s="17">
        <f t="shared" si="33"/>
        <v>0</v>
      </c>
      <c r="R118">
        <v>0</v>
      </c>
      <c r="AH118" s="99"/>
      <c r="AI118" s="99"/>
      <c r="AJ118" s="99"/>
      <c r="AK118" s="99"/>
      <c r="AL118" s="99"/>
      <c r="AM118" s="99"/>
      <c r="AN118" s="99"/>
      <c r="AO118" s="99"/>
      <c r="AP118" s="99"/>
      <c r="AQ118" s="99"/>
      <c r="AR118" s="99"/>
      <c r="AS118" s="99"/>
      <c r="AT118" s="99"/>
      <c r="AU118" s="99"/>
      <c r="AV118" s="99"/>
      <c r="AW118" s="2">
        <f t="shared" si="32"/>
        <v>0</v>
      </c>
      <c r="AZ118" s="11">
        <f ca="1">IF(B118&lt;TODAY(), SUMIFS($AX$6:AX118, $BK$6:BK118, BK118), "")</f>
        <v>0</v>
      </c>
      <c r="BC118" s="15"/>
      <c r="BE118" s="14"/>
      <c r="BF118" t="str">
        <f t="shared" si="38"/>
        <v>25</v>
      </c>
      <c r="BG118" t="str">
        <f t="shared" si="42"/>
        <v>10</v>
      </c>
      <c r="BH118" s="98">
        <f t="shared" si="44"/>
        <v>28</v>
      </c>
      <c r="BI118" t="str">
        <f t="shared" si="40"/>
        <v>4</v>
      </c>
      <c r="BJ118" t="str">
        <f t="shared" si="34"/>
        <v>-251028D</v>
      </c>
      <c r="BK118" t="str">
        <f t="shared" si="41"/>
        <v>2025-10</v>
      </c>
    </row>
    <row r="119" spans="2:63">
      <c r="B119" s="1">
        <v>45959</v>
      </c>
      <c r="P119" s="130">
        <f t="shared" si="35"/>
        <v>0</v>
      </c>
      <c r="Q119" s="17">
        <f t="shared" si="33"/>
        <v>0</v>
      </c>
      <c r="R119">
        <v>0</v>
      </c>
      <c r="AH119" s="99"/>
      <c r="AI119" s="99"/>
      <c r="AJ119" s="99"/>
      <c r="AK119" s="99"/>
      <c r="AL119" s="99"/>
      <c r="AM119" s="99"/>
      <c r="AN119" s="99"/>
      <c r="AO119" s="99"/>
      <c r="AP119" s="99"/>
      <c r="AQ119" s="99"/>
      <c r="AR119" s="99"/>
      <c r="AS119" s="99"/>
      <c r="AT119" s="99"/>
      <c r="AU119" s="99"/>
      <c r="AV119" s="99"/>
      <c r="AW119" s="2">
        <f t="shared" si="32"/>
        <v>0</v>
      </c>
      <c r="AZ119" s="11">
        <f ca="1">IF(B119&lt;TODAY(), SUMIFS($AX$6:AX119, $BK$6:BK119, BK119), "")</f>
        <v>0</v>
      </c>
      <c r="BC119" s="15"/>
      <c r="BE119" s="14"/>
      <c r="BF119" t="str">
        <f t="shared" si="38"/>
        <v>25</v>
      </c>
      <c r="BG119" t="str">
        <f t="shared" si="42"/>
        <v>10</v>
      </c>
      <c r="BH119" s="98">
        <f t="shared" si="44"/>
        <v>29</v>
      </c>
      <c r="BI119" t="str">
        <f t="shared" si="40"/>
        <v>4</v>
      </c>
      <c r="BJ119" t="str">
        <f t="shared" si="34"/>
        <v>-251029D</v>
      </c>
      <c r="BK119" t="str">
        <f t="shared" si="41"/>
        <v>2025-10</v>
      </c>
    </row>
    <row r="120" spans="2:63">
      <c r="B120" s="1">
        <v>45960</v>
      </c>
      <c r="P120" s="130">
        <f t="shared" si="35"/>
        <v>0</v>
      </c>
      <c r="Q120" s="17">
        <f t="shared" si="33"/>
        <v>0</v>
      </c>
      <c r="R120">
        <v>0</v>
      </c>
      <c r="AH120" s="99"/>
      <c r="AI120" s="99"/>
      <c r="AJ120" s="99"/>
      <c r="AK120" s="99"/>
      <c r="AL120" s="99"/>
      <c r="AM120" s="99"/>
      <c r="AN120" s="99"/>
      <c r="AO120" s="99"/>
      <c r="AP120" s="99"/>
      <c r="AQ120" s="99"/>
      <c r="AR120" s="99"/>
      <c r="AS120" s="99"/>
      <c r="AT120" s="99"/>
      <c r="AU120" s="99"/>
      <c r="AV120" s="99"/>
      <c r="AW120" s="2">
        <f t="shared" si="32"/>
        <v>0</v>
      </c>
      <c r="AZ120" s="11">
        <f ca="1">IF(B120&lt;TODAY(), SUMIFS($AX$6:AX120, $BK$6:BK120, BK120), "")</f>
        <v>0</v>
      </c>
      <c r="BC120" s="15"/>
      <c r="BE120" s="14"/>
      <c r="BF120" t="str">
        <f t="shared" si="38"/>
        <v>25</v>
      </c>
      <c r="BG120" t="str">
        <f t="shared" si="42"/>
        <v>10</v>
      </c>
      <c r="BH120" s="98">
        <f t="shared" si="44"/>
        <v>30</v>
      </c>
      <c r="BI120" t="str">
        <f t="shared" si="40"/>
        <v>4</v>
      </c>
      <c r="BJ120" t="str">
        <f t="shared" si="34"/>
        <v>-251030D</v>
      </c>
      <c r="BK120" t="str">
        <f t="shared" si="41"/>
        <v>2025-10</v>
      </c>
    </row>
    <row r="121" spans="2:63">
      <c r="B121" s="1">
        <v>45961</v>
      </c>
      <c r="P121" s="130">
        <f t="shared" si="35"/>
        <v>0</v>
      </c>
      <c r="Q121" s="17">
        <f t="shared" si="33"/>
        <v>0</v>
      </c>
      <c r="R121">
        <v>0</v>
      </c>
      <c r="AH121" s="99"/>
      <c r="AI121" s="99"/>
      <c r="AJ121" s="99"/>
      <c r="AK121" s="99"/>
      <c r="AL121" s="99"/>
      <c r="AM121" s="99"/>
      <c r="AN121" s="99"/>
      <c r="AO121" s="99"/>
      <c r="AP121" s="99"/>
      <c r="AQ121" s="99"/>
      <c r="AR121" s="99"/>
      <c r="AS121" s="99"/>
      <c r="AT121" s="99"/>
      <c r="AU121" s="99"/>
      <c r="AV121" s="99"/>
      <c r="AW121" s="2">
        <f t="shared" si="32"/>
        <v>0</v>
      </c>
      <c r="AZ121" s="11">
        <f ca="1">IF(B121&lt;TODAY(), SUMIFS($AX$6:AX121, $BK$6:BK121, BK121), "")</f>
        <v>0</v>
      </c>
      <c r="BC121" s="15"/>
      <c r="BE121" s="14"/>
      <c r="BF121" t="str">
        <f t="shared" si="38"/>
        <v>25</v>
      </c>
      <c r="BG121" t="str">
        <f t="shared" si="42"/>
        <v>10</v>
      </c>
      <c r="BH121" s="98">
        <f t="shared" si="44"/>
        <v>31</v>
      </c>
      <c r="BI121" t="str">
        <f t="shared" si="40"/>
        <v>4</v>
      </c>
      <c r="BJ121" t="str">
        <f t="shared" si="34"/>
        <v>-251031D</v>
      </c>
      <c r="BK121" t="str">
        <f t="shared" si="41"/>
        <v>2025-10</v>
      </c>
    </row>
    <row r="122" spans="2:63">
      <c r="B122" s="1">
        <v>45962</v>
      </c>
      <c r="P122" s="130">
        <f t="shared" si="35"/>
        <v>0</v>
      </c>
      <c r="Q122" s="17">
        <f t="shared" si="33"/>
        <v>0</v>
      </c>
      <c r="R122">
        <v>0</v>
      </c>
      <c r="AH122" s="99"/>
      <c r="AI122" s="99"/>
      <c r="AJ122" s="99"/>
      <c r="AK122" s="99"/>
      <c r="AL122" s="99"/>
      <c r="AM122" s="99"/>
      <c r="AN122" s="99"/>
      <c r="AO122" s="99"/>
      <c r="AP122" s="99"/>
      <c r="AQ122" s="99"/>
      <c r="AR122" s="99"/>
      <c r="AS122" s="99"/>
      <c r="AT122" s="99"/>
      <c r="AU122" s="99"/>
      <c r="AV122" s="99"/>
      <c r="AW122" s="2">
        <f t="shared" si="32"/>
        <v>0</v>
      </c>
      <c r="AZ122" s="11">
        <f ca="1">IF(B122&lt;TODAY(), SUMIFS($AX$6:AX122, $BK$6:BK122, BK122), "")</f>
        <v>0</v>
      </c>
      <c r="BC122" s="15"/>
      <c r="BE122" s="14"/>
      <c r="BF122" t="str">
        <f t="shared" si="38"/>
        <v>25</v>
      </c>
      <c r="BG122" t="str">
        <f t="shared" si="42"/>
        <v>11</v>
      </c>
      <c r="BH122" s="98">
        <f t="shared" si="44"/>
        <v>1</v>
      </c>
      <c r="BI122" t="str">
        <f t="shared" si="40"/>
        <v>4</v>
      </c>
      <c r="BJ122" t="str">
        <f t="shared" si="34"/>
        <v>-25111D</v>
      </c>
      <c r="BK122" t="str">
        <f t="shared" si="41"/>
        <v>2025-11</v>
      </c>
    </row>
    <row r="123" spans="2:63">
      <c r="B123" s="1">
        <v>45963</v>
      </c>
      <c r="P123" s="130">
        <f t="shared" si="35"/>
        <v>0</v>
      </c>
      <c r="Q123" s="17">
        <f t="shared" si="33"/>
        <v>0</v>
      </c>
      <c r="R123">
        <v>0</v>
      </c>
      <c r="AH123" s="99"/>
      <c r="AI123" s="99"/>
      <c r="AJ123" s="99"/>
      <c r="AK123" s="99"/>
      <c r="AL123" s="99"/>
      <c r="AM123" s="99"/>
      <c r="AN123" s="99"/>
      <c r="AO123" s="99"/>
      <c r="AP123" s="99"/>
      <c r="AQ123" s="99"/>
      <c r="AR123" s="99"/>
      <c r="AS123" s="99"/>
      <c r="AT123" s="99"/>
      <c r="AU123" s="99"/>
      <c r="AV123" s="99"/>
      <c r="AW123" s="2">
        <f t="shared" si="32"/>
        <v>0</v>
      </c>
      <c r="AZ123" s="11">
        <f ca="1">IF(B123&lt;TODAY(), SUMIFS($AX$6:AX123, $BK$6:BK123, BK123), "")</f>
        <v>0</v>
      </c>
      <c r="BC123" s="15"/>
      <c r="BE123" s="14"/>
      <c r="BF123" t="str">
        <f t="shared" si="38"/>
        <v>25</v>
      </c>
      <c r="BG123" t="str">
        <f t="shared" si="42"/>
        <v>11</v>
      </c>
      <c r="BH123" s="98">
        <f t="shared" si="44"/>
        <v>2</v>
      </c>
      <c r="BI123" t="str">
        <f t="shared" si="40"/>
        <v>4</v>
      </c>
      <c r="BJ123" t="str">
        <f t="shared" si="34"/>
        <v>-25112D</v>
      </c>
      <c r="BK123" t="str">
        <f t="shared" si="41"/>
        <v>2025-11</v>
      </c>
    </row>
    <row r="124" spans="2:63">
      <c r="B124" s="1">
        <v>45964</v>
      </c>
      <c r="P124" s="130">
        <f t="shared" si="35"/>
        <v>0</v>
      </c>
      <c r="Q124" s="17">
        <f t="shared" si="33"/>
        <v>0</v>
      </c>
      <c r="R124">
        <v>0</v>
      </c>
      <c r="AH124" s="99"/>
      <c r="AI124" s="99"/>
      <c r="AJ124" s="99"/>
      <c r="AK124" s="99"/>
      <c r="AL124" s="99"/>
      <c r="AM124" s="99"/>
      <c r="AN124" s="99"/>
      <c r="AO124" s="99"/>
      <c r="AP124" s="99"/>
      <c r="AQ124" s="99"/>
      <c r="AR124" s="99"/>
      <c r="AS124" s="99"/>
      <c r="AT124" s="99"/>
      <c r="AU124" s="99"/>
      <c r="AV124" s="99"/>
      <c r="AW124" s="2">
        <f t="shared" si="32"/>
        <v>0</v>
      </c>
      <c r="AZ124" s="11">
        <f ca="1">IF(B124&lt;TODAY(), SUMIFS($AX$6:AX124, $BK$6:BK124, BK124), "")</f>
        <v>0</v>
      </c>
      <c r="BC124" s="15"/>
      <c r="BE124" s="14"/>
      <c r="BF124" t="str">
        <f t="shared" si="38"/>
        <v>25</v>
      </c>
      <c r="BG124" t="str">
        <f t="shared" si="42"/>
        <v>11</v>
      </c>
      <c r="BH124" s="98">
        <f t="shared" si="44"/>
        <v>3</v>
      </c>
      <c r="BI124" t="str">
        <f t="shared" si="40"/>
        <v>4</v>
      </c>
      <c r="BJ124" t="str">
        <f t="shared" si="34"/>
        <v>-25113D</v>
      </c>
      <c r="BK124" t="str">
        <f t="shared" si="41"/>
        <v>2025-11</v>
      </c>
    </row>
    <row r="125" spans="2:63">
      <c r="B125" s="1">
        <v>45965</v>
      </c>
      <c r="P125" s="130">
        <f t="shared" si="35"/>
        <v>0</v>
      </c>
      <c r="Q125" s="17">
        <f t="shared" si="33"/>
        <v>0</v>
      </c>
      <c r="R125">
        <v>0</v>
      </c>
      <c r="AH125" s="99"/>
      <c r="AI125" s="99"/>
      <c r="AJ125" s="99"/>
      <c r="AK125" s="99"/>
      <c r="AL125" s="99"/>
      <c r="AM125" s="99"/>
      <c r="AN125" s="99"/>
      <c r="AO125" s="99"/>
      <c r="AP125" s="99"/>
      <c r="AQ125" s="99"/>
      <c r="AR125" s="99"/>
      <c r="AS125" s="99"/>
      <c r="AT125" s="99"/>
      <c r="AU125" s="99"/>
      <c r="AV125" s="99"/>
      <c r="AW125" s="2">
        <f t="shared" si="32"/>
        <v>0</v>
      </c>
      <c r="AZ125" s="11">
        <f ca="1">IF(B125&lt;TODAY(), SUMIFS($AX$6:AX125, $BK$6:BK125, BK125), "")</f>
        <v>0</v>
      </c>
      <c r="BC125" s="15"/>
      <c r="BE125" s="14"/>
      <c r="BF125" t="str">
        <f t="shared" si="38"/>
        <v>25</v>
      </c>
      <c r="BG125" t="str">
        <f t="shared" si="42"/>
        <v>11</v>
      </c>
      <c r="BH125" s="98">
        <f t="shared" si="44"/>
        <v>4</v>
      </c>
      <c r="BI125" t="str">
        <f t="shared" si="40"/>
        <v>4</v>
      </c>
      <c r="BJ125" t="str">
        <f t="shared" si="34"/>
        <v>-25114D</v>
      </c>
      <c r="BK125" t="str">
        <f t="shared" si="41"/>
        <v>2025-11</v>
      </c>
    </row>
    <row r="126" spans="2:63">
      <c r="B126" s="1">
        <v>45966</v>
      </c>
      <c r="P126" s="130">
        <f t="shared" si="35"/>
        <v>0</v>
      </c>
      <c r="Q126" s="17">
        <f t="shared" si="33"/>
        <v>0</v>
      </c>
      <c r="R126">
        <v>0</v>
      </c>
      <c r="AH126" s="99"/>
      <c r="AI126" s="99"/>
      <c r="AJ126" s="99"/>
      <c r="AK126" s="99"/>
      <c r="AL126" s="99"/>
      <c r="AM126" s="99"/>
      <c r="AN126" s="99"/>
      <c r="AO126" s="99"/>
      <c r="AP126" s="99"/>
      <c r="AQ126" s="99"/>
      <c r="AR126" s="99"/>
      <c r="AS126" s="99"/>
      <c r="AT126" s="99"/>
      <c r="AU126" s="99"/>
      <c r="AV126" s="99"/>
      <c r="AW126" s="2">
        <f t="shared" si="32"/>
        <v>0</v>
      </c>
      <c r="AZ126" s="11">
        <f ca="1">IF(B126&lt;TODAY(), SUMIFS($AX$6:AX126, $BK$6:BK126, BK126), "")</f>
        <v>0</v>
      </c>
      <c r="BC126" s="15"/>
      <c r="BE126" s="14"/>
      <c r="BF126" t="str">
        <f t="shared" si="38"/>
        <v>25</v>
      </c>
      <c r="BG126" t="str">
        <f t="shared" si="42"/>
        <v>11</v>
      </c>
      <c r="BH126" s="98">
        <f t="shared" si="44"/>
        <v>5</v>
      </c>
      <c r="BI126" t="str">
        <f t="shared" si="40"/>
        <v>4</v>
      </c>
      <c r="BJ126" t="str">
        <f t="shared" si="34"/>
        <v>-25115D</v>
      </c>
      <c r="BK126" t="str">
        <f t="shared" si="41"/>
        <v>2025-11</v>
      </c>
    </row>
    <row r="127" spans="2:63">
      <c r="B127" s="1">
        <v>45967</v>
      </c>
      <c r="P127" s="130">
        <f t="shared" si="35"/>
        <v>0</v>
      </c>
      <c r="Q127" s="17">
        <f t="shared" si="33"/>
        <v>0</v>
      </c>
      <c r="R127">
        <v>0</v>
      </c>
      <c r="AH127" s="99"/>
      <c r="AI127" s="99"/>
      <c r="AJ127" s="99"/>
      <c r="AK127" s="99"/>
      <c r="AL127" s="99"/>
      <c r="AM127" s="99"/>
      <c r="AN127" s="99"/>
      <c r="AO127" s="99"/>
      <c r="AP127" s="99"/>
      <c r="AQ127" s="99"/>
      <c r="AR127" s="99"/>
      <c r="AS127" s="99"/>
      <c r="AT127" s="99"/>
      <c r="AU127" s="99"/>
      <c r="AV127" s="99"/>
      <c r="AW127" s="2">
        <f t="shared" si="32"/>
        <v>0</v>
      </c>
      <c r="AZ127" s="11">
        <f ca="1">IF(B127&lt;TODAY(), SUMIFS($AX$6:AX127, $BK$6:BK127, BK127), "")</f>
        <v>0</v>
      </c>
      <c r="BC127" s="15"/>
      <c r="BE127" s="14"/>
      <c r="BF127" t="str">
        <f t="shared" si="38"/>
        <v>25</v>
      </c>
      <c r="BG127" t="str">
        <f t="shared" si="42"/>
        <v>11</v>
      </c>
      <c r="BH127" s="98">
        <f t="shared" si="44"/>
        <v>6</v>
      </c>
      <c r="BI127" t="str">
        <f t="shared" si="40"/>
        <v>4</v>
      </c>
      <c r="BJ127" t="str">
        <f t="shared" si="34"/>
        <v>-25116D</v>
      </c>
      <c r="BK127" t="str">
        <f t="shared" si="41"/>
        <v>2025-11</v>
      </c>
    </row>
    <row r="128" spans="2:63">
      <c r="B128" s="1">
        <v>45968</v>
      </c>
      <c r="P128" s="130">
        <f t="shared" si="35"/>
        <v>0</v>
      </c>
      <c r="Q128" s="17">
        <f t="shared" si="33"/>
        <v>0</v>
      </c>
      <c r="R128">
        <v>0</v>
      </c>
      <c r="AH128" s="99"/>
      <c r="AI128" s="99"/>
      <c r="AJ128" s="99"/>
      <c r="AK128" s="99"/>
      <c r="AL128" s="99"/>
      <c r="AM128" s="99"/>
      <c r="AN128" s="99"/>
      <c r="AO128" s="99"/>
      <c r="AP128" s="99"/>
      <c r="AQ128" s="99"/>
      <c r="AR128" s="99"/>
      <c r="AS128" s="99"/>
      <c r="AT128" s="99"/>
      <c r="AU128" s="99"/>
      <c r="AV128" s="99"/>
      <c r="AW128" s="2">
        <f t="shared" si="32"/>
        <v>0</v>
      </c>
      <c r="AZ128" s="11">
        <f ca="1">IF(B128&lt;TODAY(), SUMIFS($AX$6:AX128, $BK$6:BK128, BK128), "")</f>
        <v>0</v>
      </c>
      <c r="BC128" s="15"/>
      <c r="BE128" s="14"/>
      <c r="BF128" t="str">
        <f t="shared" si="38"/>
        <v>25</v>
      </c>
      <c r="BG128" t="str">
        <f t="shared" si="42"/>
        <v>11</v>
      </c>
      <c r="BH128" s="98">
        <f t="shared" si="44"/>
        <v>7</v>
      </c>
      <c r="BI128" t="str">
        <f t="shared" si="40"/>
        <v>4</v>
      </c>
      <c r="BJ128" t="str">
        <f t="shared" si="34"/>
        <v>-25117D</v>
      </c>
      <c r="BK128" t="str">
        <f t="shared" si="41"/>
        <v>2025-11</v>
      </c>
    </row>
    <row r="129" spans="2:63">
      <c r="B129" s="1">
        <v>45969</v>
      </c>
      <c r="P129" s="130">
        <f t="shared" si="35"/>
        <v>0</v>
      </c>
      <c r="Q129" s="17">
        <f t="shared" si="33"/>
        <v>0</v>
      </c>
      <c r="R129">
        <v>0</v>
      </c>
      <c r="AH129" s="99"/>
      <c r="AI129" s="99"/>
      <c r="AJ129" s="99"/>
      <c r="AK129" s="99"/>
      <c r="AL129" s="99"/>
      <c r="AM129" s="99"/>
      <c r="AN129" s="99"/>
      <c r="AO129" s="99"/>
      <c r="AP129" s="99"/>
      <c r="AQ129" s="99"/>
      <c r="AR129" s="99"/>
      <c r="AS129" s="99"/>
      <c r="AT129" s="99"/>
      <c r="AU129" s="99"/>
      <c r="AV129" s="99"/>
      <c r="AW129" s="2">
        <f t="shared" si="32"/>
        <v>0</v>
      </c>
      <c r="AZ129" s="11">
        <f ca="1">IF(B129&lt;TODAY(), SUMIFS($AX$6:AX129, $BK$6:BK129, BK129), "")</f>
        <v>0</v>
      </c>
      <c r="BC129" s="15"/>
      <c r="BE129" s="14"/>
      <c r="BF129" t="str">
        <f t="shared" si="38"/>
        <v>25</v>
      </c>
      <c r="BG129" t="str">
        <f t="shared" si="42"/>
        <v>11</v>
      </c>
      <c r="BH129" s="98">
        <f t="shared" si="44"/>
        <v>8</v>
      </c>
      <c r="BI129" t="str">
        <f t="shared" si="40"/>
        <v>4</v>
      </c>
      <c r="BJ129" t="str">
        <f t="shared" si="34"/>
        <v>-25118D</v>
      </c>
      <c r="BK129" t="str">
        <f t="shared" si="41"/>
        <v>2025-11</v>
      </c>
    </row>
    <row r="130" spans="2:63">
      <c r="B130" s="1">
        <v>45970</v>
      </c>
      <c r="P130" s="130">
        <f t="shared" si="35"/>
        <v>0</v>
      </c>
      <c r="Q130" s="17">
        <f t="shared" si="33"/>
        <v>0</v>
      </c>
      <c r="R130">
        <v>0</v>
      </c>
      <c r="AH130" s="99"/>
      <c r="AI130" s="99"/>
      <c r="AJ130" s="99"/>
      <c r="AK130" s="99"/>
      <c r="AL130" s="99"/>
      <c r="AM130" s="99"/>
      <c r="AN130" s="99"/>
      <c r="AO130" s="99"/>
      <c r="AP130" s="99"/>
      <c r="AQ130" s="99"/>
      <c r="AR130" s="99"/>
      <c r="AS130" s="99"/>
      <c r="AT130" s="99"/>
      <c r="AU130" s="99"/>
      <c r="AV130" s="99"/>
      <c r="AW130" s="2">
        <f t="shared" si="32"/>
        <v>0</v>
      </c>
      <c r="AZ130" s="11">
        <f ca="1">IF(B130&lt;TODAY(), SUMIFS($AX$6:AX130, $BK$6:BK130, BK130), "")</f>
        <v>0</v>
      </c>
      <c r="BC130" s="15"/>
      <c r="BE130" s="14"/>
      <c r="BF130" t="str">
        <f t="shared" ref="BF130:BF138" si="45">RIGHT(YEAR(B130),2)</f>
        <v>25</v>
      </c>
      <c r="BG130" t="str">
        <f t="shared" si="42"/>
        <v>11</v>
      </c>
      <c r="BH130" s="98">
        <f t="shared" si="44"/>
        <v>9</v>
      </c>
      <c r="BI130" t="str">
        <f t="shared" ref="BI130:BI138" si="46">LEFT(B130,1)</f>
        <v>4</v>
      </c>
      <c r="BJ130" t="str">
        <f t="shared" si="34"/>
        <v>-25119D</v>
      </c>
      <c r="BK130" t="str">
        <f t="shared" ref="BK130:BK138" si="47">TEXT(B130, "yyyy-mm")</f>
        <v>2025-11</v>
      </c>
    </row>
    <row r="131" spans="2:63">
      <c r="B131" s="1">
        <v>45971</v>
      </c>
      <c r="P131" s="130">
        <f t="shared" si="35"/>
        <v>0</v>
      </c>
      <c r="Q131" s="17">
        <f t="shared" si="33"/>
        <v>0</v>
      </c>
      <c r="R131">
        <v>0</v>
      </c>
      <c r="AH131" s="99"/>
      <c r="AI131" s="99"/>
      <c r="AJ131" s="99"/>
      <c r="AK131" s="99"/>
      <c r="AL131" s="99"/>
      <c r="AM131" s="99"/>
      <c r="AN131" s="99"/>
      <c r="AO131" s="99"/>
      <c r="AP131" s="99"/>
      <c r="AQ131" s="99"/>
      <c r="AR131" s="99"/>
      <c r="AS131" s="99"/>
      <c r="AT131" s="99"/>
      <c r="AU131" s="99"/>
      <c r="AV131" s="99"/>
      <c r="AW131" s="2">
        <f t="shared" si="32"/>
        <v>0</v>
      </c>
      <c r="AZ131" s="11">
        <f ca="1">IF(B131&lt;TODAY(), SUMIFS($AX$6:AX131, $BK$6:BK131, BK131), "")</f>
        <v>0</v>
      </c>
      <c r="BC131" s="15"/>
      <c r="BE131" s="14"/>
      <c r="BF131" t="str">
        <f t="shared" si="45"/>
        <v>25</v>
      </c>
      <c r="BG131" t="str">
        <f t="shared" si="42"/>
        <v>11</v>
      </c>
      <c r="BH131" s="98">
        <f t="shared" si="44"/>
        <v>10</v>
      </c>
      <c r="BI131" t="str">
        <f t="shared" si="46"/>
        <v>4</v>
      </c>
      <c r="BJ131" t="str">
        <f t="shared" si="34"/>
        <v>-251110D</v>
      </c>
      <c r="BK131" t="str">
        <f t="shared" si="47"/>
        <v>2025-11</v>
      </c>
    </row>
    <row r="132" spans="2:63">
      <c r="B132" s="1">
        <v>45972</v>
      </c>
      <c r="P132" s="130">
        <f t="shared" si="35"/>
        <v>0</v>
      </c>
      <c r="Q132" s="17">
        <f t="shared" si="33"/>
        <v>0</v>
      </c>
      <c r="R132">
        <v>0</v>
      </c>
      <c r="AH132" s="99"/>
      <c r="AI132" s="99"/>
      <c r="AJ132" s="99"/>
      <c r="AK132" s="99"/>
      <c r="AL132" s="99"/>
      <c r="AM132" s="99"/>
      <c r="AN132" s="99"/>
      <c r="AO132" s="99"/>
      <c r="AP132" s="99"/>
      <c r="AQ132" s="99"/>
      <c r="AR132" s="99"/>
      <c r="AS132" s="99"/>
      <c r="AT132" s="99"/>
      <c r="AU132" s="99"/>
      <c r="AV132" s="99"/>
      <c r="AW132" s="2">
        <f t="shared" si="32"/>
        <v>0</v>
      </c>
      <c r="AZ132" s="11">
        <f ca="1">IF(B132&lt;TODAY(), SUMIFS($AX$6:AX132, $BK$6:BK132, BK132), "")</f>
        <v>0</v>
      </c>
      <c r="BC132" s="15"/>
      <c r="BE132" s="14"/>
      <c r="BF132" t="str">
        <f t="shared" si="45"/>
        <v>25</v>
      </c>
      <c r="BG132" t="str">
        <f t="shared" si="42"/>
        <v>11</v>
      </c>
      <c r="BH132" s="98">
        <f t="shared" si="44"/>
        <v>11</v>
      </c>
      <c r="BI132" t="str">
        <f t="shared" si="46"/>
        <v>4</v>
      </c>
      <c r="BJ132" t="str">
        <f t="shared" si="34"/>
        <v>-251111D</v>
      </c>
      <c r="BK132" t="str">
        <f t="shared" si="47"/>
        <v>2025-11</v>
      </c>
    </row>
    <row r="133" spans="2:63">
      <c r="B133" s="1">
        <v>45973</v>
      </c>
      <c r="P133" s="130">
        <f t="shared" si="35"/>
        <v>0</v>
      </c>
      <c r="Q133" s="17">
        <f t="shared" si="33"/>
        <v>0</v>
      </c>
      <c r="R133">
        <v>0</v>
      </c>
      <c r="AH133" s="99"/>
      <c r="AI133" s="99"/>
      <c r="AJ133" s="99"/>
      <c r="AK133" s="99"/>
      <c r="AL133" s="99"/>
      <c r="AM133" s="99"/>
      <c r="AN133" s="99"/>
      <c r="AO133" s="99"/>
      <c r="AP133" s="99"/>
      <c r="AQ133" s="99"/>
      <c r="AR133" s="99"/>
      <c r="AS133" s="99"/>
      <c r="AT133" s="99"/>
      <c r="AU133" s="99"/>
      <c r="AV133" s="99"/>
      <c r="AW133" s="2">
        <f t="shared" si="32"/>
        <v>0</v>
      </c>
      <c r="AZ133" s="11">
        <f ca="1">IF(B133&lt;TODAY(), SUMIFS($AX$6:AX133, $BK$6:BK133, BK133), "")</f>
        <v>0</v>
      </c>
      <c r="BC133" s="15"/>
      <c r="BE133" s="14"/>
      <c r="BF133" t="str">
        <f t="shared" si="45"/>
        <v>25</v>
      </c>
      <c r="BG133" t="str">
        <f t="shared" si="42"/>
        <v>11</v>
      </c>
      <c r="BH133" s="98">
        <f t="shared" si="44"/>
        <v>12</v>
      </c>
      <c r="BI133" t="str">
        <f t="shared" si="46"/>
        <v>4</v>
      </c>
      <c r="BJ133" t="str">
        <f t="shared" si="34"/>
        <v>-251112D</v>
      </c>
      <c r="BK133" t="str">
        <f t="shared" si="47"/>
        <v>2025-11</v>
      </c>
    </row>
    <row r="134" spans="2:63">
      <c r="B134" s="1">
        <v>45974</v>
      </c>
      <c r="P134" s="130">
        <f t="shared" si="35"/>
        <v>0</v>
      </c>
      <c r="Q134" s="17">
        <f t="shared" si="33"/>
        <v>0</v>
      </c>
      <c r="R134">
        <v>0</v>
      </c>
      <c r="AH134" s="99"/>
      <c r="AI134" s="99"/>
      <c r="AJ134" s="99"/>
      <c r="AK134" s="99"/>
      <c r="AL134" s="99"/>
      <c r="AM134" s="99"/>
      <c r="AN134" s="99"/>
      <c r="AO134" s="99"/>
      <c r="AP134" s="99"/>
      <c r="AQ134" s="99"/>
      <c r="AR134" s="99"/>
      <c r="AS134" s="99"/>
      <c r="AT134" s="99"/>
      <c r="AU134" s="99"/>
      <c r="AV134" s="99"/>
      <c r="AW134" s="2">
        <f t="shared" si="32"/>
        <v>0</v>
      </c>
      <c r="AZ134" s="11">
        <f ca="1">IF(B134&lt;TODAY(), SUMIFS($AX$6:AX134, $BK$6:BK134, BK134), "")</f>
        <v>0</v>
      </c>
      <c r="BC134" s="15"/>
      <c r="BE134" s="14"/>
      <c r="BF134" t="str">
        <f t="shared" si="45"/>
        <v>25</v>
      </c>
      <c r="BG134" t="str">
        <f t="shared" si="42"/>
        <v>11</v>
      </c>
      <c r="BH134" s="98">
        <f t="shared" si="44"/>
        <v>13</v>
      </c>
      <c r="BI134" t="str">
        <f t="shared" si="46"/>
        <v>4</v>
      </c>
      <c r="BJ134" t="str">
        <f t="shared" si="34"/>
        <v>-251113D</v>
      </c>
      <c r="BK134" t="str">
        <f t="shared" si="47"/>
        <v>2025-11</v>
      </c>
    </row>
    <row r="135" spans="2:63">
      <c r="B135" s="1">
        <v>45975</v>
      </c>
      <c r="P135" s="130">
        <f t="shared" si="35"/>
        <v>0</v>
      </c>
      <c r="Q135" s="17">
        <f t="shared" si="33"/>
        <v>0</v>
      </c>
      <c r="R135">
        <v>0</v>
      </c>
      <c r="AH135" s="99"/>
      <c r="AI135" s="99"/>
      <c r="AJ135" s="99"/>
      <c r="AK135" s="99"/>
      <c r="AL135" s="99"/>
      <c r="AM135" s="99"/>
      <c r="AN135" s="99"/>
      <c r="AO135" s="99"/>
      <c r="AP135" s="99"/>
      <c r="AQ135" s="99"/>
      <c r="AR135" s="99"/>
      <c r="AS135" s="99"/>
      <c r="AT135" s="99"/>
      <c r="AU135" s="99"/>
      <c r="AV135" s="99"/>
      <c r="AW135" s="2">
        <f t="shared" si="32"/>
        <v>0</v>
      </c>
      <c r="AZ135" s="11">
        <f ca="1">IF(B135&lt;TODAY(), SUMIFS($AX$6:AX135, $BK$6:BK135, BK135), "")</f>
        <v>0</v>
      </c>
      <c r="BC135" s="15"/>
      <c r="BE135" s="14"/>
      <c r="BF135" t="str">
        <f t="shared" si="45"/>
        <v>25</v>
      </c>
      <c r="BG135" t="str">
        <f t="shared" si="42"/>
        <v>11</v>
      </c>
      <c r="BH135" s="98">
        <f t="shared" si="44"/>
        <v>14</v>
      </c>
      <c r="BI135" t="str">
        <f t="shared" si="46"/>
        <v>4</v>
      </c>
      <c r="BJ135" t="str">
        <f t="shared" si="34"/>
        <v>-251114D</v>
      </c>
      <c r="BK135" t="str">
        <f t="shared" si="47"/>
        <v>2025-11</v>
      </c>
    </row>
    <row r="136" spans="2:63">
      <c r="B136" s="1">
        <v>45976</v>
      </c>
      <c r="P136" s="130">
        <f t="shared" si="35"/>
        <v>0</v>
      </c>
      <c r="Q136" s="17">
        <f t="shared" si="33"/>
        <v>0</v>
      </c>
      <c r="R136">
        <v>0</v>
      </c>
      <c r="AH136" s="99"/>
      <c r="AI136" s="99"/>
      <c r="AJ136" s="99"/>
      <c r="AK136" s="99"/>
      <c r="AL136" s="99"/>
      <c r="AM136" s="99"/>
      <c r="AN136" s="99"/>
      <c r="AO136" s="99"/>
      <c r="AP136" s="99"/>
      <c r="AQ136" s="99"/>
      <c r="AR136" s="99"/>
      <c r="AS136" s="99"/>
      <c r="AT136" s="99"/>
      <c r="AU136" s="99"/>
      <c r="AV136" s="99"/>
      <c r="AW136" s="2">
        <f t="shared" ref="AW136:AW199" si="48">($AH$3*AH136)+($AI$3*AI136)+($AJ$3*AJ136)+($AL$3*AL136)+($AN$3*AN136)+($AO$3*AO136)+($AP$3*AP136)+($AQ$3*AQ136)+($AR$3*AR136)+($AS$3*AS136)+AV136</f>
        <v>0</v>
      </c>
      <c r="AZ136" s="11">
        <f ca="1">IF(B136&lt;TODAY(), SUMIFS($AX$6:AX136, $BK$6:BK136, BK136), "")</f>
        <v>0</v>
      </c>
      <c r="BC136" s="15"/>
      <c r="BE136" s="14"/>
      <c r="BF136" t="str">
        <f t="shared" si="45"/>
        <v>25</v>
      </c>
      <c r="BG136" t="str">
        <f t="shared" si="42"/>
        <v>11</v>
      </c>
      <c r="BH136" s="98">
        <f t="shared" si="44"/>
        <v>15</v>
      </c>
      <c r="BI136" t="str">
        <f t="shared" si="46"/>
        <v>4</v>
      </c>
      <c r="BJ136" t="str">
        <f t="shared" si="34"/>
        <v>-251115D</v>
      </c>
      <c r="BK136" t="str">
        <f t="shared" si="47"/>
        <v>2025-11</v>
      </c>
    </row>
    <row r="137" spans="2:63">
      <c r="B137" s="1">
        <v>45977</v>
      </c>
      <c r="P137" s="130">
        <f t="shared" si="35"/>
        <v>0</v>
      </c>
      <c r="Q137" s="17">
        <f t="shared" si="33"/>
        <v>0</v>
      </c>
      <c r="R137">
        <v>0</v>
      </c>
      <c r="AH137" s="99"/>
      <c r="AI137" s="99"/>
      <c r="AJ137" s="99"/>
      <c r="AK137" s="99"/>
      <c r="AL137" s="99"/>
      <c r="AM137" s="99"/>
      <c r="AN137" s="99"/>
      <c r="AO137" s="99"/>
      <c r="AP137" s="99"/>
      <c r="AQ137" s="99"/>
      <c r="AR137" s="99"/>
      <c r="AS137" s="99"/>
      <c r="AT137" s="99"/>
      <c r="AU137" s="99"/>
      <c r="AV137" s="99"/>
      <c r="AW137" s="2">
        <f t="shared" si="48"/>
        <v>0</v>
      </c>
      <c r="AZ137" s="11">
        <f ca="1">IF(B137&lt;TODAY(), SUMIFS($AX$6:AX137, $BK$6:BK137, BK137), "")</f>
        <v>0</v>
      </c>
      <c r="BC137" s="15"/>
      <c r="BF137" t="str">
        <f t="shared" si="45"/>
        <v>25</v>
      </c>
      <c r="BG137" t="str">
        <f t="shared" si="42"/>
        <v>11</v>
      </c>
      <c r="BH137" s="98">
        <f t="shared" si="44"/>
        <v>16</v>
      </c>
      <c r="BI137" t="str">
        <f t="shared" si="46"/>
        <v>4</v>
      </c>
      <c r="BJ137" t="str">
        <f t="shared" si="34"/>
        <v>-251116D</v>
      </c>
      <c r="BK137" t="str">
        <f t="shared" si="47"/>
        <v>2025-11</v>
      </c>
    </row>
    <row r="138" spans="2:63">
      <c r="B138" s="1">
        <v>45978</v>
      </c>
      <c r="P138" s="130">
        <f t="shared" si="35"/>
        <v>0</v>
      </c>
      <c r="Q138" s="17">
        <f t="shared" ref="Q138:Q201" si="49">(J138*$J$3)+(K138*$K$3)+(L138*$L$3)+(M138*$M$3)+(N138*$N$3)+(O138*$O$3)</f>
        <v>0</v>
      </c>
      <c r="R138">
        <v>0</v>
      </c>
      <c r="AH138" s="99"/>
      <c r="AI138" s="99"/>
      <c r="AJ138" s="99"/>
      <c r="AK138" s="99"/>
      <c r="AL138" s="99"/>
      <c r="AM138" s="99"/>
      <c r="AN138" s="99"/>
      <c r="AO138" s="99"/>
      <c r="AP138" s="99"/>
      <c r="AQ138" s="99"/>
      <c r="AR138" s="99"/>
      <c r="AS138" s="99"/>
      <c r="AT138" s="99"/>
      <c r="AU138" s="99"/>
      <c r="AV138" s="99"/>
      <c r="AW138" s="2">
        <f t="shared" si="48"/>
        <v>0</v>
      </c>
      <c r="AZ138" s="11">
        <f ca="1">IF(B138&lt;TODAY(), SUMIFS($AX$6:AX138, $BK$6:BK138, BK138), "")</f>
        <v>0</v>
      </c>
      <c r="BC138" s="15"/>
      <c r="BF138" t="str">
        <f t="shared" si="45"/>
        <v>25</v>
      </c>
      <c r="BG138" t="str">
        <f t="shared" si="42"/>
        <v>11</v>
      </c>
      <c r="BH138" s="98">
        <f t="shared" si="44"/>
        <v>17</v>
      </c>
      <c r="BI138" t="str">
        <f t="shared" si="46"/>
        <v>4</v>
      </c>
      <c r="BJ138" t="str">
        <f t="shared" ref="BJ138" si="50">CONCATENATE(BE138,"-",BF138,BG138,BH138,"D")</f>
        <v>-251117D</v>
      </c>
      <c r="BK138" t="str">
        <f t="shared" si="47"/>
        <v>2025-11</v>
      </c>
    </row>
    <row r="139" spans="2:63">
      <c r="B139" s="1">
        <v>45979</v>
      </c>
      <c r="P139" s="130">
        <f t="shared" si="35"/>
        <v>0</v>
      </c>
      <c r="Q139" s="17">
        <f t="shared" si="49"/>
        <v>0</v>
      </c>
      <c r="R139">
        <v>0</v>
      </c>
      <c r="AH139" s="99"/>
      <c r="AI139" s="99"/>
      <c r="AJ139" s="99"/>
      <c r="AK139" s="99"/>
      <c r="AL139" s="99"/>
      <c r="AM139" s="99"/>
      <c r="AN139" s="99"/>
      <c r="AO139" s="99"/>
      <c r="AP139" s="99"/>
      <c r="AQ139" s="99"/>
      <c r="AR139" s="99"/>
      <c r="AS139" s="99"/>
      <c r="AT139" s="99"/>
      <c r="AU139" s="99"/>
      <c r="AV139" s="99"/>
      <c r="AW139" s="2">
        <f t="shared" si="48"/>
        <v>0</v>
      </c>
      <c r="AZ139" s="11">
        <f ca="1">IF(B139&lt;TODAY(), SUMIFS($AX$6:AX139, $BK$6:BK139, BK139), "")</f>
        <v>0</v>
      </c>
      <c r="BC139" s="15"/>
    </row>
    <row r="140" spans="2:63">
      <c r="B140" s="1">
        <v>45980</v>
      </c>
      <c r="P140" s="130">
        <f t="shared" ref="P140:P203" si="51">J140+K140+L140+M140+N140+O140</f>
        <v>0</v>
      </c>
      <c r="Q140" s="17">
        <f t="shared" si="49"/>
        <v>0</v>
      </c>
      <c r="R140">
        <v>0</v>
      </c>
      <c r="AH140" s="99"/>
      <c r="AI140" s="99"/>
      <c r="AJ140" s="99"/>
      <c r="AK140" s="99"/>
      <c r="AL140" s="99"/>
      <c r="AM140" s="99"/>
      <c r="AN140" s="99"/>
      <c r="AO140" s="99"/>
      <c r="AP140" s="99"/>
      <c r="AQ140" s="99"/>
      <c r="AR140" s="99"/>
      <c r="AS140" s="99"/>
      <c r="AT140" s="99"/>
      <c r="AU140" s="99"/>
      <c r="AV140" s="99"/>
      <c r="AW140" s="2">
        <f t="shared" si="48"/>
        <v>0</v>
      </c>
      <c r="AZ140" s="11">
        <f ca="1">IF(B140&lt;TODAY(), SUMIFS($AX$6:AX140, $BK$6:BK140, BK140), "")</f>
        <v>0</v>
      </c>
      <c r="BC140" s="15"/>
    </row>
    <row r="141" spans="2:63">
      <c r="B141" s="1">
        <v>45981</v>
      </c>
      <c r="P141" s="130">
        <f t="shared" si="51"/>
        <v>0</v>
      </c>
      <c r="Q141" s="17">
        <f t="shared" si="49"/>
        <v>0</v>
      </c>
      <c r="R141">
        <v>0</v>
      </c>
      <c r="AH141" s="99"/>
      <c r="AI141" s="99"/>
      <c r="AJ141" s="99"/>
      <c r="AK141" s="99"/>
      <c r="AL141" s="99"/>
      <c r="AM141" s="99"/>
      <c r="AN141" s="99"/>
      <c r="AO141" s="99"/>
      <c r="AP141" s="99"/>
      <c r="AQ141" s="99"/>
      <c r="AR141" s="99"/>
      <c r="AS141" s="99"/>
      <c r="AT141" s="99"/>
      <c r="AU141" s="99"/>
      <c r="AV141" s="99"/>
      <c r="AW141" s="2">
        <f t="shared" si="48"/>
        <v>0</v>
      </c>
      <c r="AZ141" s="11">
        <f ca="1">IF(B141&lt;TODAY(), SUMIFS($AX$6:AX141, $BK$6:BK141, BK141), "")</f>
        <v>0</v>
      </c>
      <c r="BC141" s="15"/>
    </row>
    <row r="142" spans="2:63">
      <c r="B142" s="1">
        <v>45982</v>
      </c>
      <c r="P142" s="130">
        <f t="shared" si="51"/>
        <v>0</v>
      </c>
      <c r="Q142" s="17">
        <f t="shared" si="49"/>
        <v>0</v>
      </c>
      <c r="R142">
        <v>0</v>
      </c>
      <c r="AH142" s="99"/>
      <c r="AI142" s="99"/>
      <c r="AJ142" s="99"/>
      <c r="AK142" s="99"/>
      <c r="AL142" s="99"/>
      <c r="AM142" s="99"/>
      <c r="AN142" s="99"/>
      <c r="AO142" s="99"/>
      <c r="AP142" s="99"/>
      <c r="AQ142" s="99"/>
      <c r="AR142" s="99"/>
      <c r="AS142" s="99"/>
      <c r="AT142" s="99"/>
      <c r="AU142" s="99"/>
      <c r="AV142" s="99"/>
      <c r="AW142" s="2">
        <f t="shared" si="48"/>
        <v>0</v>
      </c>
      <c r="AZ142" s="11">
        <f ca="1">IF(B142&lt;TODAY(), SUMIFS($AX$6:AX142, $BK$6:BK142, BK142), "")</f>
        <v>0</v>
      </c>
      <c r="BC142" s="15"/>
    </row>
    <row r="143" spans="2:63">
      <c r="B143" s="1">
        <v>45983</v>
      </c>
      <c r="P143" s="130">
        <f t="shared" si="51"/>
        <v>0</v>
      </c>
      <c r="Q143" s="17">
        <f t="shared" si="49"/>
        <v>0</v>
      </c>
      <c r="R143">
        <v>0</v>
      </c>
      <c r="AH143" s="99"/>
      <c r="AI143" s="99"/>
      <c r="AJ143" s="99"/>
      <c r="AK143" s="99"/>
      <c r="AL143" s="99"/>
      <c r="AM143" s="99"/>
      <c r="AN143" s="99"/>
      <c r="AO143" s="99"/>
      <c r="AP143" s="99"/>
      <c r="AQ143" s="99"/>
      <c r="AR143" s="99"/>
      <c r="AS143" s="99"/>
      <c r="AT143" s="99"/>
      <c r="AU143" s="99"/>
      <c r="AV143" s="99"/>
      <c r="AW143" s="2">
        <f t="shared" si="48"/>
        <v>0</v>
      </c>
      <c r="AZ143" s="11">
        <f ca="1">IF(B143&lt;TODAY(), SUMIFS($AX$6:AX143, $BK$6:BK143, BK143), "")</f>
        <v>0</v>
      </c>
      <c r="BC143" s="15"/>
    </row>
    <row r="144" spans="2:63">
      <c r="B144" s="1">
        <v>45984</v>
      </c>
      <c r="P144" s="130">
        <f t="shared" si="51"/>
        <v>0</v>
      </c>
      <c r="Q144" s="17">
        <f t="shared" si="49"/>
        <v>0</v>
      </c>
      <c r="R144">
        <v>0</v>
      </c>
      <c r="AH144" s="99"/>
      <c r="AI144" s="99"/>
      <c r="AJ144" s="99"/>
      <c r="AK144" s="99"/>
      <c r="AL144" s="99"/>
      <c r="AM144" s="99"/>
      <c r="AN144" s="99"/>
      <c r="AO144" s="99"/>
      <c r="AP144" s="99"/>
      <c r="AQ144" s="99"/>
      <c r="AR144" s="99"/>
      <c r="AS144" s="99"/>
      <c r="AT144" s="99"/>
      <c r="AU144" s="99"/>
      <c r="AV144" s="99"/>
      <c r="AW144" s="2">
        <f t="shared" si="48"/>
        <v>0</v>
      </c>
      <c r="AZ144" s="11">
        <f ca="1">IF(B144&lt;TODAY(), SUMIFS($AX$6:AX144, $BK$6:BK144, BK144), "")</f>
        <v>0</v>
      </c>
      <c r="BC144" s="15"/>
    </row>
    <row r="145" spans="2:55">
      <c r="B145" s="1">
        <v>45985</v>
      </c>
      <c r="P145" s="130">
        <f t="shared" si="51"/>
        <v>0</v>
      </c>
      <c r="Q145" s="17">
        <f t="shared" si="49"/>
        <v>0</v>
      </c>
      <c r="R145">
        <v>0</v>
      </c>
      <c r="AH145" s="99"/>
      <c r="AI145" s="99"/>
      <c r="AJ145" s="99"/>
      <c r="AK145" s="99"/>
      <c r="AL145" s="99"/>
      <c r="AM145" s="99"/>
      <c r="AN145" s="99"/>
      <c r="AO145" s="99"/>
      <c r="AP145" s="99"/>
      <c r="AQ145" s="99"/>
      <c r="AR145" s="99"/>
      <c r="AS145" s="99"/>
      <c r="AT145" s="99"/>
      <c r="AU145" s="99"/>
      <c r="AV145" s="99"/>
      <c r="AW145" s="2">
        <f t="shared" si="48"/>
        <v>0</v>
      </c>
      <c r="AZ145" s="11">
        <f ca="1">IF(B145&lt;TODAY(), SUMIFS($AX$6:AX145, $BK$6:BK145, BK145), "")</f>
        <v>0</v>
      </c>
      <c r="BC145" s="15"/>
    </row>
    <row r="146" spans="2:55">
      <c r="B146" s="1">
        <v>45986</v>
      </c>
      <c r="P146" s="130">
        <f t="shared" si="51"/>
        <v>0</v>
      </c>
      <c r="Q146" s="17">
        <f t="shared" si="49"/>
        <v>0</v>
      </c>
      <c r="R146">
        <v>0</v>
      </c>
      <c r="AH146" s="99"/>
      <c r="AI146" s="99"/>
      <c r="AJ146" s="99"/>
      <c r="AK146" s="99"/>
      <c r="AL146" s="99"/>
      <c r="AM146" s="99"/>
      <c r="AN146" s="99"/>
      <c r="AO146" s="99"/>
      <c r="AP146" s="99"/>
      <c r="AQ146" s="99"/>
      <c r="AR146" s="99"/>
      <c r="AS146" s="99"/>
      <c r="AT146" s="99"/>
      <c r="AU146" s="99"/>
      <c r="AV146" s="99"/>
      <c r="AW146" s="2">
        <f t="shared" si="48"/>
        <v>0</v>
      </c>
      <c r="AZ146" s="11">
        <f ca="1">IF(B146&lt;TODAY(), SUMIFS($AX$6:AX146, $BK$6:BK146, BK146), "")</f>
        <v>0</v>
      </c>
      <c r="BC146" s="15"/>
    </row>
    <row r="147" spans="2:55">
      <c r="B147" s="1">
        <v>45987</v>
      </c>
      <c r="P147" s="130">
        <f t="shared" si="51"/>
        <v>0</v>
      </c>
      <c r="Q147" s="17">
        <f t="shared" si="49"/>
        <v>0</v>
      </c>
      <c r="R147">
        <v>0</v>
      </c>
      <c r="AH147" s="99"/>
      <c r="AI147" s="99"/>
      <c r="AJ147" s="99"/>
      <c r="AK147" s="99"/>
      <c r="AL147" s="99"/>
      <c r="AM147" s="99"/>
      <c r="AN147" s="99"/>
      <c r="AO147" s="99"/>
      <c r="AP147" s="99"/>
      <c r="AQ147" s="99"/>
      <c r="AR147" s="99"/>
      <c r="AS147" s="99"/>
      <c r="AT147" s="99"/>
      <c r="AU147" s="99"/>
      <c r="AV147" s="99"/>
      <c r="AW147" s="2">
        <f t="shared" si="48"/>
        <v>0</v>
      </c>
      <c r="AZ147" s="11">
        <f ca="1">IF(B147&lt;TODAY(), SUMIFS($AX$6:AX147, $BK$6:BK147, BK147), "")</f>
        <v>0</v>
      </c>
      <c r="BC147" s="15"/>
    </row>
    <row r="148" spans="2:55">
      <c r="B148" s="1">
        <v>45988</v>
      </c>
      <c r="P148" s="130">
        <f t="shared" si="51"/>
        <v>0</v>
      </c>
      <c r="Q148" s="17">
        <f t="shared" si="49"/>
        <v>0</v>
      </c>
      <c r="R148">
        <v>0</v>
      </c>
      <c r="AH148" s="99"/>
      <c r="AI148" s="99"/>
      <c r="AJ148" s="99"/>
      <c r="AK148" s="99"/>
      <c r="AL148" s="99"/>
      <c r="AM148" s="99"/>
      <c r="AN148" s="99"/>
      <c r="AO148" s="99"/>
      <c r="AP148" s="99"/>
      <c r="AQ148" s="99"/>
      <c r="AR148" s="99"/>
      <c r="AS148" s="99"/>
      <c r="AT148" s="99"/>
      <c r="AU148" s="99"/>
      <c r="AV148" s="99"/>
      <c r="AW148" s="2">
        <f t="shared" si="48"/>
        <v>0</v>
      </c>
      <c r="AZ148" s="11">
        <f ca="1">IF(B148&lt;TODAY(), SUMIFS($AX$6:AX148, $BK$6:BK148, BK148), "")</f>
        <v>0</v>
      </c>
      <c r="BC148" s="15"/>
    </row>
    <row r="149" spans="2:55">
      <c r="B149" s="1">
        <v>45989</v>
      </c>
      <c r="P149" s="130">
        <f t="shared" si="51"/>
        <v>0</v>
      </c>
      <c r="Q149" s="17">
        <f t="shared" si="49"/>
        <v>0</v>
      </c>
      <c r="R149">
        <v>0</v>
      </c>
      <c r="AH149" s="99"/>
      <c r="AI149" s="99"/>
      <c r="AJ149" s="99"/>
      <c r="AK149" s="99"/>
      <c r="AL149" s="99"/>
      <c r="AM149" s="99"/>
      <c r="AN149" s="99"/>
      <c r="AO149" s="99"/>
      <c r="AP149" s="99"/>
      <c r="AQ149" s="99"/>
      <c r="AR149" s="99"/>
      <c r="AS149" s="99"/>
      <c r="AT149" s="99"/>
      <c r="AU149" s="99"/>
      <c r="AV149" s="99"/>
      <c r="AW149" s="2">
        <f t="shared" si="48"/>
        <v>0</v>
      </c>
      <c r="AZ149" s="11">
        <f ca="1">IF(B149&lt;TODAY(), SUMIFS($AX$6:AX149, $BK$6:BK149, BK149), "")</f>
        <v>0</v>
      </c>
      <c r="BC149" s="15"/>
    </row>
    <row r="150" spans="2:55">
      <c r="B150" s="1">
        <v>45990</v>
      </c>
      <c r="P150" s="130">
        <f t="shared" si="51"/>
        <v>0</v>
      </c>
      <c r="Q150" s="17">
        <f t="shared" si="49"/>
        <v>0</v>
      </c>
      <c r="R150">
        <v>0</v>
      </c>
      <c r="AH150" s="99"/>
      <c r="AI150" s="99"/>
      <c r="AJ150" s="99"/>
      <c r="AK150" s="99"/>
      <c r="AL150" s="99"/>
      <c r="AM150" s="99"/>
      <c r="AN150" s="99"/>
      <c r="AO150" s="99"/>
      <c r="AP150" s="99"/>
      <c r="AQ150" s="99"/>
      <c r="AR150" s="99"/>
      <c r="AS150" s="99"/>
      <c r="AT150" s="99"/>
      <c r="AU150" s="99"/>
      <c r="AV150" s="99"/>
      <c r="AW150" s="2">
        <f t="shared" si="48"/>
        <v>0</v>
      </c>
      <c r="AZ150" s="11">
        <f ca="1">IF(B150&lt;TODAY(), SUMIFS($AX$6:AX150, $BK$6:BK150, BK150), "")</f>
        <v>0</v>
      </c>
      <c r="BC150" s="15"/>
    </row>
    <row r="151" spans="2:55">
      <c r="B151" s="1">
        <v>45991</v>
      </c>
      <c r="P151" s="130">
        <f t="shared" si="51"/>
        <v>0</v>
      </c>
      <c r="Q151" s="17">
        <f t="shared" si="49"/>
        <v>0</v>
      </c>
      <c r="R151">
        <v>0</v>
      </c>
      <c r="AH151" s="99"/>
      <c r="AI151" s="99"/>
      <c r="AJ151" s="99"/>
      <c r="AK151" s="99"/>
      <c r="AL151" s="99"/>
      <c r="AM151" s="99"/>
      <c r="AN151" s="99"/>
      <c r="AO151" s="99"/>
      <c r="AP151" s="99"/>
      <c r="AQ151" s="99"/>
      <c r="AR151" s="99"/>
      <c r="AS151" s="99"/>
      <c r="AT151" s="99"/>
      <c r="AU151" s="99"/>
      <c r="AV151" s="99"/>
      <c r="AW151" s="2">
        <f t="shared" si="48"/>
        <v>0</v>
      </c>
      <c r="AZ151" s="11">
        <f ca="1">IF(B151&lt;TODAY(), SUMIFS($AX$6:AX151, $BK$6:BK151, BK151), "")</f>
        <v>0</v>
      </c>
      <c r="BC151" s="15"/>
    </row>
    <row r="152" spans="2:55">
      <c r="B152" s="1">
        <v>45992</v>
      </c>
      <c r="P152" s="130">
        <f t="shared" si="51"/>
        <v>0</v>
      </c>
      <c r="Q152" s="17">
        <f t="shared" si="49"/>
        <v>0</v>
      </c>
      <c r="R152">
        <v>0</v>
      </c>
      <c r="AW152" s="2">
        <f t="shared" si="48"/>
        <v>0</v>
      </c>
      <c r="AZ152" s="11">
        <f ca="1">IF(B152&lt;TODAY(), SUMIFS($AX$6:AX152, $BK$6:BK152, BK152), "")</f>
        <v>0</v>
      </c>
      <c r="BC152" s="15"/>
    </row>
    <row r="153" spans="2:55">
      <c r="B153" s="1">
        <v>45993</v>
      </c>
      <c r="P153" s="130">
        <f t="shared" si="51"/>
        <v>0</v>
      </c>
      <c r="Q153" s="17">
        <f t="shared" si="49"/>
        <v>0</v>
      </c>
      <c r="R153">
        <v>0</v>
      </c>
      <c r="AW153" s="2">
        <f t="shared" si="48"/>
        <v>0</v>
      </c>
      <c r="AZ153" s="11">
        <f ca="1">IF(B153&lt;TODAY(), SUMIFS($AX$6:AX153, $BK$6:BK153, BK153), "")</f>
        <v>0</v>
      </c>
      <c r="BC153" s="15"/>
    </row>
    <row r="154" spans="2:55">
      <c r="B154" s="1">
        <v>45994</v>
      </c>
      <c r="P154" s="130">
        <f t="shared" si="51"/>
        <v>0</v>
      </c>
      <c r="Q154" s="17">
        <f t="shared" si="49"/>
        <v>0</v>
      </c>
      <c r="R154">
        <v>0</v>
      </c>
      <c r="AW154" s="2">
        <f t="shared" si="48"/>
        <v>0</v>
      </c>
      <c r="AZ154" s="11">
        <f ca="1">IF(B154&lt;TODAY(), SUMIFS($AX$6:AX154, $BK$6:BK154, BK154), "")</f>
        <v>0</v>
      </c>
      <c r="BC154" s="15"/>
    </row>
    <row r="155" spans="2:55">
      <c r="B155" s="1">
        <v>45995</v>
      </c>
      <c r="P155" s="130">
        <f t="shared" si="51"/>
        <v>0</v>
      </c>
      <c r="Q155" s="17">
        <f t="shared" si="49"/>
        <v>0</v>
      </c>
      <c r="R155">
        <v>0</v>
      </c>
      <c r="AW155" s="2">
        <f t="shared" si="48"/>
        <v>0</v>
      </c>
      <c r="AZ155" s="11">
        <f ca="1">IF(B155&lt;TODAY(), SUMIFS($AX$6:AX155, $BK$6:BK155, BK155), "")</f>
        <v>0</v>
      </c>
      <c r="BC155" s="15"/>
    </row>
    <row r="156" spans="2:55">
      <c r="B156" s="1">
        <v>45996</v>
      </c>
      <c r="P156" s="130">
        <f t="shared" si="51"/>
        <v>0</v>
      </c>
      <c r="Q156" s="17">
        <f t="shared" si="49"/>
        <v>0</v>
      </c>
      <c r="R156">
        <v>0</v>
      </c>
      <c r="AW156" s="2">
        <f t="shared" si="48"/>
        <v>0</v>
      </c>
      <c r="AZ156" s="11">
        <f ca="1">IF(B156&lt;TODAY(), SUMIFS($AX$6:AX156, $BK$6:BK156, BK156), "")</f>
        <v>0</v>
      </c>
      <c r="BC156" s="15"/>
    </row>
    <row r="157" spans="2:55">
      <c r="B157" s="1">
        <v>45997</v>
      </c>
      <c r="P157" s="130">
        <f t="shared" si="51"/>
        <v>0</v>
      </c>
      <c r="Q157" s="17">
        <f t="shared" si="49"/>
        <v>0</v>
      </c>
      <c r="R157">
        <v>0</v>
      </c>
      <c r="AW157" s="2">
        <f t="shared" si="48"/>
        <v>0</v>
      </c>
      <c r="AZ157" s="11">
        <f ca="1">IF(B157&lt;TODAY(), SUMIFS($AX$6:AX157, $BK$6:BK157, BK157), "")</f>
        <v>0</v>
      </c>
      <c r="BC157" s="15"/>
    </row>
    <row r="158" spans="2:55">
      <c r="B158" s="1">
        <v>45998</v>
      </c>
      <c r="P158" s="130">
        <f t="shared" si="51"/>
        <v>0</v>
      </c>
      <c r="Q158" s="17">
        <f t="shared" si="49"/>
        <v>0</v>
      </c>
      <c r="R158">
        <v>0</v>
      </c>
      <c r="AW158" s="2">
        <f t="shared" si="48"/>
        <v>0</v>
      </c>
      <c r="AZ158" s="11">
        <f ca="1">IF(B158&lt;TODAY(), SUMIFS($AX$6:AX158, $BK$6:BK158, BK158), "")</f>
        <v>0</v>
      </c>
      <c r="BC158" s="15"/>
    </row>
    <row r="159" spans="2:55">
      <c r="B159" s="1">
        <v>45999</v>
      </c>
      <c r="P159" s="130">
        <f t="shared" si="51"/>
        <v>0</v>
      </c>
      <c r="Q159" s="17">
        <f t="shared" si="49"/>
        <v>0</v>
      </c>
      <c r="R159">
        <v>0</v>
      </c>
      <c r="AW159" s="2">
        <f t="shared" si="48"/>
        <v>0</v>
      </c>
      <c r="AZ159" s="11">
        <f ca="1">IF(B159&lt;TODAY(), SUMIFS($AX$6:AX159, $BK$6:BK159, BK159), "")</f>
        <v>0</v>
      </c>
      <c r="BC159" s="15"/>
    </row>
    <row r="160" spans="2:55">
      <c r="B160" s="1">
        <v>46000</v>
      </c>
      <c r="P160" s="130">
        <f t="shared" si="51"/>
        <v>0</v>
      </c>
      <c r="Q160" s="17">
        <f t="shared" si="49"/>
        <v>0</v>
      </c>
      <c r="R160">
        <v>0</v>
      </c>
      <c r="AW160" s="2">
        <f t="shared" si="48"/>
        <v>0</v>
      </c>
      <c r="AZ160" s="11">
        <f ca="1">IF(B160&lt;TODAY(), SUMIFS($AX$6:AX160, $BK$6:BK160, BK160), "")</f>
        <v>0</v>
      </c>
      <c r="BC160" s="15"/>
    </row>
    <row r="161" spans="2:55">
      <c r="B161" s="1">
        <v>46001</v>
      </c>
      <c r="P161" s="130">
        <f t="shared" si="51"/>
        <v>0</v>
      </c>
      <c r="Q161" s="17">
        <f t="shared" si="49"/>
        <v>0</v>
      </c>
      <c r="R161">
        <v>0</v>
      </c>
      <c r="AW161" s="2">
        <f t="shared" si="48"/>
        <v>0</v>
      </c>
      <c r="AZ161" s="11">
        <f ca="1">IF(B161&lt;TODAY(), SUMIFS($AX$6:AX161, $BK$6:BK161, BK161), "")</f>
        <v>0</v>
      </c>
      <c r="BC161" s="15"/>
    </row>
    <row r="162" spans="2:55">
      <c r="B162" s="1">
        <v>46002</v>
      </c>
      <c r="P162" s="130">
        <f t="shared" si="51"/>
        <v>0</v>
      </c>
      <c r="Q162" s="17">
        <f t="shared" si="49"/>
        <v>0</v>
      </c>
      <c r="R162">
        <v>0</v>
      </c>
      <c r="AW162" s="2">
        <f t="shared" si="48"/>
        <v>0</v>
      </c>
      <c r="AZ162" s="11">
        <f ca="1">IF(B162&lt;TODAY(), SUMIFS($AX$6:AX162, $BK$6:BK162, BK162), "")</f>
        <v>0</v>
      </c>
      <c r="BC162" s="15"/>
    </row>
    <row r="163" spans="2:55">
      <c r="B163" s="1">
        <v>46003</v>
      </c>
      <c r="P163" s="130">
        <f t="shared" si="51"/>
        <v>0</v>
      </c>
      <c r="Q163" s="17">
        <f t="shared" si="49"/>
        <v>0</v>
      </c>
      <c r="R163">
        <v>0</v>
      </c>
      <c r="AW163" s="2">
        <f t="shared" si="48"/>
        <v>0</v>
      </c>
      <c r="AZ163" s="11">
        <f ca="1">IF(B163&lt;TODAY(), SUMIFS($AX$6:AX163, $BK$6:BK163, BK163), "")</f>
        <v>0</v>
      </c>
      <c r="BC163" s="15"/>
    </row>
    <row r="164" spans="2:55">
      <c r="B164" s="1">
        <v>46004</v>
      </c>
      <c r="P164" s="130">
        <f t="shared" si="51"/>
        <v>0</v>
      </c>
      <c r="Q164" s="17">
        <f t="shared" si="49"/>
        <v>0</v>
      </c>
      <c r="R164">
        <v>0</v>
      </c>
      <c r="AW164" s="2">
        <f t="shared" si="48"/>
        <v>0</v>
      </c>
      <c r="AZ164" s="11">
        <f ca="1">IF(B164&lt;TODAY(), SUMIFS($AX$6:AX164, $BK$6:BK164, BK164), "")</f>
        <v>0</v>
      </c>
      <c r="BC164" s="15"/>
    </row>
    <row r="165" spans="2:55">
      <c r="B165" s="1">
        <v>46005</v>
      </c>
      <c r="P165" s="130">
        <f t="shared" si="51"/>
        <v>0</v>
      </c>
      <c r="Q165" s="17">
        <f t="shared" si="49"/>
        <v>0</v>
      </c>
      <c r="R165">
        <v>0</v>
      </c>
      <c r="AW165" s="2">
        <f t="shared" si="48"/>
        <v>0</v>
      </c>
      <c r="AZ165" s="11">
        <f ca="1">IF(B165&lt;TODAY(), SUMIFS($AX$6:AX165, $BK$6:BK165, BK165), "")</f>
        <v>0</v>
      </c>
      <c r="BC165" s="15"/>
    </row>
    <row r="166" spans="2:55">
      <c r="B166" s="1">
        <v>46006</v>
      </c>
      <c r="P166" s="130">
        <f t="shared" si="51"/>
        <v>0</v>
      </c>
      <c r="Q166" s="17">
        <f t="shared" si="49"/>
        <v>0</v>
      </c>
      <c r="R166">
        <v>0</v>
      </c>
      <c r="AW166" s="2">
        <f t="shared" si="48"/>
        <v>0</v>
      </c>
      <c r="AZ166" s="11">
        <f ca="1">IF(B166&lt;TODAY(), SUMIFS($AX$6:AX166, $BK$6:BK166, BK166), "")</f>
        <v>0</v>
      </c>
      <c r="BC166" s="15"/>
    </row>
    <row r="167" spans="2:55">
      <c r="B167" s="1">
        <v>46007</v>
      </c>
      <c r="P167" s="130">
        <f t="shared" si="51"/>
        <v>0</v>
      </c>
      <c r="Q167" s="17">
        <f t="shared" si="49"/>
        <v>0</v>
      </c>
      <c r="R167">
        <v>0</v>
      </c>
      <c r="AW167" s="2">
        <f t="shared" si="48"/>
        <v>0</v>
      </c>
      <c r="AZ167" s="11">
        <f ca="1">IF(B167&lt;TODAY(), SUMIFS($AX$6:AX167, $BK$6:BK167, BK167), "")</f>
        <v>0</v>
      </c>
      <c r="BC167" s="15"/>
    </row>
    <row r="168" spans="2:55">
      <c r="B168" s="1">
        <v>46008</v>
      </c>
      <c r="P168" s="130">
        <f t="shared" si="51"/>
        <v>0</v>
      </c>
      <c r="Q168" s="17">
        <f t="shared" si="49"/>
        <v>0</v>
      </c>
      <c r="R168">
        <v>0</v>
      </c>
      <c r="AW168" s="2">
        <f t="shared" si="48"/>
        <v>0</v>
      </c>
      <c r="AZ168" s="11">
        <f ca="1">IF(B168&lt;TODAY(), SUMIFS($AX$6:AX168, $BK$6:BK168, BK168), "")</f>
        <v>0</v>
      </c>
      <c r="BC168" s="15"/>
    </row>
    <row r="169" spans="2:55">
      <c r="B169" s="1">
        <v>46009</v>
      </c>
      <c r="P169" s="130">
        <f t="shared" si="51"/>
        <v>0</v>
      </c>
      <c r="Q169" s="17">
        <f t="shared" si="49"/>
        <v>0</v>
      </c>
      <c r="R169">
        <v>0</v>
      </c>
      <c r="AW169" s="2">
        <f t="shared" si="48"/>
        <v>0</v>
      </c>
      <c r="AZ169" s="11">
        <f ca="1">IF(B169&lt;TODAY(), SUMIFS($AX$6:AX169, $BK$6:BK169, BK169), "")</f>
        <v>0</v>
      </c>
      <c r="BC169" s="15"/>
    </row>
    <row r="170" spans="2:55">
      <c r="B170" s="1">
        <v>46010</v>
      </c>
      <c r="P170" s="130">
        <f t="shared" si="51"/>
        <v>0</v>
      </c>
      <c r="Q170" s="17">
        <f t="shared" si="49"/>
        <v>0</v>
      </c>
      <c r="R170">
        <v>0</v>
      </c>
      <c r="AW170" s="2">
        <f t="shared" si="48"/>
        <v>0</v>
      </c>
      <c r="AZ170" s="11">
        <f ca="1">IF(B170&lt;TODAY(), SUMIFS($AX$6:AX170, $BK$6:BK170, BK170), "")</f>
        <v>0</v>
      </c>
      <c r="BC170" s="15"/>
    </row>
    <row r="171" spans="2:55">
      <c r="B171" s="1">
        <v>46011</v>
      </c>
      <c r="P171" s="130">
        <f t="shared" si="51"/>
        <v>0</v>
      </c>
      <c r="Q171" s="17">
        <f t="shared" si="49"/>
        <v>0</v>
      </c>
      <c r="R171">
        <v>0</v>
      </c>
      <c r="AW171" s="2">
        <f t="shared" si="48"/>
        <v>0</v>
      </c>
      <c r="AZ171" s="11">
        <f ca="1">IF(B171&lt;TODAY(), SUMIFS($AX$6:AX171, $BK$6:BK171, BK171), "")</f>
        <v>0</v>
      </c>
      <c r="BC171" s="15"/>
    </row>
    <row r="172" spans="2:55">
      <c r="B172" s="1">
        <v>46012</v>
      </c>
      <c r="P172" s="130">
        <f t="shared" si="51"/>
        <v>0</v>
      </c>
      <c r="Q172" s="17">
        <f t="shared" si="49"/>
        <v>0</v>
      </c>
      <c r="R172">
        <v>0</v>
      </c>
      <c r="AW172" s="2">
        <f t="shared" si="48"/>
        <v>0</v>
      </c>
      <c r="AZ172" s="11">
        <f ca="1">IF(B172&lt;TODAY(), SUMIFS($AX$6:AX172, $BK$6:BK172, BK172), "")</f>
        <v>0</v>
      </c>
      <c r="BC172" s="15"/>
    </row>
    <row r="173" spans="2:55">
      <c r="B173" s="1">
        <v>46013</v>
      </c>
      <c r="P173" s="130">
        <f t="shared" si="51"/>
        <v>0</v>
      </c>
      <c r="Q173" s="17">
        <f t="shared" si="49"/>
        <v>0</v>
      </c>
      <c r="R173">
        <v>0</v>
      </c>
      <c r="AW173" s="2">
        <f t="shared" si="48"/>
        <v>0</v>
      </c>
      <c r="AZ173" s="11">
        <f ca="1">IF(B173&lt;TODAY(), SUMIFS($AX$6:AX173, $BK$6:BK173, BK173), "")</f>
        <v>0</v>
      </c>
      <c r="BC173" s="15"/>
    </row>
    <row r="174" spans="2:55">
      <c r="B174" s="1">
        <v>46014</v>
      </c>
      <c r="P174" s="130">
        <f t="shared" si="51"/>
        <v>0</v>
      </c>
      <c r="Q174" s="17">
        <f t="shared" si="49"/>
        <v>0</v>
      </c>
      <c r="R174">
        <v>0</v>
      </c>
      <c r="AW174" s="2">
        <f t="shared" si="48"/>
        <v>0</v>
      </c>
      <c r="AZ174" s="11">
        <f ca="1">IF(B174&lt;TODAY(), SUMIFS($AX$6:AX174, $BK$6:BK174, BK174), "")</f>
        <v>0</v>
      </c>
      <c r="BC174" s="15"/>
    </row>
    <row r="175" spans="2:55">
      <c r="B175" s="1">
        <v>46015</v>
      </c>
      <c r="P175" s="130">
        <f t="shared" si="51"/>
        <v>0</v>
      </c>
      <c r="Q175" s="17">
        <f t="shared" si="49"/>
        <v>0</v>
      </c>
      <c r="R175">
        <v>0</v>
      </c>
      <c r="AW175" s="2">
        <f t="shared" si="48"/>
        <v>0</v>
      </c>
      <c r="AZ175" s="11">
        <f ca="1">IF(B175&lt;TODAY(), SUMIFS($AX$6:AX175, $BK$6:BK175, BK175), "")</f>
        <v>0</v>
      </c>
      <c r="BC175" s="15"/>
    </row>
    <row r="176" spans="2:55">
      <c r="B176" s="1">
        <v>46016</v>
      </c>
      <c r="P176" s="130">
        <f t="shared" si="51"/>
        <v>0</v>
      </c>
      <c r="Q176" s="17">
        <f t="shared" si="49"/>
        <v>0</v>
      </c>
      <c r="R176">
        <v>0</v>
      </c>
      <c r="AW176" s="2">
        <f t="shared" si="48"/>
        <v>0</v>
      </c>
      <c r="AZ176" s="11">
        <f ca="1">IF(B176&lt;TODAY(), SUMIFS($AX$6:AX176, $BK$6:BK176, BK176), "")</f>
        <v>0</v>
      </c>
      <c r="BC176" s="15"/>
    </row>
    <row r="177" spans="2:55">
      <c r="B177" s="1">
        <v>46017</v>
      </c>
      <c r="P177" s="130">
        <f t="shared" si="51"/>
        <v>0</v>
      </c>
      <c r="Q177" s="17">
        <f t="shared" si="49"/>
        <v>0</v>
      </c>
      <c r="R177">
        <v>0</v>
      </c>
      <c r="AW177" s="2">
        <f t="shared" si="48"/>
        <v>0</v>
      </c>
      <c r="AZ177" s="11">
        <f ca="1">IF(B177&lt;TODAY(), SUMIFS($AX$6:AX177, $BK$6:BK177, BK177), "")</f>
        <v>0</v>
      </c>
      <c r="BC177" s="15"/>
    </row>
    <row r="178" spans="2:55">
      <c r="B178" s="1">
        <v>46018</v>
      </c>
      <c r="P178" s="130">
        <f t="shared" si="51"/>
        <v>0</v>
      </c>
      <c r="Q178" s="17">
        <f t="shared" si="49"/>
        <v>0</v>
      </c>
      <c r="R178">
        <v>0</v>
      </c>
      <c r="AW178" s="2">
        <f t="shared" si="48"/>
        <v>0</v>
      </c>
      <c r="AZ178" s="11">
        <f ca="1">IF(B178&lt;TODAY(), SUMIFS($AX$6:AX178, $BK$6:BK178, BK178), "")</f>
        <v>0</v>
      </c>
      <c r="BC178" s="15"/>
    </row>
    <row r="179" spans="2:55">
      <c r="B179" s="1">
        <v>46019</v>
      </c>
      <c r="P179" s="130">
        <f t="shared" si="51"/>
        <v>0</v>
      </c>
      <c r="Q179" s="17">
        <f t="shared" si="49"/>
        <v>0</v>
      </c>
      <c r="R179">
        <v>0</v>
      </c>
      <c r="AW179" s="2">
        <f t="shared" si="48"/>
        <v>0</v>
      </c>
      <c r="AZ179" s="11">
        <f ca="1">IF(B179&lt;TODAY(), SUMIFS($AX$6:AX179, $BK$6:BK179, BK179), "")</f>
        <v>0</v>
      </c>
      <c r="BC179" s="15"/>
    </row>
    <row r="180" spans="2:55">
      <c r="B180" s="1">
        <v>46020</v>
      </c>
      <c r="P180" s="130">
        <f t="shared" si="51"/>
        <v>0</v>
      </c>
      <c r="Q180" s="17">
        <f t="shared" si="49"/>
        <v>0</v>
      </c>
      <c r="R180">
        <v>0</v>
      </c>
      <c r="AW180" s="2">
        <f t="shared" si="48"/>
        <v>0</v>
      </c>
      <c r="AZ180" s="11">
        <f ca="1">IF(B180&lt;TODAY(), SUMIFS($AX$6:AX180, $BK$6:BK180, BK180), "")</f>
        <v>0</v>
      </c>
      <c r="BC180" s="15"/>
    </row>
    <row r="181" spans="2:55">
      <c r="B181" s="1">
        <v>46021</v>
      </c>
      <c r="P181" s="130">
        <f t="shared" si="51"/>
        <v>0</v>
      </c>
      <c r="Q181" s="17">
        <f t="shared" si="49"/>
        <v>0</v>
      </c>
      <c r="R181">
        <v>0</v>
      </c>
      <c r="AW181" s="2">
        <f t="shared" si="48"/>
        <v>0</v>
      </c>
      <c r="AZ181" s="11">
        <f ca="1">IF(B181&lt;TODAY(), SUMIFS($AX$6:AX181, $BK$6:BK181, BK181), "")</f>
        <v>0</v>
      </c>
      <c r="BC181" s="15"/>
    </row>
    <row r="182" spans="2:55">
      <c r="B182" s="1">
        <v>46022</v>
      </c>
      <c r="P182" s="130">
        <f t="shared" si="51"/>
        <v>0</v>
      </c>
      <c r="Q182" s="17">
        <f t="shared" si="49"/>
        <v>0</v>
      </c>
      <c r="R182">
        <v>0</v>
      </c>
      <c r="AW182" s="2">
        <f t="shared" si="48"/>
        <v>0</v>
      </c>
      <c r="AZ182" s="11">
        <f ca="1">IF(B182&lt;TODAY(), SUMIFS($AX$6:AX182, $BK$6:BK182, BK182), "")</f>
        <v>0</v>
      </c>
      <c r="BC182" s="15"/>
    </row>
    <row r="183" spans="2:55">
      <c r="B183" s="1">
        <v>46023</v>
      </c>
      <c r="P183" s="130">
        <f t="shared" si="51"/>
        <v>0</v>
      </c>
      <c r="Q183" s="17">
        <f t="shared" si="49"/>
        <v>0</v>
      </c>
      <c r="R183">
        <v>0</v>
      </c>
      <c r="AW183" s="2">
        <f t="shared" si="48"/>
        <v>0</v>
      </c>
      <c r="AZ183" s="11">
        <f ca="1">IF(B183&lt;TODAY(), SUMIFS($AX$6:AX183, $BK$6:BK183, BK183), "")</f>
        <v>0</v>
      </c>
      <c r="BC183" s="15"/>
    </row>
    <row r="184" spans="2:55">
      <c r="B184" s="1">
        <v>46024</v>
      </c>
      <c r="P184" s="130">
        <f t="shared" si="51"/>
        <v>0</v>
      </c>
      <c r="Q184" s="17">
        <f t="shared" si="49"/>
        <v>0</v>
      </c>
      <c r="R184">
        <v>0</v>
      </c>
      <c r="AW184" s="2">
        <f t="shared" si="48"/>
        <v>0</v>
      </c>
      <c r="AZ184" s="11">
        <f ca="1">IF(B184&lt;TODAY(), SUMIFS($AX$6:AX184, $BK$6:BK184, BK184), "")</f>
        <v>0</v>
      </c>
      <c r="BC184" s="15"/>
    </row>
    <row r="185" spans="2:55">
      <c r="B185" s="1">
        <v>46025</v>
      </c>
      <c r="P185" s="130">
        <f t="shared" si="51"/>
        <v>0</v>
      </c>
      <c r="Q185" s="17">
        <f t="shared" si="49"/>
        <v>0</v>
      </c>
      <c r="R185">
        <v>0</v>
      </c>
      <c r="AW185" s="2">
        <f t="shared" si="48"/>
        <v>0</v>
      </c>
      <c r="AZ185" s="11">
        <f ca="1">IF(B185&lt;TODAY(), SUMIFS($AX$6:AX185, $BK$6:BK185, BK185), "")</f>
        <v>0</v>
      </c>
      <c r="BC185" s="15"/>
    </row>
    <row r="186" spans="2:55">
      <c r="B186" s="1">
        <v>46026</v>
      </c>
      <c r="P186" s="130">
        <f t="shared" si="51"/>
        <v>0</v>
      </c>
      <c r="Q186" s="17">
        <f t="shared" si="49"/>
        <v>0</v>
      </c>
      <c r="R186">
        <v>0</v>
      </c>
      <c r="AW186" s="2">
        <f t="shared" si="48"/>
        <v>0</v>
      </c>
      <c r="AZ186" s="11">
        <f ca="1">IF(B186&lt;TODAY(), SUMIFS($AX$6:AX186, $BK$6:BK186, BK186), "")</f>
        <v>0</v>
      </c>
      <c r="BC186" s="15"/>
    </row>
    <row r="187" spans="2:55">
      <c r="B187" s="1">
        <v>46027</v>
      </c>
      <c r="P187" s="130">
        <f t="shared" si="51"/>
        <v>0</v>
      </c>
      <c r="Q187" s="17">
        <f t="shared" si="49"/>
        <v>0</v>
      </c>
      <c r="R187">
        <v>0</v>
      </c>
      <c r="AW187" s="2">
        <f t="shared" si="48"/>
        <v>0</v>
      </c>
      <c r="AZ187" s="11">
        <f ca="1">IF(B187&lt;TODAY(), SUMIFS($AX$6:AX187, $BK$6:BK187, BK187), "")</f>
        <v>0</v>
      </c>
      <c r="BC187" s="15"/>
    </row>
    <row r="188" spans="2:55">
      <c r="B188" s="1">
        <v>46028</v>
      </c>
      <c r="P188" s="130">
        <f t="shared" si="51"/>
        <v>0</v>
      </c>
      <c r="Q188" s="17">
        <f t="shared" si="49"/>
        <v>0</v>
      </c>
      <c r="R188">
        <v>0</v>
      </c>
      <c r="AW188" s="2">
        <f t="shared" si="48"/>
        <v>0</v>
      </c>
      <c r="AZ188" s="11">
        <f ca="1">IF(B188&lt;TODAY(), SUMIFS($AX$6:AX188, $BK$6:BK188, BK188), "")</f>
        <v>0</v>
      </c>
      <c r="BC188" s="15"/>
    </row>
    <row r="189" spans="2:55">
      <c r="B189" s="1">
        <v>46029</v>
      </c>
      <c r="P189" s="130">
        <f t="shared" si="51"/>
        <v>0</v>
      </c>
      <c r="Q189" s="17">
        <f t="shared" si="49"/>
        <v>0</v>
      </c>
      <c r="R189">
        <v>0</v>
      </c>
      <c r="AW189" s="2">
        <f t="shared" si="48"/>
        <v>0</v>
      </c>
      <c r="AZ189" s="11">
        <f ca="1">IF(B189&lt;TODAY(), SUMIFS($AX$6:AX189, $BK$6:BK189, BK189), "")</f>
        <v>0</v>
      </c>
      <c r="BC189" s="15"/>
    </row>
    <row r="190" spans="2:55">
      <c r="B190" s="1">
        <v>46030</v>
      </c>
      <c r="P190" s="130">
        <f t="shared" si="51"/>
        <v>0</v>
      </c>
      <c r="Q190" s="17">
        <f t="shared" si="49"/>
        <v>0</v>
      </c>
      <c r="R190">
        <v>0</v>
      </c>
      <c r="AW190" s="2">
        <f t="shared" si="48"/>
        <v>0</v>
      </c>
      <c r="AZ190" s="11">
        <f ca="1">IF(B190&lt;TODAY(), SUMIFS($AX$6:AX190, $BK$6:BK190, BK190), "")</f>
        <v>0</v>
      </c>
      <c r="BC190" s="15"/>
    </row>
    <row r="191" spans="2:55">
      <c r="B191" s="1">
        <v>46031</v>
      </c>
      <c r="P191" s="130">
        <f t="shared" si="51"/>
        <v>0</v>
      </c>
      <c r="Q191" s="17">
        <f t="shared" si="49"/>
        <v>0</v>
      </c>
      <c r="R191">
        <v>0</v>
      </c>
      <c r="AW191" s="2">
        <f t="shared" si="48"/>
        <v>0</v>
      </c>
      <c r="AZ191" s="11">
        <f ca="1">IF(B191&lt;TODAY(), SUMIFS($AX$6:AX191, $BK$6:BK191, BK191), "")</f>
        <v>0</v>
      </c>
      <c r="BC191" s="15"/>
    </row>
    <row r="192" spans="2:55">
      <c r="B192" s="1">
        <v>46032</v>
      </c>
      <c r="P192" s="130">
        <f t="shared" si="51"/>
        <v>0</v>
      </c>
      <c r="Q192" s="17">
        <f t="shared" si="49"/>
        <v>0</v>
      </c>
      <c r="R192">
        <v>0</v>
      </c>
      <c r="AW192" s="2">
        <f t="shared" si="48"/>
        <v>0</v>
      </c>
      <c r="AZ192" s="11">
        <f ca="1">IF(B192&lt;TODAY(), SUMIFS($AX$6:AX192, $BK$6:BK192, BK192), "")</f>
        <v>0</v>
      </c>
      <c r="BC192" s="15"/>
    </row>
    <row r="193" spans="2:55">
      <c r="B193" s="1">
        <v>46033</v>
      </c>
      <c r="P193" s="130">
        <f t="shared" si="51"/>
        <v>0</v>
      </c>
      <c r="Q193" s="17">
        <f t="shared" si="49"/>
        <v>0</v>
      </c>
      <c r="R193">
        <v>0</v>
      </c>
      <c r="AW193" s="2">
        <f t="shared" si="48"/>
        <v>0</v>
      </c>
      <c r="AZ193" s="11">
        <f ca="1">IF(B193&lt;TODAY(), SUMIFS($AX$6:AX193, $BK$6:BK193, BK193), "")</f>
        <v>0</v>
      </c>
      <c r="BC193" s="15"/>
    </row>
    <row r="194" spans="2:55">
      <c r="B194" s="1">
        <v>46034</v>
      </c>
      <c r="P194" s="130">
        <f t="shared" si="51"/>
        <v>0</v>
      </c>
      <c r="Q194" s="17">
        <f t="shared" si="49"/>
        <v>0</v>
      </c>
      <c r="R194">
        <v>0</v>
      </c>
      <c r="AW194" s="2">
        <f t="shared" si="48"/>
        <v>0</v>
      </c>
      <c r="AZ194" s="11">
        <f ca="1">IF(B194&lt;TODAY(), SUMIFS($AX$6:AX194, $BK$6:BK194, BK194), "")</f>
        <v>0</v>
      </c>
      <c r="BC194" s="15"/>
    </row>
    <row r="195" spans="2:55">
      <c r="B195" s="1">
        <v>46035</v>
      </c>
      <c r="P195" s="130">
        <f t="shared" si="51"/>
        <v>0</v>
      </c>
      <c r="Q195" s="17">
        <f t="shared" si="49"/>
        <v>0</v>
      </c>
      <c r="R195">
        <v>0</v>
      </c>
      <c r="AW195" s="2">
        <f t="shared" si="48"/>
        <v>0</v>
      </c>
      <c r="AZ195" s="11">
        <f ca="1">IF(B195&lt;TODAY(), SUMIFS($AX$6:AX195, $BK$6:BK195, BK195), "")</f>
        <v>0</v>
      </c>
      <c r="BC195" s="15"/>
    </row>
    <row r="196" spans="2:55">
      <c r="B196" s="1">
        <v>46036</v>
      </c>
      <c r="P196" s="130">
        <f t="shared" si="51"/>
        <v>0</v>
      </c>
      <c r="Q196" s="17">
        <f t="shared" si="49"/>
        <v>0</v>
      </c>
      <c r="R196">
        <v>0</v>
      </c>
      <c r="AW196" s="2">
        <f t="shared" si="48"/>
        <v>0</v>
      </c>
      <c r="AZ196" s="11">
        <f ca="1">IF(B196&lt;TODAY(), SUMIFS($AX$6:AX196, $BK$6:BK196, BK196), "")</f>
        <v>0</v>
      </c>
      <c r="BC196" s="15"/>
    </row>
    <row r="197" spans="2:55">
      <c r="B197" s="1">
        <v>46037</v>
      </c>
      <c r="P197" s="130">
        <f t="shared" si="51"/>
        <v>0</v>
      </c>
      <c r="Q197" s="17">
        <f t="shared" si="49"/>
        <v>0</v>
      </c>
      <c r="R197">
        <v>0</v>
      </c>
      <c r="AW197" s="2">
        <f t="shared" si="48"/>
        <v>0</v>
      </c>
      <c r="AZ197" s="11">
        <f ca="1">IF(B197&lt;TODAY(), SUMIFS($AX$6:AX197, $BK$6:BK197, BK197), "")</f>
        <v>0</v>
      </c>
      <c r="BC197" s="15"/>
    </row>
    <row r="198" spans="2:55">
      <c r="B198" s="1">
        <v>46038</v>
      </c>
      <c r="P198" s="130">
        <f t="shared" si="51"/>
        <v>0</v>
      </c>
      <c r="Q198" s="17">
        <f t="shared" si="49"/>
        <v>0</v>
      </c>
      <c r="R198">
        <v>0</v>
      </c>
      <c r="AW198" s="2">
        <f t="shared" si="48"/>
        <v>0</v>
      </c>
      <c r="AZ198" s="11">
        <f ca="1">IF(B198&lt;TODAY(), SUMIFS($AX$6:AX198, $BK$6:BK198, BK198), "")</f>
        <v>0</v>
      </c>
      <c r="BC198" s="15"/>
    </row>
    <row r="199" spans="2:55">
      <c r="B199" s="1">
        <v>46039</v>
      </c>
      <c r="P199" s="130">
        <f t="shared" si="51"/>
        <v>0</v>
      </c>
      <c r="Q199" s="17">
        <f t="shared" si="49"/>
        <v>0</v>
      </c>
      <c r="R199">
        <v>0</v>
      </c>
      <c r="AW199" s="2">
        <f t="shared" si="48"/>
        <v>0</v>
      </c>
      <c r="AZ199" s="11">
        <f ca="1">IF(B199&lt;TODAY(), SUMIFS($AX$6:AX199, $BK$6:BK199, BK199), "")</f>
        <v>0</v>
      </c>
      <c r="BC199" s="15"/>
    </row>
    <row r="200" spans="2:55">
      <c r="B200" s="1">
        <v>46040</v>
      </c>
      <c r="P200" s="130">
        <f t="shared" si="51"/>
        <v>0</v>
      </c>
      <c r="Q200" s="17">
        <f t="shared" si="49"/>
        <v>0</v>
      </c>
      <c r="R200">
        <v>0</v>
      </c>
      <c r="AW200" s="2">
        <f t="shared" ref="AW200:AW263" si="52">($AH$3*AH200)+($AI$3*AI200)+($AJ$3*AJ200)+($AL$3*AL200)+($AN$3*AN200)+($AO$3*AO200)+($AP$3*AP200)+($AQ$3*AQ200)+($AR$3*AR200)+($AS$3*AS200)+AV200</f>
        <v>0</v>
      </c>
      <c r="AZ200" s="11">
        <f ca="1">IF(B200&lt;TODAY(), SUMIFS($AX$6:AX200, $BK$6:BK200, BK200), "")</f>
        <v>0</v>
      </c>
      <c r="BC200" s="15"/>
    </row>
    <row r="201" spans="2:55">
      <c r="B201" s="1">
        <v>46041</v>
      </c>
      <c r="P201" s="130">
        <f t="shared" si="51"/>
        <v>0</v>
      </c>
      <c r="Q201" s="17">
        <f t="shared" si="49"/>
        <v>0</v>
      </c>
      <c r="R201">
        <v>0</v>
      </c>
      <c r="AW201" s="2">
        <f t="shared" si="52"/>
        <v>0</v>
      </c>
      <c r="AZ201" s="11">
        <f ca="1">IF(B201&lt;TODAY(), SUMIFS($AX$6:AX201, $BK$6:BK201, BK201), "")</f>
        <v>0</v>
      </c>
      <c r="BC201" s="15"/>
    </row>
    <row r="202" spans="2:55">
      <c r="B202" s="1">
        <v>46042</v>
      </c>
      <c r="P202" s="130">
        <f t="shared" si="51"/>
        <v>0</v>
      </c>
      <c r="Q202" s="17">
        <f t="shared" ref="Q202:Q263" si="53">(J202*$J$3)+(K202*$K$3)+(L202*$L$3)+(M202*$M$3)+(N202*$N$3)+(O202*$O$3)</f>
        <v>0</v>
      </c>
      <c r="R202">
        <v>0</v>
      </c>
      <c r="AW202" s="2">
        <f t="shared" si="52"/>
        <v>0</v>
      </c>
      <c r="AZ202" s="11">
        <f ca="1">IF(B202&lt;TODAY(), SUMIFS($AX$6:AX202, $BK$6:BK202, BK202), "")</f>
        <v>0</v>
      </c>
      <c r="BC202" s="15"/>
    </row>
    <row r="203" spans="2:55">
      <c r="B203" s="1">
        <v>46043</v>
      </c>
      <c r="P203" s="130">
        <f t="shared" si="51"/>
        <v>0</v>
      </c>
      <c r="Q203" s="17">
        <f t="shared" si="53"/>
        <v>0</v>
      </c>
      <c r="R203">
        <v>0</v>
      </c>
      <c r="AW203" s="2">
        <f t="shared" si="52"/>
        <v>0</v>
      </c>
      <c r="AZ203" s="11">
        <f ca="1">IF(B203&lt;TODAY(), SUMIFS($AX$6:AX203, $BK$6:BK203, BK203), "")</f>
        <v>0</v>
      </c>
      <c r="BC203" s="15"/>
    </row>
    <row r="204" spans="2:55">
      <c r="B204" s="1">
        <v>46044</v>
      </c>
      <c r="P204" s="130">
        <f t="shared" ref="P204:P263" si="54">J204+K204+L204+M204+N204+O204</f>
        <v>0</v>
      </c>
      <c r="Q204" s="17">
        <f t="shared" si="53"/>
        <v>0</v>
      </c>
      <c r="R204">
        <v>0</v>
      </c>
      <c r="AW204" s="2">
        <f t="shared" si="52"/>
        <v>0</v>
      </c>
      <c r="AZ204" s="11">
        <f ca="1">IF(B204&lt;TODAY(), SUMIFS($AX$6:AX204, $BK$6:BK204, BK204), "")</f>
        <v>0</v>
      </c>
      <c r="BC204" s="15"/>
    </row>
    <row r="205" spans="2:55">
      <c r="B205" s="1">
        <v>46045</v>
      </c>
      <c r="P205" s="130">
        <f t="shared" si="54"/>
        <v>0</v>
      </c>
      <c r="Q205" s="17">
        <f t="shared" si="53"/>
        <v>0</v>
      </c>
      <c r="R205">
        <v>0</v>
      </c>
      <c r="AW205" s="2">
        <f t="shared" si="52"/>
        <v>0</v>
      </c>
      <c r="AZ205" s="11">
        <f ca="1">IF(B205&lt;TODAY(), SUMIFS($AX$6:AX205, $BK$6:BK205, BK205), "")</f>
        <v>0</v>
      </c>
      <c r="BC205" s="15"/>
    </row>
    <row r="206" spans="2:55">
      <c r="B206" s="1">
        <v>46046</v>
      </c>
      <c r="P206" s="130">
        <f t="shared" si="54"/>
        <v>0</v>
      </c>
      <c r="Q206" s="17">
        <f t="shared" si="53"/>
        <v>0</v>
      </c>
      <c r="R206">
        <v>0</v>
      </c>
      <c r="AW206" s="2">
        <f t="shared" si="52"/>
        <v>0</v>
      </c>
      <c r="AZ206" s="11">
        <f ca="1">IF(B206&lt;TODAY(), SUMIFS($AX$6:AX206, $BK$6:BK206, BK206), "")</f>
        <v>0</v>
      </c>
      <c r="BC206" s="15"/>
    </row>
    <row r="207" spans="2:55">
      <c r="B207" s="1">
        <v>46047</v>
      </c>
      <c r="P207" s="130">
        <f t="shared" si="54"/>
        <v>0</v>
      </c>
      <c r="Q207" s="17">
        <f t="shared" si="53"/>
        <v>0</v>
      </c>
      <c r="R207">
        <v>0</v>
      </c>
      <c r="AW207" s="2">
        <f t="shared" si="52"/>
        <v>0</v>
      </c>
      <c r="AZ207" s="11">
        <f ca="1">IF(B207&lt;TODAY(), SUMIFS($AX$6:AX207, $BK$6:BK207, BK207), "")</f>
        <v>0</v>
      </c>
      <c r="BC207" s="15"/>
    </row>
    <row r="208" spans="2:55">
      <c r="B208" s="1">
        <v>46048</v>
      </c>
      <c r="P208" s="130">
        <f t="shared" si="54"/>
        <v>0</v>
      </c>
      <c r="Q208" s="17">
        <f t="shared" si="53"/>
        <v>0</v>
      </c>
      <c r="R208">
        <v>0</v>
      </c>
      <c r="AW208" s="2">
        <f t="shared" si="52"/>
        <v>0</v>
      </c>
      <c r="AZ208" s="11">
        <f ca="1">IF(B208&lt;TODAY(), SUMIFS($AX$6:AX208, $BK$6:BK208, BK208), "")</f>
        <v>0</v>
      </c>
      <c r="BC208" s="15"/>
    </row>
    <row r="209" spans="2:55">
      <c r="B209" s="1">
        <v>46049</v>
      </c>
      <c r="P209" s="130">
        <f t="shared" si="54"/>
        <v>0</v>
      </c>
      <c r="Q209" s="17">
        <f t="shared" si="53"/>
        <v>0</v>
      </c>
      <c r="R209">
        <v>0</v>
      </c>
      <c r="AW209" s="2">
        <f t="shared" si="52"/>
        <v>0</v>
      </c>
      <c r="AZ209" s="11">
        <f ca="1">IF(B209&lt;TODAY(), SUMIFS($AX$6:AX209, $BK$6:BK209, BK209), "")</f>
        <v>0</v>
      </c>
      <c r="BC209" s="15"/>
    </row>
    <row r="210" spans="2:55">
      <c r="B210" s="1">
        <v>46050</v>
      </c>
      <c r="P210" s="130">
        <f t="shared" si="54"/>
        <v>0</v>
      </c>
      <c r="Q210" s="17">
        <f t="shared" si="53"/>
        <v>0</v>
      </c>
      <c r="R210">
        <v>0</v>
      </c>
      <c r="AW210" s="2">
        <f t="shared" si="52"/>
        <v>0</v>
      </c>
      <c r="AZ210" s="11">
        <f ca="1">IF(B210&lt;TODAY(), SUMIFS($AX$6:AX210, $BK$6:BK210, BK210), "")</f>
        <v>0</v>
      </c>
      <c r="BC210" s="15"/>
    </row>
    <row r="211" spans="2:55">
      <c r="B211" s="1">
        <v>46051</v>
      </c>
      <c r="P211" s="130">
        <f t="shared" si="54"/>
        <v>0</v>
      </c>
      <c r="Q211" s="17">
        <f t="shared" si="53"/>
        <v>0</v>
      </c>
      <c r="R211">
        <v>0</v>
      </c>
      <c r="AW211" s="2">
        <f t="shared" si="52"/>
        <v>0</v>
      </c>
      <c r="AZ211" s="11">
        <f ca="1">IF(B211&lt;TODAY(), SUMIFS($AX$6:AX211, $BK$6:BK211, BK211), "")</f>
        <v>0</v>
      </c>
      <c r="BC211" s="15"/>
    </row>
    <row r="212" spans="2:55">
      <c r="B212" s="1">
        <v>46052</v>
      </c>
      <c r="P212" s="130">
        <f t="shared" si="54"/>
        <v>0</v>
      </c>
      <c r="Q212" s="17">
        <f t="shared" si="53"/>
        <v>0</v>
      </c>
      <c r="R212">
        <v>0</v>
      </c>
      <c r="AW212" s="2">
        <f t="shared" si="52"/>
        <v>0</v>
      </c>
      <c r="AZ212" s="11">
        <f ca="1">IF(B212&lt;TODAY(), SUMIFS($AX$6:AX212, $BK$6:BK212, BK212), "")</f>
        <v>0</v>
      </c>
      <c r="BC212" s="15"/>
    </row>
    <row r="213" spans="2:55">
      <c r="B213" s="1">
        <v>46053</v>
      </c>
      <c r="P213" s="130">
        <f t="shared" si="54"/>
        <v>0</v>
      </c>
      <c r="Q213" s="17">
        <f t="shared" si="53"/>
        <v>0</v>
      </c>
      <c r="R213">
        <v>0</v>
      </c>
      <c r="AW213" s="2">
        <f t="shared" si="52"/>
        <v>0</v>
      </c>
      <c r="AZ213" s="11">
        <f ca="1">IF(B213&lt;TODAY(), SUMIFS($AX$6:AX213, $BK$6:BK213, BK213), "")</f>
        <v>0</v>
      </c>
      <c r="BC213" s="15"/>
    </row>
    <row r="214" spans="2:55">
      <c r="B214" s="1">
        <v>46054</v>
      </c>
      <c r="P214" s="130">
        <f t="shared" si="54"/>
        <v>0</v>
      </c>
      <c r="Q214" s="17">
        <f t="shared" si="53"/>
        <v>0</v>
      </c>
      <c r="R214">
        <v>0</v>
      </c>
      <c r="AW214" s="2">
        <f t="shared" si="52"/>
        <v>0</v>
      </c>
      <c r="AZ214" s="11">
        <f ca="1">IF(B214&lt;TODAY(), SUMIFS($AX$6:AX214, $BK$6:BK214, BK214), "")</f>
        <v>0</v>
      </c>
      <c r="BC214" s="15"/>
    </row>
    <row r="215" spans="2:55">
      <c r="B215" s="1">
        <v>46055</v>
      </c>
      <c r="P215" s="130">
        <f t="shared" si="54"/>
        <v>0</v>
      </c>
      <c r="Q215" s="17">
        <f t="shared" si="53"/>
        <v>0</v>
      </c>
      <c r="R215">
        <v>0</v>
      </c>
      <c r="AW215" s="2">
        <f t="shared" si="52"/>
        <v>0</v>
      </c>
      <c r="AZ215" s="11">
        <f ca="1">IF(B215&lt;TODAY(), SUMIFS($AX$6:AX215, $BK$6:BK215, BK215), "")</f>
        <v>0</v>
      </c>
      <c r="BC215" s="15"/>
    </row>
    <row r="216" spans="2:55">
      <c r="B216" s="1">
        <v>46056</v>
      </c>
      <c r="P216" s="130">
        <f t="shared" si="54"/>
        <v>0</v>
      </c>
      <c r="Q216" s="17">
        <f t="shared" si="53"/>
        <v>0</v>
      </c>
      <c r="R216">
        <v>0</v>
      </c>
      <c r="AW216" s="2">
        <f t="shared" si="52"/>
        <v>0</v>
      </c>
      <c r="AZ216" s="11">
        <f ca="1">IF(B216&lt;TODAY(), SUMIFS($AX$6:AX216, $BK$6:BK216, BK216), "")</f>
        <v>0</v>
      </c>
      <c r="BC216" s="15"/>
    </row>
    <row r="217" spans="2:55">
      <c r="B217" s="1">
        <v>46057</v>
      </c>
      <c r="P217" s="130">
        <f t="shared" si="54"/>
        <v>0</v>
      </c>
      <c r="Q217" s="17">
        <f t="shared" si="53"/>
        <v>0</v>
      </c>
      <c r="R217">
        <v>0</v>
      </c>
      <c r="AW217" s="2">
        <f t="shared" si="52"/>
        <v>0</v>
      </c>
      <c r="AZ217" s="11">
        <f ca="1">IF(B217&lt;TODAY(), SUMIFS($AX$6:AX217, $BK$6:BK217, BK217), "")</f>
        <v>0</v>
      </c>
      <c r="BC217" s="15"/>
    </row>
    <row r="218" spans="2:55">
      <c r="B218" s="1">
        <v>46058</v>
      </c>
      <c r="P218" s="130">
        <f t="shared" si="54"/>
        <v>0</v>
      </c>
      <c r="Q218" s="17">
        <f t="shared" si="53"/>
        <v>0</v>
      </c>
      <c r="R218">
        <v>0</v>
      </c>
      <c r="AW218" s="2">
        <f t="shared" si="52"/>
        <v>0</v>
      </c>
      <c r="AZ218" s="11">
        <f ca="1">IF(B218&lt;TODAY(), SUMIFS($AX$6:AX218, $BK$6:BK218, BK218), "")</f>
        <v>0</v>
      </c>
      <c r="BC218" s="15"/>
    </row>
    <row r="219" spans="2:55">
      <c r="B219" s="1">
        <v>46059</v>
      </c>
      <c r="P219" s="130">
        <f t="shared" si="54"/>
        <v>0</v>
      </c>
      <c r="Q219" s="17">
        <f t="shared" si="53"/>
        <v>0</v>
      </c>
      <c r="R219">
        <v>0</v>
      </c>
      <c r="AW219" s="2">
        <f t="shared" si="52"/>
        <v>0</v>
      </c>
      <c r="AZ219" s="11">
        <f ca="1">IF(B219&lt;TODAY(), SUMIFS($AX$6:AX219, $BK$6:BK219, BK219), "")</f>
        <v>0</v>
      </c>
      <c r="BC219" s="15"/>
    </row>
    <row r="220" spans="2:55">
      <c r="B220" s="1">
        <v>46060</v>
      </c>
      <c r="P220" s="130">
        <f t="shared" si="54"/>
        <v>0</v>
      </c>
      <c r="Q220" s="17">
        <f t="shared" si="53"/>
        <v>0</v>
      </c>
      <c r="R220">
        <v>0</v>
      </c>
      <c r="AW220" s="2">
        <f t="shared" si="52"/>
        <v>0</v>
      </c>
      <c r="AZ220" s="11">
        <f ca="1">IF(B220&lt;TODAY(), SUMIFS($AX$6:AX220, $BK$6:BK220, BK220), "")</f>
        <v>0</v>
      </c>
      <c r="BC220" s="15"/>
    </row>
    <row r="221" spans="2:55">
      <c r="B221" s="1">
        <v>46061</v>
      </c>
      <c r="P221" s="130">
        <f t="shared" si="54"/>
        <v>0</v>
      </c>
      <c r="Q221" s="17">
        <f t="shared" si="53"/>
        <v>0</v>
      </c>
      <c r="R221">
        <v>0</v>
      </c>
      <c r="AW221" s="2">
        <f t="shared" si="52"/>
        <v>0</v>
      </c>
      <c r="AZ221" s="11">
        <f ca="1">IF(B221&lt;TODAY(), SUMIFS($AX$6:AX221, $BK$6:BK221, BK221), "")</f>
        <v>0</v>
      </c>
      <c r="BC221" s="15"/>
    </row>
    <row r="222" spans="2:55">
      <c r="B222" s="1">
        <v>46062</v>
      </c>
      <c r="P222" s="130">
        <f t="shared" si="54"/>
        <v>0</v>
      </c>
      <c r="Q222" s="17">
        <f t="shared" si="53"/>
        <v>0</v>
      </c>
      <c r="R222">
        <v>0</v>
      </c>
      <c r="AW222" s="2">
        <f t="shared" si="52"/>
        <v>0</v>
      </c>
      <c r="AZ222" s="11">
        <f ca="1">IF(B222&lt;TODAY(), SUMIFS($AX$6:AX222, $BK$6:BK222, BK222), "")</f>
        <v>0</v>
      </c>
      <c r="BC222" s="15"/>
    </row>
    <row r="223" spans="2:55">
      <c r="B223" s="1">
        <v>46063</v>
      </c>
      <c r="P223" s="130">
        <f t="shared" si="54"/>
        <v>0</v>
      </c>
      <c r="Q223" s="17">
        <f t="shared" si="53"/>
        <v>0</v>
      </c>
      <c r="R223">
        <v>0</v>
      </c>
      <c r="AW223" s="2">
        <f t="shared" si="52"/>
        <v>0</v>
      </c>
      <c r="AZ223" s="11">
        <f ca="1">IF(B223&lt;TODAY(), SUMIFS($AX$6:AX223, $BK$6:BK223, BK223), "")</f>
        <v>0</v>
      </c>
      <c r="BC223" s="15"/>
    </row>
    <row r="224" spans="2:55">
      <c r="B224" s="1">
        <v>46064</v>
      </c>
      <c r="P224" s="130">
        <f t="shared" si="54"/>
        <v>0</v>
      </c>
      <c r="Q224" s="17">
        <f t="shared" si="53"/>
        <v>0</v>
      </c>
      <c r="R224">
        <v>0</v>
      </c>
      <c r="AW224" s="2">
        <f t="shared" si="52"/>
        <v>0</v>
      </c>
      <c r="AZ224" s="11">
        <f ca="1">IF(B224&lt;TODAY(), SUMIFS($AX$6:AX224, $BK$6:BK224, BK224), "")</f>
        <v>0</v>
      </c>
      <c r="BC224" s="15"/>
    </row>
    <row r="225" spans="2:55">
      <c r="B225" s="1">
        <v>46065</v>
      </c>
      <c r="P225" s="130">
        <f t="shared" si="54"/>
        <v>0</v>
      </c>
      <c r="Q225" s="17">
        <f t="shared" si="53"/>
        <v>0</v>
      </c>
      <c r="R225">
        <v>0</v>
      </c>
      <c r="AW225" s="2">
        <f t="shared" si="52"/>
        <v>0</v>
      </c>
      <c r="AZ225" s="11">
        <f ca="1">IF(B225&lt;TODAY(), SUMIFS($AX$6:AX225, $BK$6:BK225, BK225), "")</f>
        <v>0</v>
      </c>
      <c r="BC225" s="15"/>
    </row>
    <row r="226" spans="2:55">
      <c r="B226" s="1">
        <v>46066</v>
      </c>
      <c r="P226" s="130">
        <f t="shared" si="54"/>
        <v>0</v>
      </c>
      <c r="Q226" s="17">
        <f t="shared" si="53"/>
        <v>0</v>
      </c>
      <c r="R226">
        <v>0</v>
      </c>
      <c r="AW226" s="2">
        <f t="shared" si="52"/>
        <v>0</v>
      </c>
      <c r="AZ226" s="11">
        <f ca="1">IF(B226&lt;TODAY(), SUMIFS($AX$6:AX226, $BK$6:BK226, BK226), "")</f>
        <v>0</v>
      </c>
      <c r="BC226" s="15"/>
    </row>
    <row r="227" spans="2:55">
      <c r="B227" s="1">
        <v>46067</v>
      </c>
      <c r="P227" s="130">
        <f t="shared" si="54"/>
        <v>0</v>
      </c>
      <c r="Q227" s="17">
        <f t="shared" si="53"/>
        <v>0</v>
      </c>
      <c r="R227">
        <v>0</v>
      </c>
      <c r="AW227" s="2">
        <f t="shared" si="52"/>
        <v>0</v>
      </c>
      <c r="AZ227" s="11">
        <f ca="1">IF(B227&lt;TODAY(), SUMIFS($AX$6:AX227, $BK$6:BK227, BK227), "")</f>
        <v>0</v>
      </c>
      <c r="BC227" s="15"/>
    </row>
    <row r="228" spans="2:55">
      <c r="B228" s="1">
        <v>46068</v>
      </c>
      <c r="P228" s="130">
        <f t="shared" si="54"/>
        <v>0</v>
      </c>
      <c r="Q228" s="17">
        <f t="shared" si="53"/>
        <v>0</v>
      </c>
      <c r="R228">
        <v>0</v>
      </c>
      <c r="AW228" s="2">
        <f t="shared" si="52"/>
        <v>0</v>
      </c>
      <c r="AZ228" s="11">
        <f ca="1">IF(B228&lt;TODAY(), SUMIFS($AX$6:AX228, $BK$6:BK228, BK228), "")</f>
        <v>0</v>
      </c>
      <c r="BC228" s="15"/>
    </row>
    <row r="229" spans="2:55">
      <c r="B229" s="1">
        <v>46069</v>
      </c>
      <c r="P229" s="130">
        <f t="shared" si="54"/>
        <v>0</v>
      </c>
      <c r="Q229" s="17">
        <f t="shared" si="53"/>
        <v>0</v>
      </c>
      <c r="R229">
        <v>0</v>
      </c>
      <c r="AW229" s="2">
        <f t="shared" si="52"/>
        <v>0</v>
      </c>
      <c r="AZ229" s="11">
        <f ca="1">IF(B229&lt;TODAY(), SUMIFS($AX$6:AX229, $BK$6:BK229, BK229), "")</f>
        <v>0</v>
      </c>
      <c r="BC229" s="15"/>
    </row>
    <row r="230" spans="2:55">
      <c r="B230" s="1">
        <v>46070</v>
      </c>
      <c r="P230" s="130">
        <f t="shared" si="54"/>
        <v>0</v>
      </c>
      <c r="Q230" s="17">
        <f t="shared" si="53"/>
        <v>0</v>
      </c>
      <c r="R230">
        <v>0</v>
      </c>
      <c r="AW230" s="2">
        <f t="shared" si="52"/>
        <v>0</v>
      </c>
      <c r="AZ230" s="11">
        <f ca="1">IF(B230&lt;TODAY(), SUMIFS($AX$6:AX230, $BK$6:BK230, BK230), "")</f>
        <v>0</v>
      </c>
      <c r="BC230" s="15"/>
    </row>
    <row r="231" spans="2:55">
      <c r="B231" s="1">
        <v>46071</v>
      </c>
      <c r="P231" s="130">
        <f t="shared" si="54"/>
        <v>0</v>
      </c>
      <c r="Q231" s="17">
        <f t="shared" si="53"/>
        <v>0</v>
      </c>
      <c r="R231">
        <v>0</v>
      </c>
      <c r="AW231" s="2">
        <f t="shared" si="52"/>
        <v>0</v>
      </c>
      <c r="AZ231" s="11">
        <f ca="1">IF(B231&lt;TODAY(), SUMIFS($AX$6:AX231, $BK$6:BK231, BK231), "")</f>
        <v>0</v>
      </c>
      <c r="BC231" s="15"/>
    </row>
    <row r="232" spans="2:55">
      <c r="B232" s="1">
        <v>46072</v>
      </c>
      <c r="P232" s="130">
        <f t="shared" si="54"/>
        <v>0</v>
      </c>
      <c r="Q232" s="17">
        <f t="shared" si="53"/>
        <v>0</v>
      </c>
      <c r="R232">
        <v>0</v>
      </c>
      <c r="AW232" s="2">
        <f t="shared" si="52"/>
        <v>0</v>
      </c>
      <c r="AZ232" s="11">
        <f ca="1">IF(B232&lt;TODAY(), SUMIFS($AX$6:AX232, $BK$6:BK232, BK232), "")</f>
        <v>0</v>
      </c>
      <c r="BC232" s="15"/>
    </row>
    <row r="233" spans="2:55">
      <c r="B233" s="1">
        <v>46073</v>
      </c>
      <c r="P233" s="130">
        <f t="shared" si="54"/>
        <v>0</v>
      </c>
      <c r="Q233" s="17">
        <f t="shared" si="53"/>
        <v>0</v>
      </c>
      <c r="R233">
        <v>0</v>
      </c>
      <c r="AW233" s="2">
        <f t="shared" si="52"/>
        <v>0</v>
      </c>
      <c r="AZ233" s="11">
        <f ca="1">IF(B233&lt;TODAY(), SUMIFS($AX$6:AX233, $BK$6:BK233, BK233), "")</f>
        <v>0</v>
      </c>
      <c r="BC233" s="15"/>
    </row>
    <row r="234" spans="2:55">
      <c r="B234" s="1">
        <v>46074</v>
      </c>
      <c r="P234" s="130">
        <f t="shared" si="54"/>
        <v>0</v>
      </c>
      <c r="Q234" s="17">
        <f t="shared" si="53"/>
        <v>0</v>
      </c>
      <c r="R234">
        <v>0</v>
      </c>
      <c r="AW234" s="2">
        <f t="shared" si="52"/>
        <v>0</v>
      </c>
      <c r="AZ234" s="11">
        <f ca="1">IF(B234&lt;TODAY(), SUMIFS($AX$6:AX234, $BK$6:BK234, BK234), "")</f>
        <v>0</v>
      </c>
      <c r="BC234" s="15"/>
    </row>
    <row r="235" spans="2:55">
      <c r="B235" s="1">
        <v>46075</v>
      </c>
      <c r="P235" s="130">
        <f t="shared" si="54"/>
        <v>0</v>
      </c>
      <c r="Q235" s="17">
        <f t="shared" si="53"/>
        <v>0</v>
      </c>
      <c r="R235">
        <v>0</v>
      </c>
      <c r="AW235" s="2">
        <f t="shared" si="52"/>
        <v>0</v>
      </c>
      <c r="AZ235" s="11">
        <f ca="1">IF(B235&lt;TODAY(), SUMIFS($AX$6:AX235, $BK$6:BK235, BK235), "")</f>
        <v>0</v>
      </c>
      <c r="BC235" s="15"/>
    </row>
    <row r="236" spans="2:55">
      <c r="B236" s="1">
        <v>46076</v>
      </c>
      <c r="P236" s="130">
        <f t="shared" si="54"/>
        <v>0</v>
      </c>
      <c r="Q236" s="17">
        <f t="shared" si="53"/>
        <v>0</v>
      </c>
      <c r="R236">
        <v>0</v>
      </c>
      <c r="AW236" s="2">
        <f t="shared" si="52"/>
        <v>0</v>
      </c>
      <c r="AZ236" s="11">
        <f ca="1">IF(B236&lt;TODAY(), SUMIFS($AX$6:AX236, $BK$6:BK236, BK236), "")</f>
        <v>0</v>
      </c>
      <c r="BC236" s="15"/>
    </row>
    <row r="237" spans="2:55">
      <c r="B237" s="1">
        <v>46077</v>
      </c>
      <c r="P237" s="130">
        <f t="shared" si="54"/>
        <v>0</v>
      </c>
      <c r="Q237" s="17">
        <f t="shared" si="53"/>
        <v>0</v>
      </c>
      <c r="R237">
        <v>0</v>
      </c>
      <c r="AW237" s="2">
        <f t="shared" si="52"/>
        <v>0</v>
      </c>
      <c r="AZ237" s="11">
        <f ca="1">IF(B237&lt;TODAY(), SUMIFS($AX$6:AX237, $BK$6:BK237, BK237), "")</f>
        <v>0</v>
      </c>
      <c r="BC237" s="15"/>
    </row>
    <row r="238" spans="2:55">
      <c r="B238" s="1">
        <v>46078</v>
      </c>
      <c r="P238" s="130">
        <f t="shared" si="54"/>
        <v>0</v>
      </c>
      <c r="Q238" s="17">
        <f t="shared" si="53"/>
        <v>0</v>
      </c>
      <c r="R238">
        <v>0</v>
      </c>
      <c r="AW238" s="2">
        <f t="shared" si="52"/>
        <v>0</v>
      </c>
      <c r="AZ238" s="11">
        <f ca="1">IF(B238&lt;TODAY(), SUMIFS($AX$6:AX238, $BK$6:BK238, BK238), "")</f>
        <v>0</v>
      </c>
      <c r="BC238" s="15"/>
    </row>
    <row r="239" spans="2:55">
      <c r="B239" s="1">
        <v>46079</v>
      </c>
      <c r="P239" s="130">
        <f t="shared" si="54"/>
        <v>0</v>
      </c>
      <c r="Q239" s="17">
        <f t="shared" si="53"/>
        <v>0</v>
      </c>
      <c r="R239">
        <v>0</v>
      </c>
      <c r="AW239" s="2">
        <f t="shared" si="52"/>
        <v>0</v>
      </c>
      <c r="AZ239" s="11">
        <f ca="1">IF(B239&lt;TODAY(), SUMIFS($AX$6:AX239, $BK$6:BK239, BK239), "")</f>
        <v>0</v>
      </c>
      <c r="BC239" s="15"/>
    </row>
    <row r="240" spans="2:55">
      <c r="B240" s="1">
        <v>46080</v>
      </c>
      <c r="P240" s="130">
        <f t="shared" si="54"/>
        <v>0</v>
      </c>
      <c r="Q240" s="17">
        <f t="shared" si="53"/>
        <v>0</v>
      </c>
      <c r="R240">
        <v>0</v>
      </c>
      <c r="AW240" s="2">
        <f t="shared" si="52"/>
        <v>0</v>
      </c>
      <c r="AZ240" s="11">
        <f ca="1">IF(B240&lt;TODAY(), SUMIFS($AX$6:AX240, $BK$6:BK240, BK240), "")</f>
        <v>0</v>
      </c>
      <c r="BC240" s="15"/>
    </row>
    <row r="241" spans="2:55">
      <c r="B241" s="1">
        <v>46081</v>
      </c>
      <c r="P241" s="130">
        <f t="shared" si="54"/>
        <v>0</v>
      </c>
      <c r="Q241" s="17">
        <f t="shared" si="53"/>
        <v>0</v>
      </c>
      <c r="R241">
        <v>0</v>
      </c>
      <c r="AW241" s="2">
        <f t="shared" si="52"/>
        <v>0</v>
      </c>
      <c r="AZ241" s="11">
        <f ca="1">IF(B241&lt;TODAY(), SUMIFS($AX$6:AX241, $BK$6:BK241, BK241), "")</f>
        <v>0</v>
      </c>
      <c r="BC241" s="15"/>
    </row>
    <row r="242" spans="2:55">
      <c r="B242" s="1">
        <v>46082</v>
      </c>
      <c r="P242" s="130">
        <f t="shared" si="54"/>
        <v>0</v>
      </c>
      <c r="Q242" s="17">
        <f t="shared" si="53"/>
        <v>0</v>
      </c>
      <c r="R242">
        <v>0</v>
      </c>
      <c r="AW242" s="2">
        <f t="shared" si="52"/>
        <v>0</v>
      </c>
      <c r="AZ242" s="11">
        <f ca="1">IF(B242&lt;TODAY(), SUMIFS($AX$6:AX242, $BK$6:BK242, BK242), "")</f>
        <v>0</v>
      </c>
      <c r="BC242" s="15"/>
    </row>
    <row r="243" spans="2:55">
      <c r="B243" s="1">
        <v>46083</v>
      </c>
      <c r="P243" s="130">
        <f t="shared" si="54"/>
        <v>0</v>
      </c>
      <c r="Q243" s="17">
        <f t="shared" si="53"/>
        <v>0</v>
      </c>
      <c r="R243">
        <v>0</v>
      </c>
      <c r="AW243" s="2">
        <f t="shared" si="52"/>
        <v>0</v>
      </c>
      <c r="AZ243" s="11">
        <f ca="1">IF(B243&lt;TODAY(), SUMIFS($AX$6:AX243, $BK$6:BK243, BK243), "")</f>
        <v>0</v>
      </c>
      <c r="BC243" s="15"/>
    </row>
    <row r="244" spans="2:55">
      <c r="B244" s="1">
        <v>46084</v>
      </c>
      <c r="P244" s="130">
        <f t="shared" si="54"/>
        <v>0</v>
      </c>
      <c r="Q244" s="17">
        <f t="shared" si="53"/>
        <v>0</v>
      </c>
      <c r="R244">
        <v>0</v>
      </c>
      <c r="AW244" s="2">
        <f t="shared" si="52"/>
        <v>0</v>
      </c>
      <c r="AZ244" s="11">
        <f ca="1">IF(B244&lt;TODAY(), SUMIFS($AX$6:AX244, $BK$6:BK244, BK244), "")</f>
        <v>0</v>
      </c>
      <c r="BC244" s="15"/>
    </row>
    <row r="245" spans="2:55">
      <c r="B245" s="1">
        <v>46085</v>
      </c>
      <c r="P245" s="130">
        <f t="shared" si="54"/>
        <v>0</v>
      </c>
      <c r="Q245" s="17">
        <f t="shared" si="53"/>
        <v>0</v>
      </c>
      <c r="R245">
        <v>0</v>
      </c>
      <c r="AW245" s="2">
        <f t="shared" si="52"/>
        <v>0</v>
      </c>
      <c r="AZ245" s="11">
        <f ca="1">IF(B245&lt;TODAY(), SUMIFS($AX$6:AX245, $BK$6:BK245, BK245), "")</f>
        <v>0</v>
      </c>
      <c r="BC245" s="15"/>
    </row>
    <row r="246" spans="2:55">
      <c r="B246" s="1">
        <v>46086</v>
      </c>
      <c r="P246" s="130">
        <f t="shared" si="54"/>
        <v>0</v>
      </c>
      <c r="Q246" s="17">
        <f t="shared" si="53"/>
        <v>0</v>
      </c>
      <c r="R246">
        <v>0</v>
      </c>
      <c r="AW246" s="2">
        <f t="shared" si="52"/>
        <v>0</v>
      </c>
      <c r="AZ246" s="11">
        <f ca="1">IF(B246&lt;TODAY(), SUMIFS($AX$6:AX246, $BK$6:BK246, BK246), "")</f>
        <v>0</v>
      </c>
      <c r="BC246" s="15"/>
    </row>
    <row r="247" spans="2:55">
      <c r="B247" s="1">
        <v>46087</v>
      </c>
      <c r="P247" s="130">
        <f t="shared" si="54"/>
        <v>0</v>
      </c>
      <c r="Q247" s="17">
        <f t="shared" si="53"/>
        <v>0</v>
      </c>
      <c r="R247">
        <v>0</v>
      </c>
      <c r="AW247" s="2">
        <f t="shared" si="52"/>
        <v>0</v>
      </c>
      <c r="AZ247" s="11">
        <f ca="1">IF(B247&lt;TODAY(), SUMIFS($AX$6:AX247, $BK$6:BK247, BK247), "")</f>
        <v>0</v>
      </c>
      <c r="BC247" s="15"/>
    </row>
    <row r="248" spans="2:55">
      <c r="B248" s="1">
        <v>46088</v>
      </c>
      <c r="P248" s="130">
        <f t="shared" si="54"/>
        <v>0</v>
      </c>
      <c r="Q248" s="17">
        <f t="shared" si="53"/>
        <v>0</v>
      </c>
      <c r="R248">
        <v>0</v>
      </c>
      <c r="AW248" s="2">
        <f t="shared" si="52"/>
        <v>0</v>
      </c>
      <c r="AZ248" s="11">
        <f ca="1">IF(B248&lt;TODAY(), SUMIFS($AX$6:AX248, $BK$6:BK248, BK248), "")</f>
        <v>0</v>
      </c>
      <c r="BC248" s="15"/>
    </row>
    <row r="249" spans="2:55">
      <c r="B249" s="1">
        <v>46089</v>
      </c>
      <c r="P249" s="130">
        <f t="shared" si="54"/>
        <v>0</v>
      </c>
      <c r="Q249" s="17">
        <f t="shared" si="53"/>
        <v>0</v>
      </c>
      <c r="R249">
        <v>0</v>
      </c>
      <c r="AW249" s="2">
        <f t="shared" si="52"/>
        <v>0</v>
      </c>
      <c r="AZ249" s="11">
        <f ca="1">IF(B249&lt;TODAY(), SUMIFS($AX$6:AX249, $BK$6:BK249, BK249), "")</f>
        <v>0</v>
      </c>
      <c r="BC249" s="15"/>
    </row>
    <row r="250" spans="2:55">
      <c r="B250" s="1">
        <v>46090</v>
      </c>
      <c r="P250" s="130">
        <f t="shared" si="54"/>
        <v>0</v>
      </c>
      <c r="Q250" s="17">
        <f t="shared" si="53"/>
        <v>0</v>
      </c>
      <c r="R250">
        <v>0</v>
      </c>
      <c r="AW250" s="2">
        <f t="shared" si="52"/>
        <v>0</v>
      </c>
      <c r="AZ250" s="11">
        <f ca="1">IF(B250&lt;TODAY(), SUMIFS($AX$6:AX250, $BK$6:BK250, BK250), "")</f>
        <v>0</v>
      </c>
      <c r="BC250" s="15"/>
    </row>
    <row r="251" spans="2:55">
      <c r="B251" s="1">
        <v>46091</v>
      </c>
      <c r="P251" s="130">
        <f t="shared" si="54"/>
        <v>0</v>
      </c>
      <c r="Q251" s="17">
        <f t="shared" si="53"/>
        <v>0</v>
      </c>
      <c r="R251">
        <v>0</v>
      </c>
      <c r="AW251" s="2">
        <f t="shared" si="52"/>
        <v>0</v>
      </c>
      <c r="AZ251" s="11">
        <f ca="1">IF(B251&lt;TODAY(), SUMIFS($AX$6:AX251, $BK$6:BK251, BK251), "")</f>
        <v>0</v>
      </c>
      <c r="BC251" s="15"/>
    </row>
    <row r="252" spans="2:55">
      <c r="B252" s="1">
        <v>46092</v>
      </c>
      <c r="P252" s="130">
        <f t="shared" si="54"/>
        <v>0</v>
      </c>
      <c r="Q252" s="17">
        <f t="shared" si="53"/>
        <v>0</v>
      </c>
      <c r="R252">
        <v>0</v>
      </c>
      <c r="AW252" s="2">
        <f t="shared" si="52"/>
        <v>0</v>
      </c>
      <c r="AZ252" s="11">
        <f ca="1">IF(B252&lt;TODAY(), SUMIFS($AX$6:AX252, $BK$6:BK252, BK252), "")</f>
        <v>0</v>
      </c>
      <c r="BC252" s="15"/>
    </row>
    <row r="253" spans="2:55">
      <c r="B253" s="1">
        <v>46093</v>
      </c>
      <c r="P253" s="130">
        <f t="shared" si="54"/>
        <v>0</v>
      </c>
      <c r="Q253" s="17">
        <f t="shared" si="53"/>
        <v>0</v>
      </c>
      <c r="R253">
        <v>0</v>
      </c>
      <c r="AW253" s="2">
        <f t="shared" si="52"/>
        <v>0</v>
      </c>
      <c r="AZ253" s="11">
        <f ca="1">IF(B253&lt;TODAY(), SUMIFS($AX$6:AX253, $BK$6:BK253, BK253), "")</f>
        <v>0</v>
      </c>
      <c r="BC253" s="15"/>
    </row>
    <row r="254" spans="2:55">
      <c r="B254" s="1">
        <v>46094</v>
      </c>
      <c r="P254" s="130">
        <f t="shared" si="54"/>
        <v>0</v>
      </c>
      <c r="Q254" s="17">
        <f t="shared" si="53"/>
        <v>0</v>
      </c>
      <c r="R254">
        <v>0</v>
      </c>
      <c r="AW254" s="2">
        <f t="shared" si="52"/>
        <v>0</v>
      </c>
      <c r="AZ254" s="11">
        <f ca="1">IF(B254&lt;TODAY(), SUMIFS($AX$6:AX254, $BK$6:BK254, BK254), "")</f>
        <v>0</v>
      </c>
      <c r="BC254" s="15"/>
    </row>
    <row r="255" spans="2:55">
      <c r="B255" s="1">
        <v>46095</v>
      </c>
      <c r="P255" s="130">
        <f t="shared" si="54"/>
        <v>0</v>
      </c>
      <c r="Q255" s="17">
        <f t="shared" si="53"/>
        <v>0</v>
      </c>
      <c r="R255">
        <v>0</v>
      </c>
      <c r="AW255" s="2">
        <f t="shared" si="52"/>
        <v>0</v>
      </c>
      <c r="AZ255" s="11">
        <f ca="1">IF(B255&lt;TODAY(), SUMIFS($AX$6:AX255, $BK$6:BK255, BK255), "")</f>
        <v>0</v>
      </c>
      <c r="BC255" s="15"/>
    </row>
    <row r="256" spans="2:55">
      <c r="B256" s="1">
        <v>46096</v>
      </c>
      <c r="P256" s="130">
        <f t="shared" si="54"/>
        <v>0</v>
      </c>
      <c r="Q256" s="17">
        <f t="shared" si="53"/>
        <v>0</v>
      </c>
      <c r="R256">
        <v>0</v>
      </c>
      <c r="AW256" s="2">
        <f t="shared" si="52"/>
        <v>0</v>
      </c>
      <c r="AZ256" s="11">
        <f ca="1">IF(B256&lt;TODAY(), SUMIFS($AX$6:AX256, $BK$6:BK256, BK256), "")</f>
        <v>0</v>
      </c>
      <c r="BC256" s="15"/>
    </row>
    <row r="257" spans="2:55">
      <c r="B257" s="1">
        <v>46097</v>
      </c>
      <c r="P257" s="130">
        <f t="shared" si="54"/>
        <v>0</v>
      </c>
      <c r="Q257" s="17">
        <f t="shared" si="53"/>
        <v>0</v>
      </c>
      <c r="R257">
        <v>0</v>
      </c>
      <c r="AW257" s="2">
        <f t="shared" si="52"/>
        <v>0</v>
      </c>
      <c r="AZ257" s="11">
        <f ca="1">IF(B257&lt;TODAY(), SUMIFS($AX$6:AX257, $BK$6:BK257, BK257), "")</f>
        <v>0</v>
      </c>
      <c r="BC257" s="15"/>
    </row>
    <row r="258" spans="2:55">
      <c r="B258" s="1">
        <v>46098</v>
      </c>
      <c r="P258" s="130">
        <f t="shared" si="54"/>
        <v>0</v>
      </c>
      <c r="Q258" s="17">
        <f t="shared" si="53"/>
        <v>0</v>
      </c>
      <c r="R258">
        <v>0</v>
      </c>
      <c r="AW258" s="2">
        <f t="shared" si="52"/>
        <v>0</v>
      </c>
      <c r="AZ258" s="11">
        <f ca="1">IF(B258&lt;TODAY(), SUMIFS($AX$6:AX258, $BK$6:BK258, BK258), "")</f>
        <v>0</v>
      </c>
      <c r="BC258" s="15"/>
    </row>
    <row r="259" spans="2:55">
      <c r="B259" s="1">
        <v>46099</v>
      </c>
      <c r="P259" s="130">
        <f t="shared" si="54"/>
        <v>0</v>
      </c>
      <c r="Q259" s="17">
        <f t="shared" si="53"/>
        <v>0</v>
      </c>
      <c r="R259">
        <v>0</v>
      </c>
      <c r="AW259" s="2">
        <f t="shared" si="52"/>
        <v>0</v>
      </c>
      <c r="AZ259" s="11">
        <f ca="1">IF(B259&lt;TODAY(), SUMIFS($AX$6:AX259, $BK$6:BK259, BK259), "")</f>
        <v>0</v>
      </c>
      <c r="BC259" s="15"/>
    </row>
    <row r="260" spans="2:55">
      <c r="B260" s="1">
        <v>46100</v>
      </c>
      <c r="P260" s="130">
        <f t="shared" si="54"/>
        <v>0</v>
      </c>
      <c r="Q260" s="17">
        <f t="shared" si="53"/>
        <v>0</v>
      </c>
      <c r="R260">
        <v>0</v>
      </c>
      <c r="AW260" s="2">
        <f t="shared" si="52"/>
        <v>0</v>
      </c>
      <c r="AZ260" s="11">
        <f ca="1">IF(B260&lt;TODAY(), SUMIFS($AX$6:AX260, $BK$6:BK260, BK260), "")</f>
        <v>0</v>
      </c>
      <c r="BC260" s="15"/>
    </row>
    <row r="261" spans="2:55">
      <c r="B261" s="1">
        <v>46101</v>
      </c>
      <c r="P261" s="130">
        <f t="shared" si="54"/>
        <v>0</v>
      </c>
      <c r="Q261" s="17">
        <f t="shared" si="53"/>
        <v>0</v>
      </c>
      <c r="R261">
        <v>0</v>
      </c>
      <c r="AW261" s="2">
        <f t="shared" si="52"/>
        <v>0</v>
      </c>
      <c r="AZ261" s="11">
        <f ca="1">IF(B261&lt;TODAY(), SUMIFS($AX$6:AX261, $BK$6:BK261, BK261), "")</f>
        <v>0</v>
      </c>
      <c r="BC261" s="15"/>
    </row>
    <row r="262" spans="2:55">
      <c r="B262" s="1">
        <v>46102</v>
      </c>
      <c r="P262" s="130">
        <f t="shared" si="54"/>
        <v>0</v>
      </c>
      <c r="Q262" s="17">
        <f t="shared" si="53"/>
        <v>0</v>
      </c>
      <c r="R262">
        <v>0</v>
      </c>
      <c r="AW262" s="2">
        <f t="shared" si="52"/>
        <v>0</v>
      </c>
      <c r="AZ262" s="11">
        <f ca="1">IF(B262&lt;TODAY(), SUMIFS($AX$6:AX262, $BK$6:BK262, BK262), "")</f>
        <v>0</v>
      </c>
      <c r="BC262" s="15"/>
    </row>
    <row r="263" spans="2:55">
      <c r="B263" s="1">
        <v>46103</v>
      </c>
      <c r="P263" s="130">
        <f t="shared" si="54"/>
        <v>0</v>
      </c>
      <c r="Q263" s="17">
        <f t="shared" si="53"/>
        <v>0</v>
      </c>
      <c r="R263">
        <v>0</v>
      </c>
      <c r="AW263" s="2">
        <f t="shared" si="52"/>
        <v>0</v>
      </c>
      <c r="AZ263" s="11">
        <f ca="1">IF(B263&lt;TODAY(), SUMIFS($AX$6:AX263, $BK$6:BK263, BK263), "")</f>
        <v>0</v>
      </c>
      <c r="BC263" s="15"/>
    </row>
  </sheetData>
  <phoneticPr fontId="3" type="noConversion"/>
  <conditionalFormatting sqref="A1:I3 P1:R3 AW1:AAV5 AH1:AV7 S3:X3 Z3:AD3 Z4:AG5 M4:X6 A4:L7 Y6:AG6 BC6:AAV7 AX6:BA43 AW6:AW263 AZ6:AZ263 M7:R15 AD7:AD33 BB8:AAV8 C8:L9 AK8:AV10 A8:B13 BC9:BI15 BB9:BB42 C10:F13 L10:L15 H10:K20 G10:G43 AN11:AV17 A14:F14 L16:R20 AH18:AV1048576 C34:D34 C35:F37 C38 F38 BB43:BI43 AX44:BI138 C45:X263 AX139:AAV263 A264:X1048576 Z264:AG1048576 AW264:AAV1048576">
    <cfRule type="expression" dxfId="11" priority="6">
      <formula>$B1=TODAY()-1</formula>
    </cfRule>
  </conditionalFormatting>
  <conditionalFormatting sqref="J3:O3">
    <cfRule type="expression" dxfId="10" priority="11">
      <formula>$B1=TODAY()-1</formula>
    </cfRule>
  </conditionalFormatting>
  <conditionalFormatting sqref="J4:O4">
    <cfRule type="expression" dxfId="9" priority="10">
      <formula>$B3=TODAY()-1</formula>
    </cfRule>
  </conditionalFormatting>
  <conditionalFormatting sqref="S7:X44 A15:B263 Z19:AC33 H21:R43 Z34:AD263 C39:F43 C44:R44">
    <cfRule type="expression" dxfId="8" priority="3">
      <formula>$B7=TODAY()-1</formula>
    </cfRule>
  </conditionalFormatting>
  <conditionalFormatting sqref="Y7:AC18 Y19:Y26">
    <cfRule type="expression" dxfId="7" priority="2">
      <formula>$B7=TODAY()-1</formula>
    </cfRule>
  </conditionalFormatting>
  <conditionalFormatting sqref="AE1:AG3 BC16:BG21 BH16:BI23 BC22 BE22:BG22 BC23:BG23 BC24:BI27 BC28:BC29 BE28:BI29">
    <cfRule type="expression" dxfId="6" priority="7">
      <formula>$B1=TODAY()-1</formula>
    </cfRule>
  </conditionalFormatting>
  <conditionalFormatting sqref="AE7:AG10 BJ9:AAV138 AE11:AE17 C15:F33 AE18:AG263 BC30:BI42">
    <cfRule type="expression" dxfId="5" priority="4">
      <formula>$B7=TODAY()-1</formula>
    </cfRule>
  </conditionalFormatting>
  <conditionalFormatting sqref="AZ6:AZ263">
    <cfRule type="expression" priority="8">
      <formula>TEXT(B6,"yyyy-mm")&lt;&gt;TEXT(B6,"yyyy-mm")</formula>
    </cfRule>
  </conditionalFormatting>
  <conditionalFormatting sqref="BB6:BB7">
    <cfRule type="expression" dxfId="4" priority="5">
      <formula>$A6=TODAY()</formula>
    </cfRule>
  </conditionalFormatting>
  <conditionalFormatting sqref="BK6:BK138 BL12:CF39">
    <cfRule type="expression" dxfId="3" priority="9">
      <formula>$B6=TODAY()</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C4FA7-0A28-407B-B386-554720C6575F}">
  <sheetPr codeName="Sheet11"/>
  <dimension ref="A1:BL308"/>
  <sheetViews>
    <sheetView workbookViewId="0"/>
  </sheetViews>
  <sheetFormatPr defaultRowHeight="15"/>
  <cols>
    <col min="1" max="2" width="10.42578125" bestFit="1" customWidth="1"/>
    <col min="3" max="3" width="10.85546875" customWidth="1"/>
    <col min="4" max="4" width="12.140625" customWidth="1"/>
    <col min="5" max="5" width="13.28515625" customWidth="1"/>
    <col min="6" max="6" width="11.85546875" bestFit="1" customWidth="1"/>
    <col min="7" max="7" width="12.5703125" bestFit="1" customWidth="1"/>
    <col min="8" max="8" width="20.28515625" bestFit="1" customWidth="1"/>
    <col min="9" max="9" width="14.85546875" bestFit="1" customWidth="1"/>
    <col min="10" max="10" width="11.140625" bestFit="1" customWidth="1"/>
    <col min="11" max="11" width="8.5703125" bestFit="1" customWidth="1"/>
    <col min="12" max="12" width="6.7109375" bestFit="1" customWidth="1"/>
    <col min="13" max="13" width="11.140625" bestFit="1" customWidth="1"/>
    <col min="14" max="14" width="8.5703125" bestFit="1" customWidth="1"/>
    <col min="15" max="15" width="6.7109375" bestFit="1" customWidth="1"/>
    <col min="16" max="16" width="11.7109375" bestFit="1" customWidth="1"/>
    <col min="17" max="17" width="13.7109375" bestFit="1" customWidth="1"/>
    <col min="18" max="18" width="19.7109375" bestFit="1" customWidth="1"/>
    <col min="19" max="20" width="14.42578125" customWidth="1"/>
    <col min="21" max="21" width="11.28515625" customWidth="1"/>
    <col min="22" max="22" width="21.140625" bestFit="1" customWidth="1"/>
    <col min="23" max="24" width="18.7109375" bestFit="1" customWidth="1"/>
    <col min="25" max="25" width="22.28515625" bestFit="1" customWidth="1"/>
    <col min="26" max="26" width="22.5703125" bestFit="1" customWidth="1"/>
  </cols>
  <sheetData>
    <row r="1" spans="1:64">
      <c r="A1" t="s">
        <v>322</v>
      </c>
      <c r="M1" t="s">
        <v>118</v>
      </c>
      <c r="S1" t="s">
        <v>119</v>
      </c>
    </row>
    <row r="2" spans="1:64">
      <c r="D2" t="s">
        <v>118</v>
      </c>
      <c r="E2" t="s">
        <v>119</v>
      </c>
      <c r="F2" t="s">
        <v>118</v>
      </c>
      <c r="G2" t="s">
        <v>118</v>
      </c>
      <c r="H2" t="s">
        <v>119</v>
      </c>
      <c r="I2" s="3" t="s">
        <v>119</v>
      </c>
      <c r="L2">
        <v>130</v>
      </c>
      <c r="M2" t="s">
        <v>925</v>
      </c>
      <c r="P2" s="2" t="s">
        <v>926</v>
      </c>
      <c r="S2" s="2" t="s">
        <v>925</v>
      </c>
      <c r="T2" s="2"/>
      <c r="V2" t="s">
        <v>926</v>
      </c>
      <c r="Y2">
        <v>175</v>
      </c>
      <c r="AB2">
        <v>155</v>
      </c>
      <c r="AC2">
        <v>420</v>
      </c>
      <c r="AE2">
        <v>460</v>
      </c>
      <c r="AF2">
        <v>360</v>
      </c>
      <c r="AG2">
        <v>360</v>
      </c>
    </row>
    <row r="3" spans="1:64">
      <c r="B3" t="s">
        <v>125</v>
      </c>
      <c r="C3" t="s">
        <v>126</v>
      </c>
      <c r="D3" t="s">
        <v>127</v>
      </c>
      <c r="E3" t="s">
        <v>127</v>
      </c>
      <c r="F3" t="s">
        <v>927</v>
      </c>
      <c r="G3" t="s">
        <v>928</v>
      </c>
      <c r="H3" t="s">
        <v>927</v>
      </c>
      <c r="I3" t="s">
        <v>928</v>
      </c>
      <c r="J3" t="s">
        <v>199</v>
      </c>
      <c r="K3" t="s">
        <v>129</v>
      </c>
      <c r="L3" t="s">
        <v>130</v>
      </c>
      <c r="M3" t="s">
        <v>131</v>
      </c>
      <c r="N3" t="s">
        <v>132</v>
      </c>
      <c r="O3" t="s">
        <v>133</v>
      </c>
      <c r="P3" t="s">
        <v>131</v>
      </c>
      <c r="Q3" t="s">
        <v>132</v>
      </c>
      <c r="R3" t="s">
        <v>133</v>
      </c>
      <c r="S3" t="s">
        <v>131</v>
      </c>
      <c r="T3" t="s">
        <v>132</v>
      </c>
      <c r="U3" t="s">
        <v>133</v>
      </c>
      <c r="V3" t="s">
        <v>131</v>
      </c>
      <c r="W3" t="s">
        <v>132</v>
      </c>
      <c r="X3" t="s">
        <v>133</v>
      </c>
      <c r="Y3" t="s">
        <v>146</v>
      </c>
      <c r="Z3" t="s">
        <v>929</v>
      </c>
      <c r="AA3" t="s">
        <v>147</v>
      </c>
      <c r="AB3" t="s">
        <v>930</v>
      </c>
      <c r="AC3" t="s">
        <v>150</v>
      </c>
      <c r="AD3" t="s">
        <v>151</v>
      </c>
      <c r="AE3" t="s">
        <v>651</v>
      </c>
      <c r="AF3" t="s">
        <v>652</v>
      </c>
      <c r="AG3" t="s">
        <v>157</v>
      </c>
      <c r="AH3" t="s">
        <v>658</v>
      </c>
      <c r="AI3" t="s">
        <v>931</v>
      </c>
      <c r="AJ3" t="s">
        <v>202</v>
      </c>
    </row>
    <row r="4" spans="1:64">
      <c r="A4" t="s">
        <v>10</v>
      </c>
      <c r="B4">
        <v>1</v>
      </c>
      <c r="C4">
        <v>2</v>
      </c>
      <c r="D4">
        <v>3</v>
      </c>
      <c r="E4">
        <v>4</v>
      </c>
      <c r="F4">
        <v>5</v>
      </c>
      <c r="G4">
        <v>6</v>
      </c>
      <c r="H4">
        <v>7</v>
      </c>
      <c r="I4">
        <v>8</v>
      </c>
      <c r="J4">
        <v>9</v>
      </c>
      <c r="K4">
        <v>10</v>
      </c>
      <c r="L4">
        <v>11</v>
      </c>
      <c r="M4">
        <v>12</v>
      </c>
      <c r="N4">
        <v>13</v>
      </c>
      <c r="O4">
        <v>14</v>
      </c>
      <c r="P4">
        <v>15</v>
      </c>
      <c r="Q4">
        <v>16</v>
      </c>
      <c r="R4">
        <v>17</v>
      </c>
      <c r="S4">
        <v>12</v>
      </c>
      <c r="T4">
        <v>13</v>
      </c>
      <c r="U4">
        <v>14</v>
      </c>
      <c r="V4">
        <v>15</v>
      </c>
      <c r="W4">
        <v>16</v>
      </c>
      <c r="X4">
        <v>17</v>
      </c>
      <c r="Y4">
        <v>18</v>
      </c>
      <c r="Z4">
        <v>19</v>
      </c>
      <c r="AA4">
        <v>20</v>
      </c>
      <c r="AB4">
        <v>21</v>
      </c>
      <c r="AC4">
        <v>22</v>
      </c>
      <c r="AD4">
        <v>23</v>
      </c>
      <c r="AE4">
        <v>24</v>
      </c>
      <c r="AF4">
        <v>25</v>
      </c>
      <c r="AG4">
        <v>26</v>
      </c>
      <c r="AH4">
        <v>27</v>
      </c>
      <c r="AI4">
        <v>28</v>
      </c>
      <c r="AJ4">
        <v>29</v>
      </c>
      <c r="AK4">
        <v>30</v>
      </c>
      <c r="AL4">
        <v>31</v>
      </c>
      <c r="AM4">
        <v>32</v>
      </c>
      <c r="AN4">
        <v>33</v>
      </c>
      <c r="AO4">
        <v>34</v>
      </c>
      <c r="AP4">
        <v>35</v>
      </c>
      <c r="AQ4">
        <v>36</v>
      </c>
      <c r="AR4">
        <v>37</v>
      </c>
      <c r="AS4">
        <v>38</v>
      </c>
      <c r="AT4">
        <v>39</v>
      </c>
      <c r="AU4">
        <v>40</v>
      </c>
      <c r="AV4">
        <v>41</v>
      </c>
      <c r="AW4">
        <v>42</v>
      </c>
      <c r="AX4">
        <v>43</v>
      </c>
      <c r="AY4">
        <v>44</v>
      </c>
      <c r="AZ4">
        <v>45</v>
      </c>
      <c r="BA4">
        <v>46</v>
      </c>
      <c r="BB4">
        <v>47</v>
      </c>
      <c r="BC4">
        <v>48</v>
      </c>
      <c r="BD4">
        <v>49</v>
      </c>
      <c r="BE4">
        <v>50</v>
      </c>
      <c r="BF4">
        <v>51</v>
      </c>
      <c r="BG4">
        <v>52</v>
      </c>
      <c r="BH4">
        <v>53</v>
      </c>
      <c r="BI4">
        <v>54</v>
      </c>
      <c r="BJ4">
        <v>55</v>
      </c>
      <c r="BK4">
        <v>56</v>
      </c>
      <c r="BL4">
        <v>57</v>
      </c>
    </row>
    <row r="5" spans="1:64">
      <c r="B5" s="1">
        <v>45809.208333333336</v>
      </c>
      <c r="C5" t="s">
        <v>171</v>
      </c>
    </row>
    <row r="6" spans="1:64">
      <c r="B6" s="1">
        <v>45809.708333333336</v>
      </c>
      <c r="C6" t="s">
        <v>172</v>
      </c>
    </row>
    <row r="7" spans="1:64">
      <c r="B7" s="1">
        <v>45810.208333333336</v>
      </c>
      <c r="C7" t="s">
        <v>171</v>
      </c>
    </row>
    <row r="8" spans="1:64">
      <c r="B8" s="1">
        <v>45810.708333333336</v>
      </c>
      <c r="C8" t="s">
        <v>172</v>
      </c>
    </row>
    <row r="9" spans="1:64">
      <c r="B9" s="1">
        <v>45811.208333333336</v>
      </c>
      <c r="C9" t="s">
        <v>171</v>
      </c>
    </row>
    <row r="10" spans="1:64">
      <c r="B10" s="1">
        <v>45811.708333333336</v>
      </c>
      <c r="C10" t="s">
        <v>172</v>
      </c>
    </row>
    <row r="11" spans="1:64">
      <c r="B11" s="1">
        <v>45812.208333333336</v>
      </c>
      <c r="C11" t="s">
        <v>171</v>
      </c>
    </row>
    <row r="12" spans="1:64">
      <c r="B12" s="1">
        <v>45812.708333333336</v>
      </c>
      <c r="C12" t="s">
        <v>172</v>
      </c>
    </row>
    <row r="13" spans="1:64">
      <c r="B13" s="1">
        <v>45813.208333333336</v>
      </c>
      <c r="C13" t="s">
        <v>171</v>
      </c>
    </row>
    <row r="14" spans="1:64">
      <c r="B14" s="1">
        <v>45813.708333333336</v>
      </c>
      <c r="C14" t="s">
        <v>172</v>
      </c>
    </row>
    <row r="15" spans="1:64">
      <c r="B15" s="1">
        <v>45814.208333333336</v>
      </c>
      <c r="C15" t="s">
        <v>171</v>
      </c>
    </row>
    <row r="16" spans="1:64">
      <c r="B16" s="1">
        <v>45814.708333333336</v>
      </c>
      <c r="C16" t="s">
        <v>172</v>
      </c>
    </row>
    <row r="17" spans="2:3">
      <c r="B17" s="1">
        <v>45815.208333333336</v>
      </c>
      <c r="C17" t="s">
        <v>171</v>
      </c>
    </row>
    <row r="18" spans="2:3">
      <c r="B18" s="1">
        <v>45815.708333333336</v>
      </c>
      <c r="C18" t="s">
        <v>172</v>
      </c>
    </row>
    <row r="19" spans="2:3">
      <c r="B19" s="1">
        <v>45816.208333333336</v>
      </c>
      <c r="C19" t="s">
        <v>171</v>
      </c>
    </row>
    <row r="20" spans="2:3">
      <c r="B20" s="1">
        <v>45816.708333333336</v>
      </c>
      <c r="C20" t="s">
        <v>172</v>
      </c>
    </row>
    <row r="21" spans="2:3">
      <c r="B21" s="1">
        <v>45817.208333333336</v>
      </c>
      <c r="C21" t="s">
        <v>171</v>
      </c>
    </row>
    <row r="22" spans="2:3">
      <c r="B22" s="1">
        <v>45817.708333333336</v>
      </c>
      <c r="C22" t="s">
        <v>172</v>
      </c>
    </row>
    <row r="23" spans="2:3" ht="15" customHeight="1">
      <c r="B23" s="1">
        <v>45818.208333333336</v>
      </c>
      <c r="C23" t="s">
        <v>171</v>
      </c>
    </row>
    <row r="24" spans="2:3">
      <c r="B24" s="1">
        <v>45818.708333333336</v>
      </c>
      <c r="C24" t="s">
        <v>172</v>
      </c>
    </row>
    <row r="25" spans="2:3">
      <c r="B25" s="1">
        <v>45819.208333333336</v>
      </c>
      <c r="C25" t="s">
        <v>171</v>
      </c>
    </row>
    <row r="26" spans="2:3">
      <c r="B26" s="1">
        <v>45819.708333333336</v>
      </c>
      <c r="C26" t="s">
        <v>172</v>
      </c>
    </row>
    <row r="27" spans="2:3">
      <c r="B27" s="1">
        <v>45820.208333333336</v>
      </c>
      <c r="C27" t="s">
        <v>171</v>
      </c>
    </row>
    <row r="28" spans="2:3">
      <c r="B28" s="1">
        <v>45820.708333333336</v>
      </c>
      <c r="C28" t="s">
        <v>172</v>
      </c>
    </row>
    <row r="29" spans="2:3">
      <c r="B29" s="1">
        <v>45821.208333333336</v>
      </c>
      <c r="C29" t="s">
        <v>171</v>
      </c>
    </row>
    <row r="30" spans="2:3">
      <c r="B30" s="1">
        <v>45821.708333333336</v>
      </c>
      <c r="C30" t="s">
        <v>172</v>
      </c>
    </row>
    <row r="31" spans="2:3">
      <c r="B31" s="1">
        <v>45822.208333333336</v>
      </c>
      <c r="C31" t="s">
        <v>171</v>
      </c>
    </row>
    <row r="32" spans="2:3">
      <c r="B32" s="1">
        <v>45822.708333333336</v>
      </c>
      <c r="C32" t="s">
        <v>172</v>
      </c>
    </row>
    <row r="33" spans="2:3">
      <c r="B33" s="1">
        <v>45823.208333333336</v>
      </c>
      <c r="C33" t="s">
        <v>171</v>
      </c>
    </row>
    <row r="34" spans="2:3">
      <c r="B34" s="1">
        <v>45823.708333333336</v>
      </c>
      <c r="C34" t="s">
        <v>172</v>
      </c>
    </row>
    <row r="35" spans="2:3">
      <c r="B35" s="1">
        <v>45824.208333333336</v>
      </c>
      <c r="C35" t="s">
        <v>171</v>
      </c>
    </row>
    <row r="36" spans="2:3">
      <c r="B36" s="1">
        <v>45824.708333333336</v>
      </c>
      <c r="C36" t="s">
        <v>172</v>
      </c>
    </row>
    <row r="37" spans="2:3">
      <c r="B37" s="1">
        <v>45825.208333333336</v>
      </c>
      <c r="C37" t="s">
        <v>171</v>
      </c>
    </row>
    <row r="38" spans="2:3">
      <c r="B38" s="1">
        <v>45825.708333333336</v>
      </c>
      <c r="C38" t="s">
        <v>172</v>
      </c>
    </row>
    <row r="39" spans="2:3">
      <c r="B39" s="1">
        <v>45826.208333333336</v>
      </c>
      <c r="C39" t="s">
        <v>171</v>
      </c>
    </row>
    <row r="40" spans="2:3">
      <c r="B40" s="1">
        <v>45826.708333333336</v>
      </c>
      <c r="C40" t="s">
        <v>172</v>
      </c>
    </row>
    <row r="41" spans="2:3">
      <c r="B41" s="1">
        <v>45827.208333333336</v>
      </c>
      <c r="C41" t="s">
        <v>171</v>
      </c>
    </row>
    <row r="42" spans="2:3">
      <c r="B42" s="1">
        <v>45827.708333333336</v>
      </c>
      <c r="C42" t="s">
        <v>172</v>
      </c>
    </row>
    <row r="43" spans="2:3">
      <c r="B43" s="1">
        <v>45828.208333333336</v>
      </c>
      <c r="C43" t="s">
        <v>171</v>
      </c>
    </row>
    <row r="44" spans="2:3">
      <c r="B44" s="1">
        <v>45828.708333333336</v>
      </c>
      <c r="C44" t="s">
        <v>172</v>
      </c>
    </row>
    <row r="45" spans="2:3">
      <c r="B45" s="1">
        <v>45829.208333333336</v>
      </c>
      <c r="C45" t="s">
        <v>171</v>
      </c>
    </row>
    <row r="46" spans="2:3">
      <c r="B46" s="1">
        <v>45829.708333333336</v>
      </c>
      <c r="C46" t="s">
        <v>172</v>
      </c>
    </row>
    <row r="47" spans="2:3">
      <c r="B47" s="1">
        <v>45830.208333333336</v>
      </c>
      <c r="C47" t="s">
        <v>171</v>
      </c>
    </row>
    <row r="48" spans="2:3">
      <c r="B48" s="1">
        <v>45830.708333333336</v>
      </c>
      <c r="C48" t="s">
        <v>172</v>
      </c>
    </row>
    <row r="49" spans="2:3">
      <c r="B49" s="1">
        <v>45831.208333333336</v>
      </c>
      <c r="C49" t="s">
        <v>171</v>
      </c>
    </row>
    <row r="50" spans="2:3">
      <c r="B50" s="1">
        <v>45831.708333333336</v>
      </c>
      <c r="C50" t="s">
        <v>172</v>
      </c>
    </row>
    <row r="51" spans="2:3">
      <c r="B51" s="1">
        <v>45832.208333333336</v>
      </c>
      <c r="C51" t="s">
        <v>171</v>
      </c>
    </row>
    <row r="52" spans="2:3">
      <c r="B52" s="1">
        <v>45832.708333333336</v>
      </c>
      <c r="C52" t="s">
        <v>172</v>
      </c>
    </row>
    <row r="53" spans="2:3">
      <c r="B53" s="1">
        <v>45833.208333333336</v>
      </c>
      <c r="C53" t="s">
        <v>171</v>
      </c>
    </row>
    <row r="54" spans="2:3">
      <c r="B54" s="1">
        <v>45833.708333333336</v>
      </c>
      <c r="C54" t="s">
        <v>172</v>
      </c>
    </row>
    <row r="55" spans="2:3">
      <c r="B55" s="1">
        <v>45834.208333333336</v>
      </c>
      <c r="C55" t="s">
        <v>171</v>
      </c>
    </row>
    <row r="56" spans="2:3">
      <c r="B56" s="1">
        <v>45834.708333333336</v>
      </c>
      <c r="C56" t="s">
        <v>172</v>
      </c>
    </row>
    <row r="57" spans="2:3">
      <c r="B57" s="1">
        <v>45835.208333333336</v>
      </c>
      <c r="C57" t="s">
        <v>171</v>
      </c>
    </row>
    <row r="58" spans="2:3">
      <c r="B58" s="1">
        <v>45835.708333333336</v>
      </c>
      <c r="C58" t="s">
        <v>172</v>
      </c>
    </row>
    <row r="59" spans="2:3">
      <c r="B59" s="1">
        <v>45836.208333333336</v>
      </c>
      <c r="C59" t="s">
        <v>171</v>
      </c>
    </row>
    <row r="60" spans="2:3">
      <c r="B60" s="1">
        <v>45836.708333333336</v>
      </c>
      <c r="C60" t="s">
        <v>172</v>
      </c>
    </row>
    <row r="61" spans="2:3">
      <c r="B61" s="1">
        <v>45837.208333333336</v>
      </c>
      <c r="C61" t="s">
        <v>171</v>
      </c>
    </row>
    <row r="62" spans="2:3">
      <c r="B62" s="1">
        <v>45837.708333333336</v>
      </c>
      <c r="C62" t="s">
        <v>172</v>
      </c>
    </row>
    <row r="63" spans="2:3">
      <c r="B63" s="1">
        <v>45838.208333333336</v>
      </c>
      <c r="C63" t="s">
        <v>171</v>
      </c>
    </row>
    <row r="64" spans="2:3">
      <c r="B64" s="1">
        <v>45838.708333333336</v>
      </c>
      <c r="C64" t="s">
        <v>172</v>
      </c>
    </row>
    <row r="65" spans="2:3">
      <c r="B65" s="1">
        <v>45839.208333333336</v>
      </c>
      <c r="C65" t="s">
        <v>171</v>
      </c>
    </row>
    <row r="66" spans="2:3">
      <c r="B66" s="1">
        <v>45839.708333333336</v>
      </c>
      <c r="C66" t="s">
        <v>172</v>
      </c>
    </row>
    <row r="67" spans="2:3">
      <c r="B67" s="1">
        <v>45840.208333333336</v>
      </c>
      <c r="C67" t="s">
        <v>171</v>
      </c>
    </row>
    <row r="68" spans="2:3">
      <c r="B68" s="1">
        <v>45840.708333333336</v>
      </c>
      <c r="C68" t="s">
        <v>172</v>
      </c>
    </row>
    <row r="69" spans="2:3">
      <c r="B69" s="1">
        <v>45841.208333333336</v>
      </c>
      <c r="C69" t="s">
        <v>171</v>
      </c>
    </row>
    <row r="70" spans="2:3">
      <c r="B70" s="1">
        <v>45841.708333333336</v>
      </c>
      <c r="C70" t="s">
        <v>172</v>
      </c>
    </row>
    <row r="71" spans="2:3">
      <c r="B71" s="1">
        <v>45842.208333333336</v>
      </c>
      <c r="C71" t="s">
        <v>171</v>
      </c>
    </row>
    <row r="72" spans="2:3">
      <c r="B72" s="1">
        <v>45842.708333333336</v>
      </c>
      <c r="C72" t="s">
        <v>172</v>
      </c>
    </row>
    <row r="73" spans="2:3">
      <c r="B73" s="1">
        <v>45843.208333333336</v>
      </c>
      <c r="C73" t="s">
        <v>171</v>
      </c>
    </row>
    <row r="74" spans="2:3">
      <c r="B74" s="1">
        <v>45843.708333333336</v>
      </c>
      <c r="C74" t="s">
        <v>172</v>
      </c>
    </row>
    <row r="75" spans="2:3">
      <c r="B75" s="1">
        <v>45844.208333333336</v>
      </c>
      <c r="C75" t="s">
        <v>171</v>
      </c>
    </row>
    <row r="76" spans="2:3">
      <c r="B76" s="1">
        <v>45844.708333333336</v>
      </c>
      <c r="C76" t="s">
        <v>172</v>
      </c>
    </row>
    <row r="77" spans="2:3">
      <c r="B77" s="1">
        <v>45845.208333333336</v>
      </c>
      <c r="C77" t="s">
        <v>171</v>
      </c>
    </row>
    <row r="78" spans="2:3">
      <c r="B78" s="1">
        <v>45845.708333333336</v>
      </c>
      <c r="C78" t="s">
        <v>172</v>
      </c>
    </row>
    <row r="79" spans="2:3">
      <c r="B79" s="1">
        <v>45846.208333333336</v>
      </c>
      <c r="C79" t="s">
        <v>171</v>
      </c>
    </row>
    <row r="80" spans="2:3">
      <c r="B80" s="1">
        <v>45846.708333333336</v>
      </c>
      <c r="C80" t="s">
        <v>172</v>
      </c>
    </row>
    <row r="81" spans="2:3">
      <c r="B81" s="1">
        <v>45847.208333333336</v>
      </c>
      <c r="C81" t="s">
        <v>171</v>
      </c>
    </row>
    <row r="82" spans="2:3">
      <c r="B82" s="1">
        <v>45847.708333333336</v>
      </c>
      <c r="C82" t="s">
        <v>172</v>
      </c>
    </row>
    <row r="83" spans="2:3">
      <c r="B83" s="1">
        <v>45848.208333333336</v>
      </c>
      <c r="C83" t="s">
        <v>171</v>
      </c>
    </row>
    <row r="84" spans="2:3">
      <c r="B84" s="1">
        <v>45848.708333333336</v>
      </c>
      <c r="C84" t="s">
        <v>172</v>
      </c>
    </row>
    <row r="85" spans="2:3">
      <c r="B85" s="1">
        <v>45849.208333333336</v>
      </c>
      <c r="C85" t="s">
        <v>171</v>
      </c>
    </row>
    <row r="86" spans="2:3">
      <c r="B86" s="1">
        <v>45849.708333333336</v>
      </c>
      <c r="C86" t="s">
        <v>172</v>
      </c>
    </row>
    <row r="87" spans="2:3">
      <c r="B87" s="1">
        <v>45850.208333333336</v>
      </c>
      <c r="C87" t="s">
        <v>171</v>
      </c>
    </row>
    <row r="88" spans="2:3">
      <c r="B88" s="1">
        <v>45850.708333333336</v>
      </c>
      <c r="C88" t="s">
        <v>172</v>
      </c>
    </row>
    <row r="89" spans="2:3">
      <c r="B89" s="1">
        <v>45851.208333333336</v>
      </c>
      <c r="C89" t="s">
        <v>171</v>
      </c>
    </row>
    <row r="90" spans="2:3">
      <c r="B90" s="1">
        <v>45851.708333333336</v>
      </c>
      <c r="C90" t="s">
        <v>172</v>
      </c>
    </row>
    <row r="91" spans="2:3">
      <c r="B91" s="1">
        <v>45852.208333333336</v>
      </c>
      <c r="C91" t="s">
        <v>171</v>
      </c>
    </row>
    <row r="92" spans="2:3">
      <c r="B92" s="1">
        <v>45852.708333333336</v>
      </c>
      <c r="C92" t="s">
        <v>172</v>
      </c>
    </row>
    <row r="93" spans="2:3">
      <c r="B93" s="1">
        <v>45853.208333333336</v>
      </c>
      <c r="C93" t="s">
        <v>171</v>
      </c>
    </row>
    <row r="94" spans="2:3">
      <c r="B94" s="1">
        <v>45853.708333333336</v>
      </c>
      <c r="C94" t="s">
        <v>172</v>
      </c>
    </row>
    <row r="95" spans="2:3">
      <c r="B95" s="1">
        <v>45854.208333333336</v>
      </c>
      <c r="C95" t="s">
        <v>171</v>
      </c>
    </row>
    <row r="96" spans="2:3">
      <c r="B96" s="1">
        <v>45854.708333333336</v>
      </c>
      <c r="C96" t="s">
        <v>172</v>
      </c>
    </row>
    <row r="97" spans="2:3">
      <c r="B97" s="1">
        <v>45855.208333333336</v>
      </c>
      <c r="C97" t="s">
        <v>171</v>
      </c>
    </row>
    <row r="98" spans="2:3">
      <c r="B98" s="1">
        <v>45855.708333333336</v>
      </c>
      <c r="C98" t="s">
        <v>172</v>
      </c>
    </row>
    <row r="99" spans="2:3">
      <c r="B99" s="1">
        <v>45856.208333333336</v>
      </c>
      <c r="C99" t="s">
        <v>171</v>
      </c>
    </row>
    <row r="100" spans="2:3">
      <c r="B100" s="1">
        <v>45856.708333333336</v>
      </c>
      <c r="C100" t="s">
        <v>172</v>
      </c>
    </row>
    <row r="101" spans="2:3">
      <c r="B101" s="1">
        <v>45857.208333333336</v>
      </c>
      <c r="C101" t="s">
        <v>171</v>
      </c>
    </row>
    <row r="102" spans="2:3">
      <c r="B102" s="1">
        <v>45857.708333333336</v>
      </c>
      <c r="C102" t="s">
        <v>172</v>
      </c>
    </row>
    <row r="103" spans="2:3">
      <c r="B103" s="1">
        <v>45858.208333333336</v>
      </c>
      <c r="C103" t="s">
        <v>171</v>
      </c>
    </row>
    <row r="104" spans="2:3">
      <c r="B104" s="1">
        <v>45858.708333333336</v>
      </c>
      <c r="C104" t="s">
        <v>172</v>
      </c>
    </row>
    <row r="105" spans="2:3">
      <c r="B105" s="1">
        <v>45859.208333333336</v>
      </c>
      <c r="C105" t="s">
        <v>171</v>
      </c>
    </row>
    <row r="106" spans="2:3">
      <c r="B106" s="1">
        <v>45859.708333333336</v>
      </c>
      <c r="C106" t="s">
        <v>172</v>
      </c>
    </row>
    <row r="107" spans="2:3">
      <c r="B107" s="1">
        <v>45860.208333333336</v>
      </c>
      <c r="C107" t="s">
        <v>171</v>
      </c>
    </row>
    <row r="108" spans="2:3">
      <c r="B108" s="1">
        <v>45860.708333333336</v>
      </c>
      <c r="C108" t="s">
        <v>172</v>
      </c>
    </row>
    <row r="109" spans="2:3">
      <c r="B109" s="1">
        <v>45861.208333333336</v>
      </c>
      <c r="C109" t="s">
        <v>171</v>
      </c>
    </row>
    <row r="110" spans="2:3">
      <c r="B110" s="1">
        <v>45861.708333333336</v>
      </c>
      <c r="C110" t="s">
        <v>172</v>
      </c>
    </row>
    <row r="111" spans="2:3">
      <c r="B111" s="1">
        <v>45862.208333333336</v>
      </c>
      <c r="C111" t="s">
        <v>171</v>
      </c>
    </row>
    <row r="112" spans="2:3">
      <c r="B112" s="1">
        <v>45862.708333333336</v>
      </c>
      <c r="C112" t="s">
        <v>172</v>
      </c>
    </row>
    <row r="113" spans="2:3">
      <c r="B113" s="1">
        <v>45863.208333333336</v>
      </c>
      <c r="C113" t="s">
        <v>171</v>
      </c>
    </row>
    <row r="114" spans="2:3">
      <c r="B114" s="1">
        <v>45863.708333333336</v>
      </c>
      <c r="C114" t="s">
        <v>172</v>
      </c>
    </row>
    <row r="115" spans="2:3">
      <c r="B115" s="1">
        <v>45864.208333333336</v>
      </c>
      <c r="C115" t="s">
        <v>171</v>
      </c>
    </row>
    <row r="116" spans="2:3">
      <c r="B116" s="1">
        <v>45864.708333333336</v>
      </c>
      <c r="C116" t="s">
        <v>172</v>
      </c>
    </row>
    <row r="117" spans="2:3">
      <c r="B117" s="1">
        <v>45865.208333333336</v>
      </c>
      <c r="C117" t="s">
        <v>171</v>
      </c>
    </row>
    <row r="118" spans="2:3">
      <c r="B118" s="1">
        <v>45865.708333333336</v>
      </c>
      <c r="C118" t="s">
        <v>172</v>
      </c>
    </row>
    <row r="119" spans="2:3">
      <c r="B119" s="1">
        <v>45866.208333333336</v>
      </c>
      <c r="C119" t="s">
        <v>171</v>
      </c>
    </row>
    <row r="120" spans="2:3">
      <c r="B120" s="1">
        <v>45866.708333333336</v>
      </c>
      <c r="C120" t="s">
        <v>172</v>
      </c>
    </row>
    <row r="121" spans="2:3">
      <c r="B121" s="1">
        <v>45867.208333333336</v>
      </c>
      <c r="C121" t="s">
        <v>171</v>
      </c>
    </row>
    <row r="122" spans="2:3">
      <c r="B122" s="1">
        <v>45867.708333333336</v>
      </c>
      <c r="C122" t="s">
        <v>172</v>
      </c>
    </row>
    <row r="123" spans="2:3">
      <c r="B123" s="1">
        <v>45868.208333333336</v>
      </c>
      <c r="C123" t="s">
        <v>171</v>
      </c>
    </row>
    <row r="124" spans="2:3">
      <c r="B124" s="1">
        <v>45868.708333333336</v>
      </c>
      <c r="C124" t="s">
        <v>172</v>
      </c>
    </row>
    <row r="125" spans="2:3">
      <c r="B125" s="1">
        <v>45869.208333333336</v>
      </c>
      <c r="C125" t="s">
        <v>171</v>
      </c>
    </row>
    <row r="126" spans="2:3">
      <c r="B126" s="1">
        <v>45869.708333333336</v>
      </c>
      <c r="C126" t="s">
        <v>172</v>
      </c>
    </row>
    <row r="127" spans="2:3">
      <c r="B127" s="1">
        <v>45870.208333333336</v>
      </c>
      <c r="C127" t="s">
        <v>171</v>
      </c>
    </row>
    <row r="128" spans="2:3">
      <c r="B128" s="1">
        <v>45870.708333333336</v>
      </c>
      <c r="C128" t="s">
        <v>172</v>
      </c>
    </row>
    <row r="129" spans="2:3">
      <c r="B129" s="1">
        <v>45871.208333333336</v>
      </c>
      <c r="C129" t="s">
        <v>171</v>
      </c>
    </row>
    <row r="130" spans="2:3">
      <c r="B130" s="1">
        <v>45871.708333333336</v>
      </c>
      <c r="C130" t="s">
        <v>172</v>
      </c>
    </row>
    <row r="131" spans="2:3">
      <c r="B131" s="1">
        <v>45872.208333333336</v>
      </c>
      <c r="C131" t="s">
        <v>171</v>
      </c>
    </row>
    <row r="132" spans="2:3">
      <c r="B132" s="1">
        <v>45872.708333333336</v>
      </c>
      <c r="C132" t="s">
        <v>172</v>
      </c>
    </row>
    <row r="133" spans="2:3">
      <c r="B133" s="1">
        <v>45873.208333333336</v>
      </c>
      <c r="C133" t="s">
        <v>171</v>
      </c>
    </row>
    <row r="134" spans="2:3">
      <c r="B134" s="1">
        <v>45873.708333333336</v>
      </c>
      <c r="C134" t="s">
        <v>172</v>
      </c>
    </row>
    <row r="135" spans="2:3">
      <c r="B135" s="1">
        <v>45874.208333333336</v>
      </c>
      <c r="C135" t="s">
        <v>171</v>
      </c>
    </row>
    <row r="136" spans="2:3">
      <c r="B136" s="1">
        <v>45874.708333333336</v>
      </c>
      <c r="C136" t="s">
        <v>172</v>
      </c>
    </row>
    <row r="137" spans="2:3">
      <c r="B137" s="1">
        <v>45875.208333333336</v>
      </c>
      <c r="C137" t="s">
        <v>171</v>
      </c>
    </row>
    <row r="138" spans="2:3">
      <c r="B138" s="1">
        <v>45875.708333333336</v>
      </c>
      <c r="C138" t="s">
        <v>172</v>
      </c>
    </row>
    <row r="139" spans="2:3">
      <c r="B139" s="1">
        <v>45876.208333333336</v>
      </c>
      <c r="C139" t="s">
        <v>171</v>
      </c>
    </row>
    <row r="140" spans="2:3">
      <c r="B140" s="1">
        <v>45876.708333333336</v>
      </c>
      <c r="C140" t="s">
        <v>172</v>
      </c>
    </row>
    <row r="141" spans="2:3">
      <c r="B141" s="1">
        <v>45877.208333333336</v>
      </c>
      <c r="C141" t="s">
        <v>171</v>
      </c>
    </row>
    <row r="142" spans="2:3">
      <c r="B142" s="1">
        <v>45877.708333333336</v>
      </c>
      <c r="C142" t="s">
        <v>172</v>
      </c>
    </row>
    <row r="143" spans="2:3">
      <c r="B143" s="1">
        <v>45878.208333333336</v>
      </c>
      <c r="C143" t="s">
        <v>171</v>
      </c>
    </row>
    <row r="144" spans="2:3">
      <c r="B144" s="1">
        <v>45878.708333333336</v>
      </c>
      <c r="C144" t="s">
        <v>172</v>
      </c>
    </row>
    <row r="145" spans="2:3">
      <c r="B145" s="1">
        <v>45879.208333333336</v>
      </c>
      <c r="C145" t="s">
        <v>171</v>
      </c>
    </row>
    <row r="146" spans="2:3">
      <c r="B146" s="1">
        <v>45879.708333333336</v>
      </c>
      <c r="C146" t="s">
        <v>172</v>
      </c>
    </row>
    <row r="147" spans="2:3">
      <c r="B147" s="1">
        <v>45880.208333333336</v>
      </c>
      <c r="C147" t="s">
        <v>171</v>
      </c>
    </row>
    <row r="148" spans="2:3">
      <c r="B148" s="1">
        <v>45880.708333333336</v>
      </c>
      <c r="C148" t="s">
        <v>172</v>
      </c>
    </row>
    <row r="149" spans="2:3">
      <c r="B149" s="1">
        <v>45881.208333333336</v>
      </c>
      <c r="C149" t="s">
        <v>171</v>
      </c>
    </row>
    <row r="150" spans="2:3">
      <c r="B150" s="1">
        <v>45881.708333333336</v>
      </c>
      <c r="C150" t="s">
        <v>172</v>
      </c>
    </row>
    <row r="151" spans="2:3">
      <c r="B151" s="1">
        <v>45882.208333333336</v>
      </c>
      <c r="C151" t="s">
        <v>171</v>
      </c>
    </row>
    <row r="152" spans="2:3">
      <c r="B152" s="1">
        <v>45882.708333333336</v>
      </c>
      <c r="C152" t="s">
        <v>172</v>
      </c>
    </row>
    <row r="153" spans="2:3">
      <c r="B153" s="1">
        <v>45883.208333333336</v>
      </c>
      <c r="C153" t="s">
        <v>171</v>
      </c>
    </row>
    <row r="154" spans="2:3">
      <c r="B154" s="1">
        <v>45883.708333333336</v>
      </c>
      <c r="C154" t="s">
        <v>172</v>
      </c>
    </row>
    <row r="155" spans="2:3">
      <c r="B155" s="1">
        <v>45884.208333333336</v>
      </c>
      <c r="C155" t="s">
        <v>171</v>
      </c>
    </row>
    <row r="156" spans="2:3">
      <c r="B156" s="1">
        <v>45884.708333333336</v>
      </c>
      <c r="C156" t="s">
        <v>172</v>
      </c>
    </row>
    <row r="157" spans="2:3">
      <c r="B157" s="1">
        <v>45885.208333333336</v>
      </c>
      <c r="C157" t="s">
        <v>171</v>
      </c>
    </row>
    <row r="158" spans="2:3">
      <c r="B158" s="1">
        <v>45885.708333333336</v>
      </c>
      <c r="C158" t="s">
        <v>172</v>
      </c>
    </row>
    <row r="159" spans="2:3">
      <c r="B159" s="1">
        <v>45886.208333333336</v>
      </c>
      <c r="C159" t="s">
        <v>171</v>
      </c>
    </row>
    <row r="160" spans="2:3">
      <c r="B160" s="1">
        <v>45886.708333333336</v>
      </c>
      <c r="C160" t="s">
        <v>172</v>
      </c>
    </row>
    <row r="161" spans="2:3">
      <c r="B161" s="1">
        <v>45887.208333333336</v>
      </c>
      <c r="C161" t="s">
        <v>171</v>
      </c>
    </row>
    <row r="162" spans="2:3">
      <c r="B162" s="1">
        <v>45887.708333333336</v>
      </c>
      <c r="C162" t="s">
        <v>172</v>
      </c>
    </row>
    <row r="163" spans="2:3">
      <c r="B163" s="1">
        <v>45888.208333333336</v>
      </c>
      <c r="C163" t="s">
        <v>171</v>
      </c>
    </row>
    <row r="164" spans="2:3">
      <c r="B164" s="1">
        <v>45888.708333333336</v>
      </c>
      <c r="C164" t="s">
        <v>172</v>
      </c>
    </row>
    <row r="165" spans="2:3">
      <c r="B165" s="1">
        <v>45889.208333333336</v>
      </c>
      <c r="C165" t="s">
        <v>171</v>
      </c>
    </row>
    <row r="166" spans="2:3">
      <c r="B166" s="1">
        <v>45889.708333333336</v>
      </c>
      <c r="C166" t="s">
        <v>172</v>
      </c>
    </row>
    <row r="167" spans="2:3">
      <c r="B167" s="1">
        <v>45890.208333333336</v>
      </c>
      <c r="C167" t="s">
        <v>171</v>
      </c>
    </row>
    <row r="168" spans="2:3">
      <c r="B168" s="1">
        <v>45890.708333333336</v>
      </c>
      <c r="C168" t="s">
        <v>172</v>
      </c>
    </row>
    <row r="169" spans="2:3">
      <c r="B169" s="1">
        <v>45891.208333333336</v>
      </c>
      <c r="C169" t="s">
        <v>171</v>
      </c>
    </row>
    <row r="170" spans="2:3">
      <c r="B170" s="1">
        <v>45891.708333333336</v>
      </c>
      <c r="C170" t="s">
        <v>172</v>
      </c>
    </row>
    <row r="171" spans="2:3">
      <c r="B171" s="1">
        <v>45892.208333333336</v>
      </c>
      <c r="C171" t="s">
        <v>171</v>
      </c>
    </row>
    <row r="172" spans="2:3">
      <c r="B172" s="1">
        <v>45892.708333333336</v>
      </c>
      <c r="C172" t="s">
        <v>172</v>
      </c>
    </row>
    <row r="173" spans="2:3">
      <c r="B173" s="1">
        <v>45893.208333333336</v>
      </c>
      <c r="C173" t="s">
        <v>171</v>
      </c>
    </row>
    <row r="174" spans="2:3">
      <c r="B174" s="1">
        <v>45893.708333333336</v>
      </c>
      <c r="C174" t="s">
        <v>172</v>
      </c>
    </row>
    <row r="175" spans="2:3">
      <c r="B175" s="1">
        <v>45894.208333333336</v>
      </c>
      <c r="C175" t="s">
        <v>171</v>
      </c>
    </row>
    <row r="176" spans="2:3">
      <c r="B176" s="1">
        <v>45894.708333333336</v>
      </c>
      <c r="C176" t="s">
        <v>172</v>
      </c>
    </row>
    <row r="177" spans="2:3">
      <c r="B177" s="1">
        <v>45895.208333333336</v>
      </c>
      <c r="C177" t="s">
        <v>171</v>
      </c>
    </row>
    <row r="178" spans="2:3">
      <c r="B178" s="1">
        <v>45895.708333333336</v>
      </c>
      <c r="C178" t="s">
        <v>172</v>
      </c>
    </row>
    <row r="179" spans="2:3">
      <c r="B179" s="1">
        <v>45896.208333333336</v>
      </c>
      <c r="C179" t="s">
        <v>171</v>
      </c>
    </row>
    <row r="180" spans="2:3">
      <c r="B180" s="1">
        <v>45896.708333333336</v>
      </c>
      <c r="C180" t="s">
        <v>172</v>
      </c>
    </row>
    <row r="181" spans="2:3">
      <c r="B181" s="1">
        <v>45897.208333333336</v>
      </c>
      <c r="C181" t="s">
        <v>171</v>
      </c>
    </row>
    <row r="182" spans="2:3">
      <c r="B182" s="1">
        <v>45897.708333333336</v>
      </c>
      <c r="C182" t="s">
        <v>172</v>
      </c>
    </row>
    <row r="183" spans="2:3">
      <c r="B183" s="1">
        <v>45898.208333333336</v>
      </c>
      <c r="C183" t="s">
        <v>171</v>
      </c>
    </row>
    <row r="184" spans="2:3">
      <c r="B184" s="1">
        <v>45898.708333333336</v>
      </c>
      <c r="C184" t="s">
        <v>172</v>
      </c>
    </row>
    <row r="185" spans="2:3">
      <c r="B185" s="1">
        <v>45899.208333333336</v>
      </c>
      <c r="C185" t="s">
        <v>171</v>
      </c>
    </row>
    <row r="186" spans="2:3">
      <c r="B186" s="1">
        <v>45899.708333333336</v>
      </c>
      <c r="C186" t="s">
        <v>172</v>
      </c>
    </row>
    <row r="187" spans="2:3">
      <c r="B187" s="1">
        <v>45900.208333333336</v>
      </c>
      <c r="C187" t="s">
        <v>171</v>
      </c>
    </row>
    <row r="188" spans="2:3">
      <c r="B188" s="1">
        <v>45900.708333333336</v>
      </c>
      <c r="C188" t="s">
        <v>172</v>
      </c>
    </row>
    <row r="189" spans="2:3">
      <c r="B189" s="1">
        <v>45901.208333333336</v>
      </c>
      <c r="C189" t="s">
        <v>171</v>
      </c>
    </row>
    <row r="190" spans="2:3">
      <c r="B190" s="1">
        <v>45901.708333333336</v>
      </c>
      <c r="C190" t="s">
        <v>172</v>
      </c>
    </row>
    <row r="191" spans="2:3">
      <c r="B191" s="1">
        <v>45902.208333333336</v>
      </c>
      <c r="C191" t="s">
        <v>171</v>
      </c>
    </row>
    <row r="192" spans="2:3">
      <c r="B192" s="1">
        <v>45902.708333333336</v>
      </c>
      <c r="C192" t="s">
        <v>172</v>
      </c>
    </row>
    <row r="193" spans="2:3">
      <c r="B193" s="1">
        <v>45903.208333333336</v>
      </c>
      <c r="C193" t="s">
        <v>171</v>
      </c>
    </row>
    <row r="194" spans="2:3">
      <c r="B194" s="1">
        <v>45903.708333333336</v>
      </c>
      <c r="C194" t="s">
        <v>172</v>
      </c>
    </row>
    <row r="195" spans="2:3">
      <c r="B195" s="1">
        <v>45904.208333333336</v>
      </c>
      <c r="C195" t="s">
        <v>171</v>
      </c>
    </row>
    <row r="196" spans="2:3">
      <c r="B196" s="1">
        <v>45904.708333333336</v>
      </c>
      <c r="C196" t="s">
        <v>172</v>
      </c>
    </row>
    <row r="197" spans="2:3">
      <c r="B197" s="1">
        <v>45905.208333333336</v>
      </c>
      <c r="C197" t="s">
        <v>171</v>
      </c>
    </row>
    <row r="198" spans="2:3">
      <c r="B198" s="1">
        <v>45905.708333333336</v>
      </c>
      <c r="C198" t="s">
        <v>172</v>
      </c>
    </row>
    <row r="199" spans="2:3">
      <c r="B199" s="1">
        <v>45906.208333333336</v>
      </c>
      <c r="C199" t="s">
        <v>171</v>
      </c>
    </row>
    <row r="200" spans="2:3">
      <c r="B200" s="1">
        <v>45906.708333333336</v>
      </c>
      <c r="C200" t="s">
        <v>172</v>
      </c>
    </row>
    <row r="201" spans="2:3">
      <c r="B201" s="1">
        <v>45907.208333333336</v>
      </c>
      <c r="C201" t="s">
        <v>171</v>
      </c>
    </row>
    <row r="202" spans="2:3">
      <c r="B202" s="1">
        <v>45907.708333333336</v>
      </c>
      <c r="C202" t="s">
        <v>172</v>
      </c>
    </row>
    <row r="203" spans="2:3">
      <c r="B203" s="1">
        <v>45908.208333333336</v>
      </c>
      <c r="C203" t="s">
        <v>171</v>
      </c>
    </row>
    <row r="204" spans="2:3">
      <c r="B204" s="1">
        <v>45908.708333333336</v>
      </c>
      <c r="C204" t="s">
        <v>172</v>
      </c>
    </row>
    <row r="205" spans="2:3">
      <c r="B205" s="1">
        <v>45909.208333333336</v>
      </c>
      <c r="C205" t="s">
        <v>171</v>
      </c>
    </row>
    <row r="206" spans="2:3">
      <c r="B206" s="1">
        <v>45909.708333333336</v>
      </c>
      <c r="C206" t="s">
        <v>172</v>
      </c>
    </row>
    <row r="207" spans="2:3">
      <c r="B207" s="1">
        <v>45910.208333333336</v>
      </c>
      <c r="C207" t="s">
        <v>171</v>
      </c>
    </row>
    <row r="208" spans="2:3">
      <c r="B208" s="1">
        <v>45910.708333333336</v>
      </c>
      <c r="C208" t="s">
        <v>172</v>
      </c>
    </row>
    <row r="209" spans="2:3">
      <c r="B209" s="1">
        <v>45911.208333333336</v>
      </c>
      <c r="C209" t="s">
        <v>171</v>
      </c>
    </row>
    <row r="210" spans="2:3">
      <c r="B210" s="1">
        <v>45911.708333333336</v>
      </c>
      <c r="C210" t="s">
        <v>172</v>
      </c>
    </row>
    <row r="211" spans="2:3">
      <c r="B211" s="1">
        <v>45912.208333333336</v>
      </c>
      <c r="C211" t="s">
        <v>171</v>
      </c>
    </row>
    <row r="212" spans="2:3">
      <c r="B212" s="1">
        <v>45912.708333333336</v>
      </c>
      <c r="C212" t="s">
        <v>172</v>
      </c>
    </row>
    <row r="213" spans="2:3">
      <c r="B213" s="1">
        <v>45913.208333333336</v>
      </c>
      <c r="C213" t="s">
        <v>171</v>
      </c>
    </row>
    <row r="214" spans="2:3">
      <c r="B214" s="1">
        <v>45913.708333333336</v>
      </c>
      <c r="C214" t="s">
        <v>172</v>
      </c>
    </row>
    <row r="215" spans="2:3">
      <c r="B215" s="1">
        <v>45914.208333333336</v>
      </c>
      <c r="C215" t="s">
        <v>171</v>
      </c>
    </row>
    <row r="216" spans="2:3">
      <c r="B216" s="1">
        <v>45914.708333333336</v>
      </c>
      <c r="C216" t="s">
        <v>172</v>
      </c>
    </row>
    <row r="217" spans="2:3">
      <c r="B217" s="1">
        <v>45915.208333333336</v>
      </c>
      <c r="C217" t="s">
        <v>171</v>
      </c>
    </row>
    <row r="218" spans="2:3">
      <c r="B218" s="1">
        <v>45915.708333333336</v>
      </c>
      <c r="C218" t="s">
        <v>172</v>
      </c>
    </row>
    <row r="219" spans="2:3">
      <c r="B219" s="1">
        <v>45916.208333333336</v>
      </c>
      <c r="C219" t="s">
        <v>171</v>
      </c>
    </row>
    <row r="220" spans="2:3">
      <c r="B220" s="1">
        <v>45916.708333333336</v>
      </c>
      <c r="C220" t="s">
        <v>172</v>
      </c>
    </row>
    <row r="221" spans="2:3">
      <c r="B221" s="1">
        <v>45917.208333333336</v>
      </c>
      <c r="C221" t="s">
        <v>171</v>
      </c>
    </row>
    <row r="222" spans="2:3">
      <c r="B222" s="1">
        <v>45917.708333333336</v>
      </c>
      <c r="C222" t="s">
        <v>172</v>
      </c>
    </row>
    <row r="223" spans="2:3">
      <c r="B223" s="1">
        <v>45918.208333333336</v>
      </c>
      <c r="C223" t="s">
        <v>171</v>
      </c>
    </row>
    <row r="224" spans="2:3">
      <c r="B224" s="1">
        <v>45918.708333333336</v>
      </c>
      <c r="C224" t="s">
        <v>172</v>
      </c>
    </row>
    <row r="225" spans="2:3">
      <c r="B225" s="1">
        <v>45919.208333333336</v>
      </c>
      <c r="C225" t="s">
        <v>171</v>
      </c>
    </row>
    <row r="226" spans="2:3">
      <c r="B226" s="1">
        <v>45919.708333333336</v>
      </c>
      <c r="C226" t="s">
        <v>172</v>
      </c>
    </row>
    <row r="227" spans="2:3">
      <c r="B227" s="1">
        <v>45920.208333333336</v>
      </c>
      <c r="C227" t="s">
        <v>171</v>
      </c>
    </row>
    <row r="228" spans="2:3">
      <c r="B228" s="1">
        <v>45920.708333333336</v>
      </c>
      <c r="C228" t="s">
        <v>172</v>
      </c>
    </row>
    <row r="229" spans="2:3">
      <c r="B229" s="1">
        <v>45921.208333333336</v>
      </c>
      <c r="C229" t="s">
        <v>171</v>
      </c>
    </row>
    <row r="230" spans="2:3">
      <c r="B230" s="1">
        <v>45921.708333333336</v>
      </c>
      <c r="C230" t="s">
        <v>172</v>
      </c>
    </row>
    <row r="231" spans="2:3">
      <c r="B231" s="1">
        <v>45922.208333333336</v>
      </c>
      <c r="C231" t="s">
        <v>171</v>
      </c>
    </row>
    <row r="232" spans="2:3">
      <c r="B232" s="1">
        <v>45922.708333333336</v>
      </c>
      <c r="C232" t="s">
        <v>172</v>
      </c>
    </row>
    <row r="233" spans="2:3">
      <c r="B233" s="1">
        <v>45923.208333333336</v>
      </c>
      <c r="C233" t="s">
        <v>171</v>
      </c>
    </row>
    <row r="234" spans="2:3">
      <c r="B234" s="1">
        <v>45923.708333333336</v>
      </c>
      <c r="C234" t="s">
        <v>172</v>
      </c>
    </row>
    <row r="235" spans="2:3">
      <c r="B235" s="1">
        <v>45924.208333333336</v>
      </c>
      <c r="C235" t="s">
        <v>171</v>
      </c>
    </row>
    <row r="236" spans="2:3">
      <c r="B236" s="1">
        <v>45924.708333333336</v>
      </c>
      <c r="C236" t="s">
        <v>172</v>
      </c>
    </row>
    <row r="237" spans="2:3">
      <c r="B237" s="1">
        <v>45925.208333333336</v>
      </c>
      <c r="C237" t="s">
        <v>171</v>
      </c>
    </row>
    <row r="238" spans="2:3">
      <c r="B238" s="1">
        <v>45925.708333333336</v>
      </c>
      <c r="C238" t="s">
        <v>172</v>
      </c>
    </row>
    <row r="239" spans="2:3">
      <c r="B239" s="1">
        <v>45926.208333333336</v>
      </c>
      <c r="C239" t="s">
        <v>171</v>
      </c>
    </row>
    <row r="240" spans="2:3">
      <c r="B240" s="1">
        <v>45926.708333333336</v>
      </c>
      <c r="C240" t="s">
        <v>172</v>
      </c>
    </row>
    <row r="241" spans="2:3">
      <c r="B241" s="1">
        <v>45927.208333333336</v>
      </c>
      <c r="C241" t="s">
        <v>171</v>
      </c>
    </row>
    <row r="242" spans="2:3">
      <c r="B242" s="1">
        <v>45927.708333333336</v>
      </c>
      <c r="C242" t="s">
        <v>172</v>
      </c>
    </row>
    <row r="243" spans="2:3">
      <c r="B243" s="1">
        <v>45928.208333333336</v>
      </c>
      <c r="C243" t="s">
        <v>171</v>
      </c>
    </row>
    <row r="244" spans="2:3">
      <c r="B244" s="1">
        <v>45928.708333333336</v>
      </c>
      <c r="C244" t="s">
        <v>172</v>
      </c>
    </row>
    <row r="245" spans="2:3">
      <c r="B245" s="1">
        <v>45929.208333333336</v>
      </c>
      <c r="C245" t="s">
        <v>171</v>
      </c>
    </row>
    <row r="246" spans="2:3">
      <c r="B246" s="1">
        <v>45929.708333333336</v>
      </c>
      <c r="C246" t="s">
        <v>172</v>
      </c>
    </row>
    <row r="247" spans="2:3">
      <c r="B247" s="1">
        <v>45930.208333333336</v>
      </c>
      <c r="C247" t="s">
        <v>171</v>
      </c>
    </row>
    <row r="248" spans="2:3">
      <c r="B248" s="1">
        <v>45930.708333333336</v>
      </c>
      <c r="C248" t="s">
        <v>172</v>
      </c>
    </row>
    <row r="249" spans="2:3">
      <c r="B249" s="1">
        <v>45931.208333333336</v>
      </c>
      <c r="C249" t="s">
        <v>171</v>
      </c>
    </row>
    <row r="250" spans="2:3">
      <c r="B250" s="1">
        <v>45931.708333333336</v>
      </c>
      <c r="C250" t="s">
        <v>172</v>
      </c>
    </row>
    <row r="251" spans="2:3">
      <c r="B251" s="1">
        <v>45932.208333333336</v>
      </c>
      <c r="C251" t="s">
        <v>171</v>
      </c>
    </row>
    <row r="252" spans="2:3">
      <c r="B252" s="1">
        <v>45932.708333333336</v>
      </c>
      <c r="C252" t="s">
        <v>172</v>
      </c>
    </row>
    <row r="253" spans="2:3">
      <c r="B253" s="1">
        <v>45933.208333333336</v>
      </c>
      <c r="C253" t="s">
        <v>171</v>
      </c>
    </row>
    <row r="254" spans="2:3">
      <c r="B254" s="1">
        <v>45933.708333333336</v>
      </c>
      <c r="C254" t="s">
        <v>172</v>
      </c>
    </row>
    <row r="255" spans="2:3">
      <c r="B255" s="1">
        <v>45934.208333333336</v>
      </c>
      <c r="C255" t="s">
        <v>171</v>
      </c>
    </row>
    <row r="256" spans="2:3">
      <c r="B256" s="1">
        <v>45934.708333333336</v>
      </c>
      <c r="C256" t="s">
        <v>172</v>
      </c>
    </row>
    <row r="257" spans="2:3">
      <c r="B257" s="1">
        <v>45935.208333333336</v>
      </c>
      <c r="C257" t="s">
        <v>171</v>
      </c>
    </row>
    <row r="258" spans="2:3">
      <c r="B258" s="1">
        <v>45935.708333333336</v>
      </c>
      <c r="C258" t="s">
        <v>172</v>
      </c>
    </row>
    <row r="259" spans="2:3">
      <c r="B259" s="1">
        <v>45936.208333333336</v>
      </c>
      <c r="C259" t="s">
        <v>171</v>
      </c>
    </row>
    <row r="260" spans="2:3">
      <c r="B260" s="1">
        <v>45936.708333333336</v>
      </c>
      <c r="C260" t="s">
        <v>172</v>
      </c>
    </row>
    <row r="261" spans="2:3">
      <c r="B261" s="1">
        <v>45937.208333333336</v>
      </c>
      <c r="C261" t="s">
        <v>171</v>
      </c>
    </row>
    <row r="262" spans="2:3">
      <c r="B262" s="1">
        <v>45937.708333333336</v>
      </c>
      <c r="C262" t="s">
        <v>172</v>
      </c>
    </row>
    <row r="263" spans="2:3">
      <c r="B263" s="1">
        <v>45938.208333333336</v>
      </c>
      <c r="C263" t="s">
        <v>171</v>
      </c>
    </row>
    <row r="264" spans="2:3">
      <c r="B264" s="1">
        <v>45938.708333333336</v>
      </c>
      <c r="C264" t="s">
        <v>172</v>
      </c>
    </row>
    <row r="265" spans="2:3">
      <c r="B265" s="1">
        <v>45939.208333333336</v>
      </c>
      <c r="C265" t="s">
        <v>171</v>
      </c>
    </row>
    <row r="266" spans="2:3">
      <c r="B266" s="1">
        <v>45939.708333333336</v>
      </c>
      <c r="C266" t="s">
        <v>172</v>
      </c>
    </row>
    <row r="267" spans="2:3">
      <c r="B267" s="1">
        <v>45940.208333333336</v>
      </c>
      <c r="C267" t="s">
        <v>171</v>
      </c>
    </row>
    <row r="268" spans="2:3">
      <c r="B268" s="1">
        <v>45940.708333333336</v>
      </c>
      <c r="C268" t="s">
        <v>172</v>
      </c>
    </row>
    <row r="269" spans="2:3">
      <c r="B269" s="1">
        <v>45941.208333333336</v>
      </c>
      <c r="C269" t="s">
        <v>171</v>
      </c>
    </row>
    <row r="270" spans="2:3">
      <c r="B270" s="1">
        <v>45941.708333333336</v>
      </c>
      <c r="C270" t="s">
        <v>172</v>
      </c>
    </row>
    <row r="271" spans="2:3">
      <c r="B271" s="1">
        <v>45942.208333333336</v>
      </c>
      <c r="C271" t="s">
        <v>171</v>
      </c>
    </row>
    <row r="272" spans="2:3">
      <c r="B272" s="1">
        <v>45942.708333333336</v>
      </c>
      <c r="C272" t="s">
        <v>172</v>
      </c>
    </row>
    <row r="273" spans="2:3">
      <c r="B273" s="1">
        <v>45943.208333333336</v>
      </c>
      <c r="C273" t="s">
        <v>171</v>
      </c>
    </row>
    <row r="274" spans="2:3">
      <c r="B274" s="1">
        <v>45943.708333333336</v>
      </c>
      <c r="C274" t="s">
        <v>172</v>
      </c>
    </row>
    <row r="275" spans="2:3">
      <c r="B275" s="1">
        <v>45944.208333333336</v>
      </c>
      <c r="C275" t="s">
        <v>171</v>
      </c>
    </row>
    <row r="276" spans="2:3">
      <c r="B276" s="1">
        <v>45944.708333333336</v>
      </c>
      <c r="C276" t="s">
        <v>172</v>
      </c>
    </row>
    <row r="277" spans="2:3">
      <c r="B277" s="1">
        <v>45945.208333333336</v>
      </c>
      <c r="C277" t="s">
        <v>171</v>
      </c>
    </row>
    <row r="278" spans="2:3">
      <c r="B278" s="1">
        <v>45945.708333333336</v>
      </c>
      <c r="C278" t="s">
        <v>172</v>
      </c>
    </row>
    <row r="279" spans="2:3">
      <c r="B279" s="1">
        <v>45946.208333333336</v>
      </c>
      <c r="C279" t="s">
        <v>171</v>
      </c>
    </row>
    <row r="280" spans="2:3">
      <c r="B280" s="1">
        <v>45946.708333333336</v>
      </c>
      <c r="C280" t="s">
        <v>172</v>
      </c>
    </row>
    <row r="281" spans="2:3">
      <c r="B281" s="1">
        <v>45947.208333333336</v>
      </c>
      <c r="C281" t="s">
        <v>171</v>
      </c>
    </row>
    <row r="282" spans="2:3">
      <c r="B282" s="1">
        <v>45947.708333333336</v>
      </c>
      <c r="C282" t="s">
        <v>172</v>
      </c>
    </row>
    <row r="283" spans="2:3">
      <c r="B283" s="1">
        <v>45948.208333333336</v>
      </c>
      <c r="C283" t="s">
        <v>171</v>
      </c>
    </row>
    <row r="284" spans="2:3">
      <c r="B284" s="1">
        <v>45948.708333333336</v>
      </c>
      <c r="C284" t="s">
        <v>172</v>
      </c>
    </row>
    <row r="285" spans="2:3">
      <c r="B285" s="1">
        <v>45949.208333333336</v>
      </c>
      <c r="C285" t="s">
        <v>171</v>
      </c>
    </row>
    <row r="286" spans="2:3">
      <c r="B286" s="1">
        <v>45949.708333333336</v>
      </c>
      <c r="C286" t="s">
        <v>172</v>
      </c>
    </row>
    <row r="287" spans="2:3">
      <c r="B287" s="1">
        <v>45950.208333333336</v>
      </c>
      <c r="C287" t="s">
        <v>171</v>
      </c>
    </row>
    <row r="288" spans="2:3">
      <c r="B288" s="1">
        <v>45950.708333333336</v>
      </c>
      <c r="C288" t="s">
        <v>172</v>
      </c>
    </row>
    <row r="289" spans="2:3">
      <c r="B289" s="1">
        <v>45951.208333333336</v>
      </c>
      <c r="C289" t="s">
        <v>171</v>
      </c>
    </row>
    <row r="290" spans="2:3">
      <c r="B290" s="1">
        <v>45951.708333333336</v>
      </c>
      <c r="C290" t="s">
        <v>172</v>
      </c>
    </row>
    <row r="291" spans="2:3">
      <c r="B291" s="1">
        <v>45952.208333333336</v>
      </c>
      <c r="C291" t="s">
        <v>171</v>
      </c>
    </row>
    <row r="292" spans="2:3">
      <c r="B292" s="1">
        <v>45952.708333333336</v>
      </c>
      <c r="C292" t="s">
        <v>172</v>
      </c>
    </row>
    <row r="293" spans="2:3">
      <c r="B293" s="1">
        <v>45953.208333333336</v>
      </c>
      <c r="C293" t="s">
        <v>171</v>
      </c>
    </row>
    <row r="294" spans="2:3">
      <c r="B294" s="1">
        <v>45953.708333333336</v>
      </c>
      <c r="C294" t="s">
        <v>172</v>
      </c>
    </row>
    <row r="295" spans="2:3">
      <c r="B295" s="1">
        <v>45954.208333333336</v>
      </c>
      <c r="C295" t="s">
        <v>171</v>
      </c>
    </row>
    <row r="296" spans="2:3">
      <c r="B296" s="1">
        <v>45954.708333333336</v>
      </c>
      <c r="C296" t="s">
        <v>172</v>
      </c>
    </row>
    <row r="297" spans="2:3">
      <c r="B297" s="1">
        <v>45955.208333333336</v>
      </c>
      <c r="C297" t="s">
        <v>171</v>
      </c>
    </row>
    <row r="298" spans="2:3">
      <c r="B298" s="1">
        <v>45955.708333333336</v>
      </c>
      <c r="C298" t="s">
        <v>172</v>
      </c>
    </row>
    <row r="299" spans="2:3">
      <c r="B299" s="1">
        <v>45956.208333333336</v>
      </c>
      <c r="C299" t="s">
        <v>171</v>
      </c>
    </row>
    <row r="300" spans="2:3">
      <c r="B300" s="1">
        <v>45956.708333333336</v>
      </c>
      <c r="C300" t="s">
        <v>172</v>
      </c>
    </row>
    <row r="301" spans="2:3">
      <c r="B301" s="1">
        <v>45957.208333333336</v>
      </c>
      <c r="C301" t="s">
        <v>171</v>
      </c>
    </row>
    <row r="302" spans="2:3">
      <c r="B302" s="1">
        <v>45957.708333333336</v>
      </c>
      <c r="C302" t="s">
        <v>172</v>
      </c>
    </row>
    <row r="303" spans="2:3">
      <c r="B303" s="1">
        <v>45958.208333333336</v>
      </c>
      <c r="C303" t="s">
        <v>171</v>
      </c>
    </row>
    <row r="304" spans="2:3">
      <c r="B304" s="1">
        <v>45958.708333333336</v>
      </c>
      <c r="C304" t="s">
        <v>172</v>
      </c>
    </row>
    <row r="305" spans="2:3">
      <c r="B305" s="1">
        <v>45959.208333333336</v>
      </c>
      <c r="C305" t="s">
        <v>171</v>
      </c>
    </row>
    <row r="306" spans="2:3">
      <c r="B306" s="1">
        <v>45959.708333333336</v>
      </c>
      <c r="C306" t="s">
        <v>172</v>
      </c>
    </row>
    <row r="307" spans="2:3">
      <c r="B307" s="1">
        <v>45960.208333333336</v>
      </c>
      <c r="C307" t="s">
        <v>171</v>
      </c>
    </row>
    <row r="308" spans="2:3">
      <c r="B308" s="1">
        <v>45960.708333333336</v>
      </c>
      <c r="C308"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6BBBC-7F11-41A9-A24A-6F13E158361D}">
  <sheetPr codeName="Sheet12"/>
  <dimension ref="A1:E15"/>
  <sheetViews>
    <sheetView workbookViewId="0"/>
  </sheetViews>
  <sheetFormatPr defaultRowHeight="15"/>
  <cols>
    <col min="1" max="3" width="60.7109375" customWidth="1"/>
    <col min="4" max="4" width="19.85546875" customWidth="1"/>
    <col min="5" max="5" width="21" customWidth="1"/>
  </cols>
  <sheetData>
    <row r="1" spans="1:5">
      <c r="A1" s="269" t="s">
        <v>932</v>
      </c>
      <c r="B1" s="269" t="s">
        <v>123</v>
      </c>
      <c r="C1" s="269" t="s">
        <v>933</v>
      </c>
      <c r="D1" s="269" t="s">
        <v>934</v>
      </c>
      <c r="E1" s="269" t="s">
        <v>935</v>
      </c>
    </row>
    <row r="2" spans="1:5">
      <c r="A2" s="148" t="s">
        <v>110</v>
      </c>
      <c r="B2" s="148" t="s">
        <v>1</v>
      </c>
      <c r="C2" s="148" t="s">
        <v>11</v>
      </c>
      <c r="D2">
        <v>24</v>
      </c>
      <c r="E2">
        <v>2045</v>
      </c>
    </row>
    <row r="3" spans="1:5">
      <c r="A3" s="148" t="s">
        <v>113</v>
      </c>
      <c r="B3" s="148" t="s">
        <v>1</v>
      </c>
      <c r="C3" s="148" t="s">
        <v>9</v>
      </c>
      <c r="D3">
        <v>12</v>
      </c>
      <c r="E3">
        <v>1040</v>
      </c>
    </row>
    <row r="5" spans="1:5">
      <c r="A5" s="148" t="s">
        <v>92</v>
      </c>
      <c r="B5" s="148" t="s">
        <v>1</v>
      </c>
      <c r="C5" s="148" t="s">
        <v>12</v>
      </c>
      <c r="D5">
        <v>8</v>
      </c>
      <c r="E5">
        <v>1260</v>
      </c>
    </row>
    <row r="6" spans="1:5" ht="14.25" customHeight="1">
      <c r="A6" s="148" t="s">
        <v>92</v>
      </c>
      <c r="B6" s="148" t="s">
        <v>2</v>
      </c>
      <c r="C6" s="148" t="s">
        <v>12</v>
      </c>
      <c r="D6">
        <v>155</v>
      </c>
      <c r="E6">
        <v>18025</v>
      </c>
    </row>
    <row r="7" spans="1:5" ht="14.25" customHeight="1">
      <c r="A7" s="148"/>
      <c r="B7" s="148"/>
      <c r="C7" s="148"/>
    </row>
    <row r="8" spans="1:5">
      <c r="A8" s="148" t="s">
        <v>114</v>
      </c>
      <c r="B8" s="148" t="s">
        <v>2</v>
      </c>
      <c r="C8" s="148" t="s">
        <v>109</v>
      </c>
      <c r="D8">
        <v>39</v>
      </c>
      <c r="E8">
        <v>4935</v>
      </c>
    </row>
    <row r="9" spans="1:5">
      <c r="A9" s="148" t="s">
        <v>114</v>
      </c>
      <c r="B9" s="148" t="s">
        <v>1</v>
      </c>
      <c r="C9" s="148" t="s">
        <v>109</v>
      </c>
      <c r="D9">
        <v>5</v>
      </c>
      <c r="E9">
        <v>581</v>
      </c>
    </row>
    <row r="10" spans="1:5">
      <c r="A10" s="148"/>
      <c r="B10" s="148"/>
      <c r="C10" s="148"/>
    </row>
    <row r="11" spans="1:5">
      <c r="A11" s="148" t="s">
        <v>108</v>
      </c>
      <c r="B11" s="148" t="s">
        <v>1</v>
      </c>
      <c r="C11" s="148" t="s">
        <v>109</v>
      </c>
      <c r="D11">
        <v>5</v>
      </c>
      <c r="E11">
        <v>450</v>
      </c>
    </row>
    <row r="12" spans="1:5">
      <c r="A12" s="148" t="s">
        <v>108</v>
      </c>
      <c r="B12" s="148" t="s">
        <v>2</v>
      </c>
      <c r="C12" s="148" t="s">
        <v>109</v>
      </c>
      <c r="D12">
        <v>42</v>
      </c>
      <c r="E12">
        <v>3735</v>
      </c>
    </row>
    <row r="13" spans="1:5">
      <c r="A13" s="148"/>
      <c r="B13" s="148"/>
      <c r="C13" s="148"/>
    </row>
    <row r="14" spans="1:5">
      <c r="A14" s="148" t="s">
        <v>111</v>
      </c>
      <c r="B14" s="148" t="s">
        <v>2</v>
      </c>
      <c r="C14" s="148" t="s">
        <v>112</v>
      </c>
      <c r="D14">
        <v>7</v>
      </c>
      <c r="E14">
        <v>630</v>
      </c>
    </row>
    <row r="15" spans="1:5">
      <c r="A15" s="148" t="s">
        <v>115</v>
      </c>
      <c r="B15" s="148" t="s">
        <v>2</v>
      </c>
      <c r="C15" s="148" t="s">
        <v>112</v>
      </c>
      <c r="D15">
        <v>10</v>
      </c>
      <c r="E15">
        <v>900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957E-6392-4C51-8DF3-C318D13638B8}">
  <sheetPr codeName="Sheet13"/>
  <dimension ref="A2:R130"/>
  <sheetViews>
    <sheetView workbookViewId="0"/>
  </sheetViews>
  <sheetFormatPr defaultColWidth="24.85546875" defaultRowHeight="15"/>
  <cols>
    <col min="1" max="1" width="41.42578125" customWidth="1"/>
    <col min="2" max="2" width="30" bestFit="1" customWidth="1"/>
    <col min="3" max="3" width="27.140625" bestFit="1" customWidth="1"/>
    <col min="4" max="4" width="17.85546875" bestFit="1" customWidth="1"/>
    <col min="5" max="5" width="38.7109375" bestFit="1" customWidth="1"/>
    <col min="6" max="6" width="18.5703125" bestFit="1" customWidth="1"/>
    <col min="7" max="7" width="13.42578125" bestFit="1" customWidth="1"/>
  </cols>
  <sheetData>
    <row r="2" spans="1:9">
      <c r="A2" t="s">
        <v>936</v>
      </c>
    </row>
    <row r="3" spans="1:9">
      <c r="A3" s="149" t="s">
        <v>4</v>
      </c>
      <c r="B3" t="s">
        <v>104</v>
      </c>
      <c r="C3" t="s">
        <v>100</v>
      </c>
      <c r="D3" t="s">
        <v>5</v>
      </c>
      <c r="E3" t="s">
        <v>937</v>
      </c>
      <c r="F3" t="s">
        <v>938</v>
      </c>
      <c r="G3" t="s">
        <v>939</v>
      </c>
    </row>
    <row r="4" spans="1:9">
      <c r="A4" s="150" t="s">
        <v>9</v>
      </c>
      <c r="B4">
        <v>37710</v>
      </c>
      <c r="C4">
        <v>48535</v>
      </c>
      <c r="D4">
        <v>99913.94</v>
      </c>
      <c r="E4">
        <v>1863.94</v>
      </c>
      <c r="F4">
        <v>6630</v>
      </c>
      <c r="G4">
        <v>17</v>
      </c>
    </row>
    <row r="5" spans="1:9">
      <c r="A5" s="150" t="s">
        <v>11</v>
      </c>
      <c r="B5">
        <v>53160</v>
      </c>
      <c r="C5">
        <v>124760</v>
      </c>
      <c r="D5">
        <v>208734.03999999995</v>
      </c>
      <c r="E5">
        <v>7389.0400000000009</v>
      </c>
      <c r="F5">
        <v>13650</v>
      </c>
      <c r="G5">
        <v>34</v>
      </c>
    </row>
    <row r="6" spans="1:9">
      <c r="A6" s="150" t="s">
        <v>15</v>
      </c>
      <c r="B6">
        <v>90870</v>
      </c>
      <c r="C6">
        <v>173295</v>
      </c>
      <c r="D6">
        <v>308647.97999999992</v>
      </c>
      <c r="E6">
        <v>9252.9799999999977</v>
      </c>
      <c r="F6">
        <v>20280</v>
      </c>
      <c r="G6">
        <v>51</v>
      </c>
    </row>
    <row r="7" spans="1:9">
      <c r="A7" s="150" t="s">
        <v>940</v>
      </c>
    </row>
    <row r="8" spans="1:9">
      <c r="A8" s="149" t="s">
        <v>4</v>
      </c>
      <c r="B8" t="s">
        <v>104</v>
      </c>
      <c r="C8" t="s">
        <v>100</v>
      </c>
      <c r="D8" t="s">
        <v>5</v>
      </c>
      <c r="E8" t="s">
        <v>941</v>
      </c>
      <c r="F8" t="s">
        <v>938</v>
      </c>
      <c r="G8" t="s">
        <v>939</v>
      </c>
    </row>
    <row r="9" spans="1:9">
      <c r="A9" s="150" t="s">
        <v>9</v>
      </c>
      <c r="B9">
        <v>22975</v>
      </c>
      <c r="C9">
        <v>74968.5</v>
      </c>
      <c r="D9">
        <v>111026.31999999999</v>
      </c>
      <c r="E9">
        <v>887.82000000000016</v>
      </c>
      <c r="F9">
        <v>7020</v>
      </c>
      <c r="G9">
        <v>18</v>
      </c>
    </row>
    <row r="10" spans="1:9">
      <c r="A10" s="150" t="s">
        <v>11</v>
      </c>
      <c r="B10">
        <v>114930</v>
      </c>
      <c r="C10">
        <v>258602.5</v>
      </c>
      <c r="D10">
        <v>447310.88999999972</v>
      </c>
      <c r="E10">
        <v>22658.39000000001</v>
      </c>
      <c r="F10">
        <v>30420</v>
      </c>
      <c r="G10">
        <v>72</v>
      </c>
    </row>
    <row r="11" spans="1:9">
      <c r="A11" s="150" t="s">
        <v>15</v>
      </c>
      <c r="B11">
        <v>137905</v>
      </c>
      <c r="C11">
        <v>333571</v>
      </c>
      <c r="D11">
        <v>558337.21</v>
      </c>
      <c r="E11">
        <v>23546.210000000014</v>
      </c>
      <c r="F11">
        <v>37440</v>
      </c>
      <c r="G11">
        <v>90</v>
      </c>
    </row>
    <row r="12" spans="1:9">
      <c r="A12" s="2"/>
      <c r="B12" s="2"/>
      <c r="C12" s="2"/>
      <c r="D12" s="2"/>
      <c r="E12" s="2"/>
    </row>
    <row r="13" spans="1:9">
      <c r="A13" s="153" t="s">
        <v>4</v>
      </c>
      <c r="B13" s="9" t="s">
        <v>942</v>
      </c>
      <c r="C13" s="9" t="s">
        <v>100</v>
      </c>
      <c r="D13" s="9" t="s">
        <v>938</v>
      </c>
      <c r="E13" s="9" t="s">
        <v>5</v>
      </c>
      <c r="F13" s="99" t="s">
        <v>939</v>
      </c>
      <c r="G13" s="9" t="s">
        <v>943</v>
      </c>
      <c r="H13" s="9" t="s">
        <v>944</v>
      </c>
      <c r="I13" s="9"/>
    </row>
    <row r="14" spans="1:9">
      <c r="A14" s="154" t="s">
        <v>12</v>
      </c>
      <c r="B14" s="9">
        <v>141265</v>
      </c>
      <c r="C14" s="9">
        <v>231128.75</v>
      </c>
      <c r="D14" s="9">
        <v>16250</v>
      </c>
      <c r="E14" s="9">
        <v>419218.17</v>
      </c>
      <c r="F14" s="99">
        <v>37</v>
      </c>
      <c r="G14" s="9">
        <v>166.25</v>
      </c>
      <c r="H14" s="9">
        <v>167.25</v>
      </c>
      <c r="I14" s="9"/>
    </row>
    <row r="15" spans="1:9">
      <c r="A15" s="154" t="s">
        <v>15</v>
      </c>
      <c r="B15" s="9">
        <v>141265</v>
      </c>
      <c r="C15" s="9">
        <v>231128.75</v>
      </c>
      <c r="D15" s="9">
        <v>16250</v>
      </c>
      <c r="E15" s="9">
        <v>419218.17</v>
      </c>
      <c r="F15" s="99">
        <v>37</v>
      </c>
      <c r="G15" s="9">
        <v>166.25</v>
      </c>
      <c r="H15" s="9">
        <v>167.25</v>
      </c>
      <c r="I15" s="9"/>
    </row>
    <row r="17" spans="1:12">
      <c r="A17" t="s">
        <v>945</v>
      </c>
      <c r="B17" s="1">
        <f ca="1">TODAY()</f>
        <v>46108</v>
      </c>
      <c r="K17" s="2" t="s">
        <v>946</v>
      </c>
    </row>
    <row r="18" spans="1:12">
      <c r="A18" s="2" t="s">
        <v>4</v>
      </c>
      <c r="B18" s="2" t="s">
        <v>104</v>
      </c>
      <c r="C18" s="2" t="s">
        <v>5</v>
      </c>
      <c r="D18" s="2" t="s">
        <v>937</v>
      </c>
      <c r="E18" s="2" t="s">
        <v>938</v>
      </c>
      <c r="F18" s="2" t="s">
        <v>939</v>
      </c>
      <c r="H18" s="2" t="s">
        <v>947</v>
      </c>
      <c r="I18" s="2" t="s">
        <v>948</v>
      </c>
      <c r="J18" s="2" t="s">
        <v>949</v>
      </c>
      <c r="K18" s="2" t="s">
        <v>950</v>
      </c>
    </row>
    <row r="19" spans="1:12" s="4" customFormat="1">
      <c r="A19" s="5" t="s">
        <v>9</v>
      </c>
      <c r="B19" s="5">
        <v>37710</v>
      </c>
      <c r="C19" s="5">
        <v>99913.94</v>
      </c>
      <c r="D19" s="5">
        <v>1863.94</v>
      </c>
      <c r="E19" s="5">
        <v>6630</v>
      </c>
      <c r="F19" s="162">
        <v>17</v>
      </c>
      <c r="G19" s="4">
        <v>9</v>
      </c>
      <c r="H19" s="4">
        <f>G19*575</f>
        <v>5175</v>
      </c>
      <c r="J19" s="5">
        <f>C19-B19</f>
        <v>62203.94</v>
      </c>
      <c r="K19" s="5">
        <f>B19</f>
        <v>37710</v>
      </c>
    </row>
    <row r="20" spans="1:12" s="161" customFormat="1">
      <c r="A20" s="159" t="s">
        <v>11</v>
      </c>
      <c r="B20" s="159">
        <v>53160</v>
      </c>
      <c r="C20" s="159">
        <v>208734.03999999995</v>
      </c>
      <c r="D20" s="159">
        <v>7389.0400000000009</v>
      </c>
      <c r="E20" s="159">
        <v>13650</v>
      </c>
      <c r="F20" s="160">
        <v>34</v>
      </c>
      <c r="G20" s="161">
        <f>F20/2</f>
        <v>17</v>
      </c>
      <c r="H20" s="4">
        <f>G20*575</f>
        <v>9775</v>
      </c>
      <c r="I20" s="4"/>
      <c r="J20" s="159">
        <f>C20-B20</f>
        <v>155574.03999999995</v>
      </c>
      <c r="K20" s="159">
        <f>B20</f>
        <v>53160</v>
      </c>
    </row>
    <row r="21" spans="1:12">
      <c r="A21" s="2" t="s">
        <v>940</v>
      </c>
      <c r="B21" s="2"/>
      <c r="C21" s="2"/>
      <c r="D21" s="2"/>
      <c r="E21" s="2"/>
      <c r="F21" s="155"/>
      <c r="J21" s="2"/>
      <c r="K21" s="2"/>
    </row>
    <row r="22" spans="1:12">
      <c r="A22" s="2" t="s">
        <v>4</v>
      </c>
      <c r="B22" s="2" t="s">
        <v>104</v>
      </c>
      <c r="C22" s="2" t="s">
        <v>5</v>
      </c>
      <c r="D22" s="2" t="s">
        <v>941</v>
      </c>
      <c r="E22" s="2" t="s">
        <v>938</v>
      </c>
      <c r="F22" s="155" t="s">
        <v>939</v>
      </c>
      <c r="J22" s="2"/>
      <c r="K22" s="2"/>
    </row>
    <row r="23" spans="1:12" s="4" customFormat="1">
      <c r="A23" s="5" t="s">
        <v>9</v>
      </c>
      <c r="B23" s="5">
        <v>22975</v>
      </c>
      <c r="C23" s="5">
        <v>111026.31999999999</v>
      </c>
      <c r="D23" s="5">
        <v>887.82000000000016</v>
      </c>
      <c r="E23" s="5">
        <v>7020</v>
      </c>
      <c r="F23" s="162">
        <v>18</v>
      </c>
      <c r="G23" s="4">
        <f>F23/2</f>
        <v>9</v>
      </c>
      <c r="H23" s="4">
        <f>G23*575</f>
        <v>5175</v>
      </c>
      <c r="J23" s="5">
        <f>C23-B23</f>
        <v>88051.319999999992</v>
      </c>
      <c r="K23" s="5">
        <f>B23</f>
        <v>22975</v>
      </c>
    </row>
    <row r="24" spans="1:12" s="161" customFormat="1">
      <c r="A24" s="159" t="s">
        <v>11</v>
      </c>
      <c r="B24" s="159">
        <v>114930</v>
      </c>
      <c r="C24" s="159">
        <v>447310.88999999972</v>
      </c>
      <c r="D24" s="159">
        <v>22658.39000000001</v>
      </c>
      <c r="E24" s="159">
        <v>30420</v>
      </c>
      <c r="F24" s="160">
        <v>72</v>
      </c>
      <c r="G24" s="161">
        <f>F24/2</f>
        <v>36</v>
      </c>
      <c r="H24" s="4">
        <f>G24*575</f>
        <v>20700</v>
      </c>
      <c r="I24" s="4"/>
      <c r="J24" s="159">
        <f>C24-B24</f>
        <v>332380.88999999972</v>
      </c>
      <c r="K24" s="159">
        <f>B24</f>
        <v>114930</v>
      </c>
    </row>
    <row r="25" spans="1:12">
      <c r="A25" s="2" t="s">
        <v>4</v>
      </c>
      <c r="B25" s="2" t="s">
        <v>942</v>
      </c>
      <c r="C25" s="2" t="s">
        <v>100</v>
      </c>
      <c r="E25" s="2" t="s">
        <v>938</v>
      </c>
      <c r="F25" s="2" t="s">
        <v>5</v>
      </c>
      <c r="G25" s="155" t="s">
        <v>939</v>
      </c>
      <c r="K25" s="2"/>
      <c r="L25" s="2"/>
    </row>
    <row r="26" spans="1:12" s="166" customFormat="1">
      <c r="A26" s="164" t="s">
        <v>12</v>
      </c>
      <c r="B26" s="164">
        <v>141265</v>
      </c>
      <c r="C26" s="164">
        <v>231128.75</v>
      </c>
      <c r="D26" s="325">
        <f>90094.13-58000</f>
        <v>32094.130000000005</v>
      </c>
      <c r="E26" s="164">
        <v>16250</v>
      </c>
      <c r="F26" s="164">
        <v>419218.17</v>
      </c>
      <c r="G26" s="165">
        <v>37</v>
      </c>
      <c r="H26" s="165">
        <v>37</v>
      </c>
      <c r="I26" s="166">
        <f>H26*595</f>
        <v>22015</v>
      </c>
      <c r="J26" s="166">
        <f>167.25*220</f>
        <v>36795</v>
      </c>
      <c r="K26" s="164">
        <f>C26-B26</f>
        <v>89863.75</v>
      </c>
      <c r="L26" s="164">
        <f>B26</f>
        <v>141265</v>
      </c>
    </row>
    <row r="27" spans="1:12" ht="14.25" customHeight="1">
      <c r="A27" s="2"/>
      <c r="B27" s="2"/>
      <c r="C27" s="2"/>
      <c r="D27" s="2"/>
      <c r="E27" s="2"/>
      <c r="F27" s="155"/>
    </row>
    <row r="28" spans="1:12" s="38" customFormat="1">
      <c r="A28" s="156" t="s">
        <v>951</v>
      </c>
      <c r="B28" s="157">
        <f>SUM(B19,B20,B23,B24,B26)</f>
        <v>370040</v>
      </c>
      <c r="C28" s="157">
        <f t="shared" ref="C28" si="0">SUM(C19,C20,C23,C24,C26)</f>
        <v>1098113.9399999997</v>
      </c>
      <c r="D28" s="157">
        <f>SUM(D19,D20,D23,D24,E26)</f>
        <v>49049.19000000001</v>
      </c>
      <c r="E28" s="157">
        <f>SUM(E19,E20,E23,E24,F26)</f>
        <v>476938.17</v>
      </c>
      <c r="F28" s="158">
        <f>SUM(F19,F20,F23,F24,G26)</f>
        <v>178</v>
      </c>
      <c r="J28" s="157">
        <f>SUM(J19:J20,J23:J24,K26)</f>
        <v>728073.93999999971</v>
      </c>
      <c r="K28" s="157">
        <f>SUM(K19,K20,K23,K24,L26)</f>
        <v>370040</v>
      </c>
    </row>
    <row r="30" spans="1:12">
      <c r="A30" s="2"/>
      <c r="B30" s="2"/>
      <c r="C30" s="2" t="s">
        <v>952</v>
      </c>
      <c r="D30" t="s">
        <v>953</v>
      </c>
      <c r="E30" t="s">
        <v>16</v>
      </c>
      <c r="F30" s="2" t="s">
        <v>202</v>
      </c>
      <c r="G30" s="155"/>
    </row>
    <row r="31" spans="1:12" s="172" customFormat="1">
      <c r="A31" s="169" t="s">
        <v>954</v>
      </c>
      <c r="B31" s="170">
        <f>SUM(B32:B39)</f>
        <v>1244828.0007500001</v>
      </c>
      <c r="C31" s="171"/>
    </row>
    <row r="32" spans="1:12">
      <c r="A32" s="168" t="s">
        <v>955</v>
      </c>
      <c r="B32" s="167">
        <v>49300</v>
      </c>
      <c r="C32" s="2" t="s">
        <v>956</v>
      </c>
      <c r="D32" s="2"/>
    </row>
    <row r="33" spans="1:8">
      <c r="A33" s="168" t="s">
        <v>957</v>
      </c>
      <c r="B33" s="167">
        <f>2*4000</f>
        <v>8000</v>
      </c>
      <c r="C33" s="2"/>
      <c r="D33" s="2"/>
    </row>
    <row r="34" spans="1:8">
      <c r="A34" s="168" t="s">
        <v>958</v>
      </c>
      <c r="B34" s="167">
        <v>600000</v>
      </c>
      <c r="C34" s="2">
        <f>514280+4695+5000</f>
        <v>523975</v>
      </c>
      <c r="D34" s="2"/>
      <c r="E34" s="9">
        <f>C34+D34</f>
        <v>523975</v>
      </c>
      <c r="F34" t="s">
        <v>959</v>
      </c>
    </row>
    <row r="35" spans="1:8">
      <c r="A35" s="168" t="s">
        <v>960</v>
      </c>
      <c r="B35" s="167">
        <v>200000</v>
      </c>
      <c r="C35" s="2">
        <v>130568</v>
      </c>
      <c r="D35" s="2"/>
      <c r="E35" s="9">
        <f t="shared" ref="E35:E65" si="1">C35+D35</f>
        <v>130568</v>
      </c>
    </row>
    <row r="36" spans="1:8">
      <c r="A36" s="168" t="s">
        <v>961</v>
      </c>
      <c r="B36" s="167">
        <v>100000</v>
      </c>
      <c r="C36" s="2">
        <v>50160</v>
      </c>
      <c r="D36" s="2"/>
      <c r="E36" s="9">
        <f t="shared" si="1"/>
        <v>50160</v>
      </c>
    </row>
    <row r="37" spans="1:8">
      <c r="A37" s="168" t="s">
        <v>962</v>
      </c>
      <c r="B37" s="167">
        <f>0.05*SUM(B42:B43,B48:B53)</f>
        <v>177645.715</v>
      </c>
      <c r="C37" s="2"/>
      <c r="D37" s="2"/>
      <c r="E37" s="9">
        <f t="shared" si="1"/>
        <v>0</v>
      </c>
    </row>
    <row r="38" spans="1:8">
      <c r="A38" s="168" t="s">
        <v>963</v>
      </c>
      <c r="B38" s="167">
        <f>4*7*2000</f>
        <v>56000</v>
      </c>
      <c r="C38" s="2">
        <v>10752.3</v>
      </c>
      <c r="D38" s="2"/>
      <c r="E38" s="9">
        <f t="shared" si="1"/>
        <v>10752.3</v>
      </c>
      <c r="F38" t="s">
        <v>964</v>
      </c>
    </row>
    <row r="39" spans="1:8">
      <c r="A39" s="168" t="s">
        <v>965</v>
      </c>
      <c r="B39" s="167">
        <f>SUM(B34:B37)*0.05</f>
        <v>53882.28575000001</v>
      </c>
      <c r="C39" s="2"/>
      <c r="D39" s="2"/>
      <c r="E39" s="9">
        <f t="shared" si="1"/>
        <v>0</v>
      </c>
    </row>
    <row r="40" spans="1:8" s="172" customFormat="1">
      <c r="A40" s="169" t="s">
        <v>966</v>
      </c>
      <c r="B40" s="170">
        <f>SUM(B41:B46)</f>
        <v>1543401.8</v>
      </c>
      <c r="C40" s="171"/>
      <c r="D40" s="176"/>
      <c r="E40" s="174">
        <f t="shared" si="1"/>
        <v>0</v>
      </c>
      <c r="F40" s="172" t="s">
        <v>967</v>
      </c>
    </row>
    <row r="41" spans="1:8">
      <c r="A41" s="168" t="s">
        <v>968</v>
      </c>
      <c r="B41" s="167">
        <v>130000</v>
      </c>
      <c r="C41" s="2"/>
      <c r="D41" s="2"/>
      <c r="E41" s="9">
        <f t="shared" si="1"/>
        <v>0</v>
      </c>
    </row>
    <row r="42" spans="1:8">
      <c r="A42" s="168" t="s">
        <v>969</v>
      </c>
      <c r="B42" s="167">
        <v>788436</v>
      </c>
      <c r="C42" s="2">
        <v>106825</v>
      </c>
      <c r="D42" s="2"/>
      <c r="E42" s="9">
        <f t="shared" si="1"/>
        <v>106825</v>
      </c>
    </row>
    <row r="43" spans="1:8">
      <c r="A43" s="168" t="s">
        <v>970</v>
      </c>
      <c r="B43" s="167">
        <v>71357</v>
      </c>
      <c r="C43" s="2"/>
      <c r="D43" s="2"/>
      <c r="E43" s="9">
        <f t="shared" si="1"/>
        <v>0</v>
      </c>
    </row>
    <row r="44" spans="1:8">
      <c r="A44" s="168" t="s">
        <v>971</v>
      </c>
      <c r="B44" s="167">
        <v>39000</v>
      </c>
      <c r="C44" s="2"/>
      <c r="D44" s="2"/>
      <c r="E44" s="9">
        <f t="shared" si="1"/>
        <v>0</v>
      </c>
    </row>
    <row r="45" spans="1:8">
      <c r="A45" s="168" t="s">
        <v>972</v>
      </c>
      <c r="B45" s="167">
        <v>185378.8</v>
      </c>
      <c r="C45" s="175">
        <v>59818</v>
      </c>
      <c r="D45" s="2"/>
      <c r="E45" s="9">
        <f t="shared" si="1"/>
        <v>59818</v>
      </c>
    </row>
    <row r="46" spans="1:8">
      <c r="A46" s="329" t="s">
        <v>973</v>
      </c>
      <c r="B46" s="330">
        <v>329230</v>
      </c>
      <c r="C46" s="2"/>
      <c r="D46" s="2"/>
      <c r="E46" s="9">
        <f t="shared" si="1"/>
        <v>0</v>
      </c>
      <c r="G46" s="333" t="s">
        <v>974</v>
      </c>
    </row>
    <row r="47" spans="1:8" s="333" customFormat="1">
      <c r="A47" s="169" t="s">
        <v>975</v>
      </c>
      <c r="B47" s="170">
        <f>SUM(B48:B56)</f>
        <v>3326536.864794909</v>
      </c>
      <c r="C47" s="331"/>
      <c r="D47" s="331"/>
      <c r="E47" s="332">
        <f>SUM(E48:E56)</f>
        <v>1304924.3900000001</v>
      </c>
      <c r="G47" s="343">
        <f>SUM(G48:G56)</f>
        <v>3179182.8860696522</v>
      </c>
    </row>
    <row r="48" spans="1:8" s="121" customFormat="1">
      <c r="A48" s="168" t="s">
        <v>110</v>
      </c>
      <c r="B48" s="167">
        <v>518076.875</v>
      </c>
      <c r="C48" s="336">
        <v>383362.5</v>
      </c>
      <c r="D48" s="336">
        <v>168090</v>
      </c>
      <c r="E48" s="337">
        <f t="shared" si="1"/>
        <v>551452.5</v>
      </c>
      <c r="F48" s="337">
        <f>IF(E48=0,"Not yet started",E48-B48)</f>
        <v>33375.625</v>
      </c>
      <c r="G48" s="340">
        <f>200*B69</f>
        <v>71708.741472452239</v>
      </c>
      <c r="H48" s="121" t="s">
        <v>976</v>
      </c>
    </row>
    <row r="49" spans="1:8">
      <c r="A49" s="168" t="s">
        <v>977</v>
      </c>
      <c r="B49" s="167">
        <v>1356547.5</v>
      </c>
      <c r="C49" s="148">
        <f>231128.75+58026.32</f>
        <v>289155.07</v>
      </c>
      <c r="D49" s="148">
        <f>141265</f>
        <v>141265</v>
      </c>
      <c r="E49" s="9">
        <f t="shared" si="1"/>
        <v>430420.07</v>
      </c>
      <c r="F49" s="337">
        <f t="shared" ref="F49:F56" si="2">IF(E49=0,"Not yet started",E49-B49)</f>
        <v>-926127.42999999993</v>
      </c>
      <c r="G49" s="341">
        <f>(14400*D70)+(1260*B69)</f>
        <v>1893868.2452377591</v>
      </c>
      <c r="H49" t="s">
        <v>978</v>
      </c>
    </row>
    <row r="50" spans="1:8">
      <c r="A50" s="168" t="s">
        <v>979</v>
      </c>
      <c r="B50" s="167">
        <v>387408.17499999999</v>
      </c>
      <c r="C50" s="148"/>
      <c r="D50" s="148"/>
      <c r="E50" s="9">
        <f t="shared" si="1"/>
        <v>0</v>
      </c>
      <c r="F50" s="337" t="str">
        <f t="shared" si="2"/>
        <v>Not yet started</v>
      </c>
      <c r="G50" s="341">
        <f>(4495.1*100.1)+(581*359)</f>
        <v>658538.51</v>
      </c>
      <c r="H50" t="s">
        <v>978</v>
      </c>
    </row>
    <row r="51" spans="1:8">
      <c r="A51" s="168" t="s">
        <v>980</v>
      </c>
      <c r="B51" s="167">
        <v>334698.75</v>
      </c>
      <c r="C51" s="148"/>
      <c r="D51" s="148"/>
      <c r="E51" s="9">
        <f t="shared" si="1"/>
        <v>0</v>
      </c>
      <c r="F51" s="337" t="str">
        <f t="shared" si="2"/>
        <v>Not yet started</v>
      </c>
      <c r="G51" s="341">
        <f>(540*359)</f>
        <v>193860</v>
      </c>
      <c r="H51" t="s">
        <v>978</v>
      </c>
    </row>
    <row r="52" spans="1:8">
      <c r="A52" s="168" t="s">
        <v>981</v>
      </c>
      <c r="B52" s="167">
        <v>39690</v>
      </c>
      <c r="C52" s="148"/>
      <c r="D52" s="148"/>
      <c r="E52" s="9">
        <f t="shared" si="1"/>
        <v>0</v>
      </c>
      <c r="F52" s="337" t="str">
        <f t="shared" si="2"/>
        <v>Not yet started</v>
      </c>
      <c r="G52" s="341">
        <f>D70*630</f>
        <v>63092.01386080731</v>
      </c>
      <c r="H52" t="s">
        <v>982</v>
      </c>
    </row>
    <row r="53" spans="1:8">
      <c r="A53" s="168" t="s">
        <v>983</v>
      </c>
      <c r="B53" s="167">
        <v>56700</v>
      </c>
      <c r="C53" s="148"/>
      <c r="D53" s="148"/>
      <c r="E53" s="9">
        <f t="shared" si="1"/>
        <v>0</v>
      </c>
      <c r="F53" s="337" t="str">
        <f t="shared" si="2"/>
        <v>Not yet started</v>
      </c>
      <c r="G53" s="341">
        <f>D70*900</f>
        <v>90131.448372581872</v>
      </c>
      <c r="H53" t="s">
        <v>982</v>
      </c>
    </row>
    <row r="54" spans="1:8">
      <c r="A54" s="168" t="s">
        <v>113</v>
      </c>
      <c r="B54" s="167">
        <v>186550</v>
      </c>
      <c r="C54" s="148">
        <v>123503.5</v>
      </c>
      <c r="D54" s="148">
        <v>60685</v>
      </c>
      <c r="E54" s="9">
        <f t="shared" si="1"/>
        <v>184188.5</v>
      </c>
      <c r="F54" s="337">
        <f t="shared" si="2"/>
        <v>-2361.5</v>
      </c>
      <c r="G54" s="341"/>
    </row>
    <row r="55" spans="1:8">
      <c r="A55" s="326" t="s">
        <v>984</v>
      </c>
      <c r="B55" s="327">
        <f>0.05*SUM(B58,B48:B54,B42:B43)</f>
        <v>331678.71279490949</v>
      </c>
      <c r="C55" s="338">
        <f>SUM(D26,D23:D24,D19:D20)</f>
        <v>64893.320000000014</v>
      </c>
      <c r="E55" s="9">
        <f t="shared" si="1"/>
        <v>64893.320000000014</v>
      </c>
      <c r="F55" s="337">
        <f t="shared" si="2"/>
        <v>-266785.39279490948</v>
      </c>
      <c r="G55" s="341"/>
    </row>
    <row r="56" spans="1:8" s="127" customFormat="1">
      <c r="A56" s="326" t="s">
        <v>985</v>
      </c>
      <c r="B56" s="327">
        <f>0.04*SUM(B48:B54)</f>
        <v>115186.852</v>
      </c>
      <c r="C56" s="339">
        <f>E26+GETPIVOTDATA("Sum of Accom Cost",$A$3)+GETPIVOTDATA("Sum of Accom Cost",$A$8)</f>
        <v>73970</v>
      </c>
      <c r="E56" s="143">
        <f t="shared" si="1"/>
        <v>73970</v>
      </c>
      <c r="F56" s="337">
        <f t="shared" si="2"/>
        <v>-41216.851999999999</v>
      </c>
      <c r="G56" s="342">
        <f>SUM(G48:G55)*0.07</f>
        <v>207983.92712605203</v>
      </c>
    </row>
    <row r="57" spans="1:8" s="172" customFormat="1">
      <c r="A57" s="334" t="s">
        <v>986</v>
      </c>
      <c r="B57" s="335">
        <f>400*(2045+19285+5516+4185+630+900+1040)/50</f>
        <v>268808</v>
      </c>
      <c r="C57" s="171"/>
      <c r="E57" s="174">
        <f t="shared" si="1"/>
        <v>0</v>
      </c>
    </row>
    <row r="58" spans="1:8" s="172" customFormat="1">
      <c r="A58" s="169" t="s">
        <v>987</v>
      </c>
      <c r="B58" s="170">
        <f>SUM(B59:B65)</f>
        <v>2894109.9558981899</v>
      </c>
      <c r="C58" s="171"/>
      <c r="E58" s="174">
        <f t="shared" si="1"/>
        <v>0</v>
      </c>
    </row>
    <row r="59" spans="1:8">
      <c r="A59" s="177" t="s">
        <v>988</v>
      </c>
      <c r="B59" s="167">
        <v>12038.075739130767</v>
      </c>
      <c r="C59" s="2"/>
      <c r="E59" s="9">
        <f t="shared" si="1"/>
        <v>0</v>
      </c>
    </row>
    <row r="60" spans="1:8">
      <c r="A60" s="177" t="s">
        <v>989</v>
      </c>
      <c r="B60" s="167">
        <v>374712.15614529781</v>
      </c>
      <c r="C60" s="2"/>
      <c r="E60" s="9">
        <f t="shared" si="1"/>
        <v>0</v>
      </c>
    </row>
    <row r="61" spans="1:8">
      <c r="A61" s="177" t="s">
        <v>990</v>
      </c>
      <c r="B61" s="167">
        <v>1561131.9500261284</v>
      </c>
      <c r="C61" s="2"/>
      <c r="E61" s="9">
        <f t="shared" si="1"/>
        <v>0</v>
      </c>
    </row>
    <row r="62" spans="1:8">
      <c r="A62" s="177" t="s">
        <v>991</v>
      </c>
      <c r="B62" s="167">
        <v>460019.87604849029</v>
      </c>
      <c r="C62" s="2"/>
      <c r="E62" s="9">
        <f t="shared" si="1"/>
        <v>0</v>
      </c>
    </row>
    <row r="63" spans="1:8">
      <c r="A63" s="177" t="s">
        <v>992</v>
      </c>
      <c r="B63" s="167">
        <v>352347.70124348742</v>
      </c>
      <c r="C63" s="2"/>
      <c r="E63" s="9">
        <f t="shared" si="1"/>
        <v>0</v>
      </c>
    </row>
    <row r="64" spans="1:8">
      <c r="A64" s="177" t="s">
        <v>993</v>
      </c>
      <c r="B64" s="167">
        <v>55118.904521740667</v>
      </c>
      <c r="C64" s="2"/>
      <c r="E64" s="9">
        <f t="shared" si="1"/>
        <v>0</v>
      </c>
    </row>
    <row r="65" spans="1:11">
      <c r="A65" s="177" t="s">
        <v>994</v>
      </c>
      <c r="B65" s="167">
        <v>78741.292173915237</v>
      </c>
      <c r="C65" s="2"/>
      <c r="E65" s="9">
        <f t="shared" si="1"/>
        <v>0</v>
      </c>
    </row>
    <row r="67" spans="1:11">
      <c r="F67">
        <v>28.5</v>
      </c>
      <c r="G67">
        <v>28.1</v>
      </c>
    </row>
    <row r="68" spans="1:11">
      <c r="A68" t="s">
        <v>995</v>
      </c>
      <c r="B68" t="s">
        <v>11</v>
      </c>
      <c r="C68" t="s">
        <v>9</v>
      </c>
      <c r="D68" t="s">
        <v>12</v>
      </c>
    </row>
    <row r="69" spans="1:11">
      <c r="A69" t="s">
        <v>1</v>
      </c>
      <c r="B69" s="81">
        <v>358.54370736226122</v>
      </c>
      <c r="C69" s="81">
        <v>309.82024047528608</v>
      </c>
      <c r="D69" s="81"/>
      <c r="E69" s="81"/>
      <c r="F69" s="81"/>
    </row>
    <row r="70" spans="1:11">
      <c r="A70" t="s">
        <v>2</v>
      </c>
      <c r="B70" s="81"/>
      <c r="C70" s="81"/>
      <c r="D70" s="81">
        <v>100.14605374731319</v>
      </c>
    </row>
    <row r="73" spans="1:11">
      <c r="B73" s="347" t="s">
        <v>932</v>
      </c>
      <c r="C73" s="347" t="s">
        <v>996</v>
      </c>
      <c r="D73" s="347" t="s">
        <v>997</v>
      </c>
      <c r="E73" s="347" t="s">
        <v>998</v>
      </c>
      <c r="H73">
        <f>(F80-F79)/F80</f>
        <v>0.6775067750677507</v>
      </c>
      <c r="I73" s="354">
        <v>623161.24147245218</v>
      </c>
      <c r="K73" s="11">
        <f>I73-B74</f>
        <v>105084.36647245218</v>
      </c>
    </row>
    <row r="74" spans="1:11">
      <c r="A74" s="351" t="s">
        <v>110</v>
      </c>
      <c r="B74" s="352">
        <v>518076.875</v>
      </c>
      <c r="C74" s="353">
        <v>651448</v>
      </c>
      <c r="D74" s="353">
        <v>71708.741472452239</v>
      </c>
      <c r="E74" s="354">
        <f>SUM(C74:D74)</f>
        <v>723156.74147245218</v>
      </c>
      <c r="I74" s="354">
        <v>3165114.5825001998</v>
      </c>
      <c r="K74" s="11">
        <f>I74-B75</f>
        <v>1808567.0825001998</v>
      </c>
    </row>
    <row r="75" spans="1:11">
      <c r="A75" s="351" t="s">
        <v>977</v>
      </c>
      <c r="B75" s="352">
        <v>1356547.5</v>
      </c>
      <c r="C75" s="353">
        <v>262907</v>
      </c>
      <c r="D75" s="353">
        <v>1893868.2452377591</v>
      </c>
      <c r="E75" s="354">
        <f t="shared" ref="E75:E82" si="3">SUM(C75:D75)</f>
        <v>2156775.2452377593</v>
      </c>
      <c r="I75" s="355">
        <v>658538.51</v>
      </c>
    </row>
    <row r="76" spans="1:11">
      <c r="A76" s="351" t="s">
        <v>979</v>
      </c>
      <c r="B76" s="352">
        <v>387408.17499999999</v>
      </c>
      <c r="C76" s="353"/>
      <c r="D76" s="353">
        <v>658538.51</v>
      </c>
      <c r="E76" s="355">
        <f t="shared" si="3"/>
        <v>658538.51</v>
      </c>
      <c r="I76" s="355">
        <v>558360</v>
      </c>
    </row>
    <row r="77" spans="1:11">
      <c r="A77" s="351" t="s">
        <v>980</v>
      </c>
      <c r="B77" s="352">
        <v>334698.75</v>
      </c>
      <c r="C77" s="353">
        <v>183051</v>
      </c>
      <c r="D77" s="353">
        <v>193860</v>
      </c>
      <c r="E77" s="355">
        <f t="shared" si="3"/>
        <v>376911</v>
      </c>
      <c r="I77" s="355">
        <v>63092.01386080731</v>
      </c>
    </row>
    <row r="78" spans="1:11">
      <c r="A78" s="351" t="s">
        <v>981</v>
      </c>
      <c r="B78" s="352">
        <v>39690</v>
      </c>
      <c r="C78" s="353"/>
      <c r="D78" s="353">
        <v>63092.01386080731</v>
      </c>
      <c r="E78" s="355">
        <f t="shared" si="3"/>
        <v>63092.01386080731</v>
      </c>
      <c r="I78" s="355">
        <v>90131.448372581872</v>
      </c>
    </row>
    <row r="79" spans="1:11">
      <c r="A79" s="351" t="s">
        <v>983</v>
      </c>
      <c r="B79" s="352">
        <v>56700</v>
      </c>
      <c r="C79" s="353"/>
      <c r="D79" s="353">
        <v>90131.448372581872</v>
      </c>
      <c r="E79" s="355">
        <f t="shared" si="3"/>
        <v>90131.448372581872</v>
      </c>
      <c r="F79" s="136">
        <f>ROUND(SUM(E76:E79),-4)</f>
        <v>1190000</v>
      </c>
      <c r="G79" s="296" cm="1">
        <f t="array" ref="G79">SUM(ROUNDUP(B76:B79,-4))</f>
        <v>830000</v>
      </c>
      <c r="H79" s="11">
        <f>F79-G79</f>
        <v>360000</v>
      </c>
      <c r="I79" s="352">
        <v>186550</v>
      </c>
      <c r="K79" s="11">
        <f>I79-B80</f>
        <v>0</v>
      </c>
    </row>
    <row r="80" spans="1:11">
      <c r="A80" s="351" t="s">
        <v>113</v>
      </c>
      <c r="B80" s="352">
        <v>186550</v>
      </c>
      <c r="C80" s="353">
        <v>229629</v>
      </c>
      <c r="D80" s="353"/>
      <c r="E80" s="352">
        <v>186550</v>
      </c>
      <c r="F80" s="363">
        <f>ROUND(SUM(E74:E75,E80:E82),-4)</f>
        <v>3690000</v>
      </c>
      <c r="G80" s="136">
        <f>ROUND(SUM(B74:B75,B80:B82),-4)</f>
        <v>2510000</v>
      </c>
      <c r="H80" s="11">
        <f>F80-G80</f>
        <v>1180000</v>
      </c>
      <c r="I80" s="356">
        <v>331678.71279490949</v>
      </c>
      <c r="J80" s="11">
        <f>I80*$H$73</f>
        <v>224714.57506430184</v>
      </c>
      <c r="K80" s="11">
        <f>B81-J80</f>
        <v>106964.13773060765</v>
      </c>
    </row>
    <row r="81" spans="1:11">
      <c r="A81" s="351" t="s">
        <v>984</v>
      </c>
      <c r="B81" s="356">
        <v>331678.71279490949</v>
      </c>
      <c r="C81" s="353">
        <v>113043</v>
      </c>
      <c r="D81" s="353"/>
      <c r="E81" s="356">
        <v>331678.71279490949</v>
      </c>
      <c r="I81" s="354">
        <v>366326.76583442301</v>
      </c>
      <c r="J81" s="11">
        <f>I81*$H$73</f>
        <v>248188.86574147901</v>
      </c>
      <c r="K81" s="11">
        <f>B82-J81</f>
        <v>-133002.01374147902</v>
      </c>
    </row>
    <row r="82" spans="1:11">
      <c r="A82" s="351" t="s">
        <v>985</v>
      </c>
      <c r="B82" s="356">
        <v>115186.852</v>
      </c>
      <c r="C82" s="353">
        <v>81908</v>
      </c>
      <c r="D82" s="353">
        <v>207983.92712605203</v>
      </c>
      <c r="E82" s="354">
        <f t="shared" si="3"/>
        <v>289891.92712605203</v>
      </c>
      <c r="F82" s="350">
        <f>F79*0.07</f>
        <v>83300.000000000015</v>
      </c>
    </row>
    <row r="83" spans="1:11">
      <c r="B83" s="11"/>
      <c r="C83" s="11"/>
      <c r="D83" s="11"/>
      <c r="E83" s="11"/>
    </row>
    <row r="84" spans="1:11">
      <c r="A84" s="168" t="s">
        <v>16</v>
      </c>
      <c r="B84" s="352">
        <f>ROUNDUP(SUM(B74:B82),-4)</f>
        <v>3330000</v>
      </c>
      <c r="C84" s="352">
        <f t="shared" ref="C84:D84" si="4">ROUNDUP(SUM(C74:C82),-4)</f>
        <v>1530000</v>
      </c>
      <c r="D84" s="352">
        <f t="shared" si="4"/>
        <v>3180000</v>
      </c>
      <c r="E84" s="352">
        <f>ROUNDUP(SUM(E74:E82),-4)</f>
        <v>4880000</v>
      </c>
      <c r="F84" s="9">
        <f>E84-SUM(F79,F82)</f>
        <v>3606700</v>
      </c>
      <c r="G84" s="11">
        <f>ROUNDUP(E84-B84,-4)</f>
        <v>1550000</v>
      </c>
    </row>
    <row r="85" spans="1:11">
      <c r="C85" s="346">
        <f>C96/C84</f>
        <v>0.22671357450549356</v>
      </c>
    </row>
    <row r="87" spans="1:11">
      <c r="A87" s="347"/>
      <c r="B87" s="347" t="s">
        <v>996</v>
      </c>
      <c r="C87" s="347" t="s">
        <v>999</v>
      </c>
      <c r="D87" t="s">
        <v>2</v>
      </c>
      <c r="E87" t="s">
        <v>1</v>
      </c>
    </row>
    <row r="88" spans="1:11">
      <c r="A88" s="168" t="s">
        <v>110</v>
      </c>
      <c r="B88" s="353">
        <v>551452.5</v>
      </c>
      <c r="C88" s="353">
        <f>B88*0.286</f>
        <v>157715.41499999998</v>
      </c>
      <c r="E88">
        <v>1</v>
      </c>
    </row>
    <row r="89" spans="1:11">
      <c r="A89" s="168" t="s">
        <v>977</v>
      </c>
      <c r="B89" s="353">
        <v>262907</v>
      </c>
      <c r="C89" s="353">
        <f>((B89*D89)*F89)+((B89*E89)*G89)</f>
        <v>81026.8285498568</v>
      </c>
      <c r="D89">
        <v>0.93439208539442853</v>
      </c>
      <c r="E89">
        <v>6.5607914605571471E-2</v>
      </c>
      <c r="F89">
        <f>0.31</f>
        <v>0.31</v>
      </c>
      <c r="G89">
        <f>0.2825</f>
        <v>0.28249999999999997</v>
      </c>
    </row>
    <row r="90" spans="1:11">
      <c r="A90" s="168" t="s">
        <v>979</v>
      </c>
      <c r="B90" s="353"/>
      <c r="C90" s="353">
        <f t="shared" ref="C90:C94" si="5">((B90*D90)*F90)+((B90*E90)*G90)</f>
        <v>0</v>
      </c>
      <c r="D90">
        <v>0.88554204999901498</v>
      </c>
      <c r="E90">
        <v>0.11445795000098501</v>
      </c>
      <c r="F90">
        <f t="shared" ref="F90:F94" si="6">0.31</f>
        <v>0.31</v>
      </c>
      <c r="G90">
        <f t="shared" ref="G90:G94" si="7">0.2825</f>
        <v>0.28249999999999997</v>
      </c>
    </row>
    <row r="91" spans="1:11">
      <c r="A91" s="168" t="s">
        <v>980</v>
      </c>
      <c r="B91" s="353">
        <v>183051</v>
      </c>
      <c r="C91" s="353">
        <f t="shared" si="5"/>
        <v>56096.274193548394</v>
      </c>
      <c r="D91">
        <v>0.87096774193548387</v>
      </c>
      <c r="E91">
        <v>0.12903225806451613</v>
      </c>
      <c r="F91">
        <f t="shared" si="6"/>
        <v>0.31</v>
      </c>
      <c r="G91">
        <f t="shared" si="7"/>
        <v>0.28249999999999997</v>
      </c>
    </row>
    <row r="92" spans="1:11">
      <c r="A92" s="168" t="s">
        <v>981</v>
      </c>
      <c r="B92" s="353"/>
      <c r="C92" s="353">
        <f t="shared" si="5"/>
        <v>0</v>
      </c>
      <c r="D92">
        <v>1</v>
      </c>
      <c r="F92">
        <f t="shared" si="6"/>
        <v>0.31</v>
      </c>
      <c r="G92">
        <f t="shared" si="7"/>
        <v>0.28249999999999997</v>
      </c>
    </row>
    <row r="93" spans="1:11">
      <c r="A93" s="168" t="s">
        <v>983</v>
      </c>
      <c r="B93" s="353"/>
      <c r="C93" s="353">
        <f t="shared" si="5"/>
        <v>0</v>
      </c>
      <c r="D93">
        <v>1</v>
      </c>
      <c r="F93">
        <f t="shared" si="6"/>
        <v>0.31</v>
      </c>
      <c r="G93">
        <f t="shared" si="7"/>
        <v>0.28249999999999997</v>
      </c>
    </row>
    <row r="94" spans="1:11">
      <c r="A94" s="168" t="s">
        <v>113</v>
      </c>
      <c r="B94" s="353">
        <v>184188.5</v>
      </c>
      <c r="C94" s="353">
        <f t="shared" si="5"/>
        <v>52033.251249999994</v>
      </c>
      <c r="E94">
        <v>1</v>
      </c>
      <c r="F94">
        <f t="shared" si="6"/>
        <v>0.31</v>
      </c>
      <c r="G94">
        <f t="shared" si="7"/>
        <v>0.28249999999999997</v>
      </c>
    </row>
    <row r="95" spans="1:11">
      <c r="A95" s="347"/>
      <c r="B95" s="353"/>
      <c r="C95" s="347"/>
    </row>
    <row r="96" spans="1:11">
      <c r="A96" s="347"/>
      <c r="B96" s="353">
        <f>SUM(B88:B94)</f>
        <v>1181599</v>
      </c>
      <c r="C96" s="354">
        <f>SUM(C88:C94)</f>
        <v>346871.76899340516</v>
      </c>
      <c r="D96">
        <f>C96/B96</f>
        <v>0.29356132579107225</v>
      </c>
    </row>
    <row r="97" spans="1:18">
      <c r="B97" s="11"/>
    </row>
    <row r="100" spans="1:18" ht="15" customHeight="1">
      <c r="A100" s="523"/>
      <c r="B100" s="523"/>
      <c r="C100" s="524" t="s">
        <v>1000</v>
      </c>
      <c r="D100" s="524"/>
      <c r="E100" s="524"/>
      <c r="F100" s="524"/>
      <c r="G100" s="524" t="s">
        <v>1001</v>
      </c>
      <c r="H100" s="524"/>
      <c r="I100" s="524"/>
      <c r="J100" s="524"/>
      <c r="K100" s="524" t="s">
        <v>1002</v>
      </c>
      <c r="L100" s="524"/>
      <c r="M100" s="524"/>
      <c r="N100" s="524"/>
      <c r="O100" s="524" t="s">
        <v>1003</v>
      </c>
      <c r="P100" s="524"/>
      <c r="Q100" s="524"/>
      <c r="R100" s="524"/>
    </row>
    <row r="101" spans="1:18">
      <c r="A101" s="367" t="s">
        <v>1004</v>
      </c>
      <c r="B101" s="367" t="s">
        <v>42</v>
      </c>
      <c r="C101" s="367" t="s">
        <v>1005</v>
      </c>
      <c r="D101" s="367" t="s">
        <v>1006</v>
      </c>
      <c r="E101" s="367" t="s">
        <v>1007</v>
      </c>
      <c r="F101" s="367" t="s">
        <v>16</v>
      </c>
      <c r="G101" s="367" t="s">
        <v>1008</v>
      </c>
      <c r="H101" s="367" t="s">
        <v>1006</v>
      </c>
      <c r="I101" s="367" t="s">
        <v>1007</v>
      </c>
      <c r="J101" s="367" t="s">
        <v>16</v>
      </c>
      <c r="K101" s="367" t="s">
        <v>1008</v>
      </c>
      <c r="L101" s="367" t="s">
        <v>1006</v>
      </c>
      <c r="M101" s="367" t="s">
        <v>1007</v>
      </c>
      <c r="N101" s="367" t="s">
        <v>16</v>
      </c>
      <c r="O101" s="367" t="s">
        <v>1008</v>
      </c>
      <c r="P101" s="367" t="s">
        <v>1006</v>
      </c>
      <c r="Q101" s="367" t="s">
        <v>1007</v>
      </c>
      <c r="R101" s="367" t="s">
        <v>16</v>
      </c>
    </row>
    <row r="102" spans="1:18">
      <c r="A102" s="367" t="s">
        <v>1009</v>
      </c>
      <c r="B102" s="367"/>
      <c r="C102" s="367"/>
      <c r="D102" s="367"/>
      <c r="E102" s="369"/>
      <c r="F102" s="367"/>
      <c r="G102" s="367"/>
      <c r="H102" s="367"/>
      <c r="I102" s="367"/>
      <c r="J102" s="367"/>
      <c r="K102" s="367"/>
      <c r="L102" s="367"/>
      <c r="M102" s="367"/>
      <c r="N102" s="367"/>
      <c r="O102" s="367"/>
      <c r="P102" s="367"/>
      <c r="Q102" s="367"/>
      <c r="R102" s="367"/>
    </row>
    <row r="103" spans="1:18">
      <c r="A103" s="367"/>
      <c r="B103" s="367" t="s">
        <v>1010</v>
      </c>
      <c r="C103" s="367">
        <v>51</v>
      </c>
      <c r="D103" s="367">
        <v>2045</v>
      </c>
      <c r="E103" s="352">
        <v>377047</v>
      </c>
      <c r="F103" s="367"/>
      <c r="G103" s="367"/>
      <c r="H103" s="367"/>
      <c r="I103" s="367"/>
      <c r="J103" s="371">
        <v>195890</v>
      </c>
      <c r="K103" s="367"/>
      <c r="L103" s="367"/>
      <c r="M103" s="367"/>
      <c r="N103" s="367"/>
      <c r="O103" s="367">
        <v>51</v>
      </c>
      <c r="P103" s="367">
        <v>2045</v>
      </c>
      <c r="Q103" s="368">
        <v>723156.74147245218</v>
      </c>
      <c r="R103" s="367"/>
    </row>
    <row r="104" spans="1:18">
      <c r="A104" s="367" t="s">
        <v>1011</v>
      </c>
      <c r="B104" s="367"/>
      <c r="C104" s="367"/>
      <c r="D104" s="367"/>
      <c r="E104" s="369"/>
      <c r="F104" s="367"/>
      <c r="G104" s="367"/>
      <c r="H104" s="367"/>
      <c r="I104" s="367"/>
      <c r="J104" s="367"/>
      <c r="K104" s="367"/>
      <c r="L104" s="367"/>
      <c r="M104" s="367"/>
      <c r="N104" s="367"/>
      <c r="O104" s="367"/>
      <c r="P104" s="367"/>
      <c r="Q104" s="368"/>
      <c r="R104" s="367"/>
    </row>
    <row r="105" spans="1:18">
      <c r="A105" s="367"/>
      <c r="B105" s="367" t="s">
        <v>1012</v>
      </c>
      <c r="C105" s="367">
        <v>12</v>
      </c>
      <c r="D105" s="367">
        <v>1040</v>
      </c>
      <c r="E105" s="369">
        <v>186550</v>
      </c>
      <c r="F105" s="367"/>
      <c r="G105" s="367"/>
      <c r="H105" s="367"/>
      <c r="I105" s="367"/>
      <c r="J105" s="371">
        <v>124935</v>
      </c>
      <c r="K105" s="367"/>
      <c r="L105" s="367"/>
      <c r="M105" s="367"/>
      <c r="N105" s="367"/>
      <c r="O105" s="367">
        <v>12</v>
      </c>
      <c r="P105" s="367">
        <v>1040</v>
      </c>
      <c r="Q105" s="368">
        <v>186550</v>
      </c>
      <c r="R105" s="367"/>
    </row>
    <row r="106" spans="1:18">
      <c r="A106" s="367" t="s">
        <v>1013</v>
      </c>
      <c r="B106" s="367"/>
      <c r="C106" s="367"/>
      <c r="D106" s="367"/>
      <c r="E106" s="369"/>
      <c r="F106" s="367"/>
      <c r="G106" s="367"/>
      <c r="H106" s="367"/>
      <c r="I106" s="367"/>
      <c r="J106" s="367"/>
      <c r="K106" s="367"/>
      <c r="L106" s="367"/>
      <c r="M106" s="367"/>
      <c r="N106" s="367"/>
      <c r="O106" s="367"/>
      <c r="P106" s="367"/>
      <c r="Q106" s="368"/>
      <c r="R106" s="367"/>
    </row>
    <row r="107" spans="1:18">
      <c r="A107" s="367"/>
      <c r="B107" s="367" t="s">
        <v>2</v>
      </c>
      <c r="C107">
        <v>155</v>
      </c>
      <c r="D107">
        <v>17945</v>
      </c>
      <c r="E107" s="369">
        <v>820755</v>
      </c>
      <c r="F107" s="367"/>
      <c r="G107" s="367"/>
      <c r="H107" s="367"/>
      <c r="I107" s="367"/>
      <c r="J107" s="371">
        <v>249817</v>
      </c>
      <c r="K107" s="367"/>
      <c r="L107" s="367"/>
      <c r="M107" s="367"/>
      <c r="N107" s="367"/>
      <c r="O107" s="367">
        <v>155</v>
      </c>
      <c r="P107" s="367">
        <v>17945</v>
      </c>
      <c r="Q107" s="368">
        <v>1796294.5</v>
      </c>
      <c r="R107" s="367"/>
    </row>
    <row r="108" spans="1:18">
      <c r="A108" s="367"/>
      <c r="B108" s="367" t="s">
        <v>1012</v>
      </c>
      <c r="C108">
        <v>8</v>
      </c>
      <c r="D108">
        <v>1260</v>
      </c>
      <c r="E108" s="369">
        <v>168683</v>
      </c>
      <c r="F108" s="367"/>
      <c r="G108" s="367"/>
      <c r="H108" s="367"/>
      <c r="I108" s="367"/>
      <c r="J108" s="367">
        <v>0</v>
      </c>
      <c r="K108" s="367"/>
      <c r="L108" s="367"/>
      <c r="M108" s="367"/>
      <c r="N108" s="367"/>
      <c r="O108" s="367">
        <v>8</v>
      </c>
      <c r="P108" s="367">
        <v>1260</v>
      </c>
      <c r="Q108" s="368">
        <v>452340</v>
      </c>
      <c r="R108" s="367"/>
    </row>
    <row r="109" spans="1:18">
      <c r="A109" s="367" t="s">
        <v>1014</v>
      </c>
      <c r="B109" s="367"/>
      <c r="C109" s="367"/>
      <c r="D109" s="367"/>
      <c r="E109" s="369"/>
      <c r="F109" s="367"/>
      <c r="G109" s="367"/>
      <c r="H109" s="367"/>
      <c r="I109" s="367"/>
      <c r="J109" s="367"/>
      <c r="K109" s="367"/>
      <c r="L109" s="367"/>
      <c r="M109" s="367"/>
      <c r="N109" s="367"/>
      <c r="O109" s="367"/>
      <c r="P109" s="367"/>
      <c r="Q109" s="368"/>
      <c r="R109" s="367"/>
    </row>
    <row r="110" spans="1:18">
      <c r="A110" s="367"/>
      <c r="B110" s="367" t="s">
        <v>2</v>
      </c>
      <c r="C110" s="367">
        <v>39</v>
      </c>
      <c r="D110" s="367">
        <v>4495.1000000000004</v>
      </c>
      <c r="E110" s="369">
        <v>202279.50000000003</v>
      </c>
      <c r="F110" s="367"/>
      <c r="G110" s="367"/>
      <c r="H110" s="367"/>
      <c r="I110" s="367"/>
      <c r="J110" s="367">
        <v>0</v>
      </c>
      <c r="K110" s="367"/>
      <c r="L110" s="367"/>
      <c r="M110" s="367"/>
      <c r="N110" s="367"/>
      <c r="O110" s="367">
        <v>39</v>
      </c>
      <c r="P110" s="367">
        <v>4495.1000000000004</v>
      </c>
      <c r="Q110" s="368">
        <v>449959.51</v>
      </c>
      <c r="R110" s="367"/>
    </row>
    <row r="111" spans="1:18">
      <c r="A111" s="367"/>
      <c r="B111" s="367" t="s">
        <v>1012</v>
      </c>
      <c r="C111" s="367">
        <v>5</v>
      </c>
      <c r="D111" s="367">
        <v>581</v>
      </c>
      <c r="E111" s="369">
        <v>75530</v>
      </c>
      <c r="F111" s="367"/>
      <c r="G111" s="367"/>
      <c r="H111" s="367"/>
      <c r="I111" s="367"/>
      <c r="J111" s="367">
        <v>0</v>
      </c>
      <c r="K111" s="367"/>
      <c r="L111" s="367"/>
      <c r="M111" s="367"/>
      <c r="N111" s="367"/>
      <c r="O111" s="367">
        <v>5</v>
      </c>
      <c r="P111" s="367">
        <v>581</v>
      </c>
      <c r="Q111" s="368">
        <v>208579</v>
      </c>
      <c r="R111" s="367"/>
    </row>
    <row r="112" spans="1:18">
      <c r="A112" s="367" t="s">
        <v>1015</v>
      </c>
      <c r="B112" s="367"/>
      <c r="C112" s="367"/>
      <c r="D112" s="367"/>
      <c r="E112" s="369"/>
      <c r="F112" s="367"/>
      <c r="G112" s="367"/>
      <c r="H112" s="367"/>
      <c r="I112" s="367"/>
      <c r="J112" s="367"/>
      <c r="K112" s="367"/>
      <c r="L112" s="367"/>
      <c r="M112" s="367"/>
      <c r="N112" s="367"/>
      <c r="O112" s="367"/>
      <c r="P112" s="367"/>
      <c r="Q112" s="368"/>
      <c r="R112" s="367"/>
    </row>
    <row r="113" spans="1:18">
      <c r="A113" s="367"/>
      <c r="B113" s="367" t="s">
        <v>2</v>
      </c>
      <c r="C113">
        <v>41</v>
      </c>
      <c r="D113" s="367">
        <v>3645</v>
      </c>
      <c r="E113" s="369">
        <v>177350</v>
      </c>
      <c r="F113" s="367"/>
      <c r="G113" s="367"/>
      <c r="H113" s="367"/>
      <c r="I113" s="367"/>
      <c r="J113" s="371">
        <v>183051</v>
      </c>
      <c r="K113" s="367"/>
      <c r="L113" s="367"/>
      <c r="M113" s="367"/>
      <c r="N113" s="367"/>
      <c r="O113" s="367">
        <v>41</v>
      </c>
      <c r="P113" s="367">
        <v>3645</v>
      </c>
      <c r="Q113" s="368">
        <v>183051</v>
      </c>
      <c r="R113" s="367"/>
    </row>
    <row r="114" spans="1:18">
      <c r="A114" s="367"/>
      <c r="B114" s="367" t="s">
        <v>1012</v>
      </c>
      <c r="C114">
        <v>6</v>
      </c>
      <c r="D114" s="367">
        <v>540</v>
      </c>
      <c r="E114" s="369">
        <v>75117.38</v>
      </c>
      <c r="F114" s="367"/>
      <c r="G114" s="367"/>
      <c r="H114" s="367"/>
      <c r="I114" s="367"/>
      <c r="J114" s="367">
        <v>0</v>
      </c>
      <c r="K114" s="367"/>
      <c r="L114" s="367"/>
      <c r="M114" s="367"/>
      <c r="N114" s="367"/>
      <c r="O114" s="367">
        <v>6</v>
      </c>
      <c r="P114" s="367">
        <v>540</v>
      </c>
      <c r="Q114" s="368">
        <v>193860</v>
      </c>
      <c r="R114" s="367"/>
    </row>
    <row r="115" spans="1:18">
      <c r="A115" s="367" t="s">
        <v>1016</v>
      </c>
      <c r="B115" s="367"/>
      <c r="C115" s="367"/>
      <c r="D115" s="367"/>
      <c r="E115" s="369"/>
      <c r="F115" s="367"/>
      <c r="G115" s="367"/>
      <c r="H115" s="367"/>
      <c r="I115" s="367"/>
      <c r="J115" s="367"/>
      <c r="K115" s="367"/>
      <c r="L115" s="367"/>
      <c r="M115" s="367"/>
      <c r="N115" s="367"/>
      <c r="O115" s="367"/>
      <c r="P115" s="367"/>
      <c r="Q115" s="368"/>
      <c r="R115" s="367"/>
    </row>
    <row r="116" spans="1:18">
      <c r="A116" s="367"/>
      <c r="B116" s="367" t="s">
        <v>2</v>
      </c>
      <c r="C116" s="367">
        <v>10</v>
      </c>
      <c r="D116" s="367">
        <v>900</v>
      </c>
      <c r="E116" s="369">
        <v>40500</v>
      </c>
      <c r="F116" s="367"/>
      <c r="G116" s="367"/>
      <c r="H116" s="367"/>
      <c r="I116" s="367"/>
      <c r="J116" s="367">
        <v>0</v>
      </c>
      <c r="K116" s="367"/>
      <c r="L116" s="367"/>
      <c r="M116" s="367"/>
      <c r="N116" s="367"/>
      <c r="O116" s="367">
        <v>10</v>
      </c>
      <c r="P116" s="367">
        <v>900</v>
      </c>
      <c r="Q116" s="368">
        <v>323100</v>
      </c>
      <c r="R116" s="367"/>
    </row>
    <row r="117" spans="1:18">
      <c r="A117" s="367" t="s">
        <v>62</v>
      </c>
      <c r="B117" s="367"/>
      <c r="C117" s="367"/>
      <c r="D117" s="367"/>
      <c r="E117" s="369"/>
      <c r="F117" s="367"/>
      <c r="G117" s="367"/>
      <c r="H117" s="367"/>
      <c r="I117" s="367"/>
      <c r="J117" s="367"/>
      <c r="K117" s="367"/>
      <c r="L117" s="367"/>
      <c r="M117" s="367"/>
      <c r="N117" s="367"/>
      <c r="O117" s="367"/>
      <c r="P117" s="367"/>
      <c r="Q117" s="368"/>
      <c r="R117" s="367"/>
    </row>
    <row r="118" spans="1:18">
      <c r="A118" s="367"/>
      <c r="B118" s="367" t="s">
        <v>2</v>
      </c>
      <c r="C118" s="367">
        <v>7</v>
      </c>
      <c r="D118" s="367">
        <v>630</v>
      </c>
      <c r="E118" s="369">
        <v>28350</v>
      </c>
      <c r="F118" s="367"/>
      <c r="G118" s="367"/>
      <c r="H118" s="367"/>
      <c r="I118" s="367"/>
      <c r="J118" s="367">
        <v>0</v>
      </c>
      <c r="K118" s="367"/>
      <c r="L118" s="367"/>
      <c r="M118" s="367"/>
      <c r="N118" s="367"/>
      <c r="O118" s="367">
        <v>7</v>
      </c>
      <c r="P118" s="367">
        <v>630</v>
      </c>
      <c r="Q118" s="368">
        <v>226170</v>
      </c>
      <c r="R118" s="367"/>
    </row>
    <row r="119" spans="1:18">
      <c r="E119" s="370"/>
      <c r="Q119" s="2"/>
    </row>
    <row r="120" spans="1:18">
      <c r="A120" t="s">
        <v>1017</v>
      </c>
      <c r="E120">
        <v>264843.52497237053</v>
      </c>
      <c r="J120" s="17">
        <v>113043</v>
      </c>
      <c r="Q120" s="2">
        <v>331678.71279490949</v>
      </c>
    </row>
    <row r="121" spans="1:18">
      <c r="A121" t="s">
        <v>1018</v>
      </c>
      <c r="E121">
        <v>214285.89</v>
      </c>
      <c r="J121" s="17">
        <v>81908</v>
      </c>
      <c r="Q121" s="2">
        <v>289891.92712605203</v>
      </c>
    </row>
    <row r="122" spans="1:18">
      <c r="Q122" s="2"/>
    </row>
    <row r="123" spans="1:18">
      <c r="E123" s="11">
        <f>SUM(E103:E121)</f>
        <v>2631291.2949723704</v>
      </c>
      <c r="Q123" s="2">
        <v>4743060.7514724517</v>
      </c>
    </row>
    <row r="127" spans="1:18">
      <c r="G127" s="372"/>
    </row>
    <row r="130" spans="7:7">
      <c r="G130" s="372"/>
    </row>
  </sheetData>
  <mergeCells count="5">
    <mergeCell ref="A100:B100"/>
    <mergeCell ref="C100:F100"/>
    <mergeCell ref="G100:J100"/>
    <mergeCell ref="K100:N100"/>
    <mergeCell ref="O100:R100"/>
  </mergeCells>
  <phoneticPr fontId="3" type="noConversion"/>
  <conditionalFormatting sqref="D70">
    <cfRule type="expression" dxfId="2" priority="1">
      <formula>$B70=TODAY()-1</formula>
    </cfRule>
  </conditionalFormatting>
  <conditionalFormatting sqref="F48:F56">
    <cfRule type="cellIs" dxfId="1" priority="2" operator="greaterThan">
      <formula>0</formula>
    </cfRule>
    <cfRule type="cellIs" dxfId="0" priority="3" operator="lessThan">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8088F-212C-4855-B851-18E8A0E73132}">
  <sheetPr codeName="Sheet14"/>
  <dimension ref="A1:B334"/>
  <sheetViews>
    <sheetView topLeftCell="A300" workbookViewId="0">
      <selection activeCell="C25" sqref="C25"/>
    </sheetView>
  </sheetViews>
  <sheetFormatPr defaultRowHeight="15"/>
  <cols>
    <col min="1" max="1" width="15" customWidth="1"/>
  </cols>
  <sheetData>
    <row r="1" spans="1:2">
      <c r="A1" t="s">
        <v>1019</v>
      </c>
      <c r="B1" t="s">
        <v>198</v>
      </c>
    </row>
    <row r="2" spans="1:2">
      <c r="A2" t="s">
        <v>189</v>
      </c>
      <c r="B2" t="s">
        <v>1011</v>
      </c>
    </row>
    <row r="3" spans="1:2">
      <c r="A3" t="s">
        <v>183</v>
      </c>
      <c r="B3" t="s">
        <v>1011</v>
      </c>
    </row>
    <row r="4" spans="1:2">
      <c r="A4" t="s">
        <v>414</v>
      </c>
      <c r="B4" t="s">
        <v>1011</v>
      </c>
    </row>
    <row r="5" spans="1:2">
      <c r="A5" t="s">
        <v>419</v>
      </c>
      <c r="B5" t="s">
        <v>1011</v>
      </c>
    </row>
    <row r="6" spans="1:2">
      <c r="A6" t="s">
        <v>181</v>
      </c>
      <c r="B6" t="s">
        <v>1011</v>
      </c>
    </row>
    <row r="7" spans="1:2">
      <c r="A7" t="s">
        <v>180</v>
      </c>
      <c r="B7" t="s">
        <v>1011</v>
      </c>
    </row>
    <row r="8" spans="1:2">
      <c r="A8" t="s">
        <v>424</v>
      </c>
      <c r="B8" t="s">
        <v>1011</v>
      </c>
    </row>
    <row r="9" spans="1:2">
      <c r="A9" t="s">
        <v>430</v>
      </c>
      <c r="B9" t="s">
        <v>1011</v>
      </c>
    </row>
    <row r="10" spans="1:2">
      <c r="A10" t="s">
        <v>444</v>
      </c>
      <c r="B10" t="s">
        <v>1011</v>
      </c>
    </row>
    <row r="11" spans="1:2">
      <c r="A11" t="s">
        <v>185</v>
      </c>
      <c r="B11" t="s">
        <v>1011</v>
      </c>
    </row>
    <row r="12" spans="1:2">
      <c r="A12" t="s">
        <v>182</v>
      </c>
      <c r="B12" t="s">
        <v>1011</v>
      </c>
    </row>
    <row r="13" spans="1:2">
      <c r="A13" t="s">
        <v>178</v>
      </c>
      <c r="B13" t="s">
        <v>1011</v>
      </c>
    </row>
    <row r="14" spans="1:2">
      <c r="A14" t="s">
        <v>188</v>
      </c>
      <c r="B14" t="s">
        <v>1020</v>
      </c>
    </row>
    <row r="15" spans="1:2">
      <c r="A15" t="s">
        <v>281</v>
      </c>
      <c r="B15" t="s">
        <v>1020</v>
      </c>
    </row>
    <row r="16" spans="1:2">
      <c r="A16" t="s">
        <v>286</v>
      </c>
      <c r="B16" t="s">
        <v>1020</v>
      </c>
    </row>
    <row r="17" spans="1:2">
      <c r="A17" t="s">
        <v>446</v>
      </c>
      <c r="B17" t="s">
        <v>1020</v>
      </c>
    </row>
    <row r="18" spans="1:2">
      <c r="A18" t="s">
        <v>448</v>
      </c>
      <c r="B18" t="s">
        <v>1020</v>
      </c>
    </row>
    <row r="19" spans="1:2">
      <c r="A19" t="s">
        <v>452</v>
      </c>
      <c r="B19" t="s">
        <v>1020</v>
      </c>
    </row>
    <row r="20" spans="1:2">
      <c r="A20" t="s">
        <v>476</v>
      </c>
      <c r="B20" t="s">
        <v>1021</v>
      </c>
    </row>
    <row r="21" spans="1:2">
      <c r="A21" t="s">
        <v>482</v>
      </c>
      <c r="B21" t="s">
        <v>1021</v>
      </c>
    </row>
    <row r="22" spans="1:2">
      <c r="A22" t="s">
        <v>298</v>
      </c>
      <c r="B22" t="s">
        <v>1021</v>
      </c>
    </row>
    <row r="23" spans="1:2">
      <c r="A23" t="s">
        <v>486</v>
      </c>
      <c r="B23" t="s">
        <v>1021</v>
      </c>
    </row>
    <row r="24" spans="1:2">
      <c r="A24" t="s">
        <v>313</v>
      </c>
      <c r="B24" t="s">
        <v>1013</v>
      </c>
    </row>
    <row r="25" spans="1:2">
      <c r="A25" t="s">
        <v>303</v>
      </c>
      <c r="B25" t="s">
        <v>1013</v>
      </c>
    </row>
    <row r="26" spans="1:2">
      <c r="A26" t="s">
        <v>1022</v>
      </c>
      <c r="B26" t="s">
        <v>1013</v>
      </c>
    </row>
    <row r="27" spans="1:2">
      <c r="A27" t="s">
        <v>468</v>
      </c>
      <c r="B27" t="s">
        <v>1013</v>
      </c>
    </row>
    <row r="28" spans="1:2">
      <c r="A28" t="s">
        <v>1023</v>
      </c>
      <c r="B28" t="s">
        <v>1013</v>
      </c>
    </row>
    <row r="29" spans="1:2">
      <c r="A29" t="s">
        <v>291</v>
      </c>
      <c r="B29" t="s">
        <v>1013</v>
      </c>
    </row>
    <row r="30" spans="1:2">
      <c r="A30" t="s">
        <v>498</v>
      </c>
      <c r="B30" t="s">
        <v>1013</v>
      </c>
    </row>
    <row r="31" spans="1:2">
      <c r="A31" t="s">
        <v>318</v>
      </c>
      <c r="B31" t="s">
        <v>1013</v>
      </c>
    </row>
    <row r="32" spans="1:2">
      <c r="A32" t="s">
        <v>350</v>
      </c>
      <c r="B32" t="s">
        <v>55</v>
      </c>
    </row>
    <row r="33" spans="1:2">
      <c r="A33" t="s">
        <v>357</v>
      </c>
      <c r="B33" t="s">
        <v>55</v>
      </c>
    </row>
    <row r="34" spans="1:2">
      <c r="A34" t="s">
        <v>365</v>
      </c>
      <c r="B34" t="s">
        <v>55</v>
      </c>
    </row>
    <row r="35" spans="1:2">
      <c r="A35" t="s">
        <v>371</v>
      </c>
      <c r="B35" t="s">
        <v>55</v>
      </c>
    </row>
    <row r="36" spans="1:2">
      <c r="A36" t="s">
        <v>403</v>
      </c>
      <c r="B36" t="s">
        <v>55</v>
      </c>
    </row>
    <row r="37" spans="1:2">
      <c r="A37" t="s">
        <v>339</v>
      </c>
      <c r="B37" t="s">
        <v>55</v>
      </c>
    </row>
    <row r="38" spans="1:2">
      <c r="A38" t="s">
        <v>341</v>
      </c>
      <c r="B38" t="s">
        <v>55</v>
      </c>
    </row>
    <row r="39" spans="1:2">
      <c r="A39" t="s">
        <v>343</v>
      </c>
      <c r="B39" t="s">
        <v>55</v>
      </c>
    </row>
    <row r="40" spans="1:2">
      <c r="A40" t="s">
        <v>347</v>
      </c>
      <c r="B40" t="s">
        <v>55</v>
      </c>
    </row>
    <row r="41" spans="1:2">
      <c r="A41" t="s">
        <v>177</v>
      </c>
      <c r="B41" t="s">
        <v>55</v>
      </c>
    </row>
    <row r="42" spans="1:2">
      <c r="A42" t="s">
        <v>458</v>
      </c>
      <c r="B42" t="s">
        <v>55</v>
      </c>
    </row>
    <row r="43" spans="1:2">
      <c r="A43" t="s">
        <v>390</v>
      </c>
      <c r="B43" t="s">
        <v>55</v>
      </c>
    </row>
    <row r="44" spans="1:2">
      <c r="A44" t="s">
        <v>396</v>
      </c>
      <c r="B44" t="s">
        <v>55</v>
      </c>
    </row>
    <row r="45" spans="1:2">
      <c r="A45" t="s">
        <v>436</v>
      </c>
      <c r="B45" t="s">
        <v>55</v>
      </c>
    </row>
    <row r="46" spans="1:2">
      <c r="A46" t="s">
        <v>439</v>
      </c>
      <c r="B46" t="s">
        <v>55</v>
      </c>
    </row>
    <row r="47" spans="1:2">
      <c r="A47" t="s">
        <v>442</v>
      </c>
      <c r="B47" t="s">
        <v>55</v>
      </c>
    </row>
    <row r="48" spans="1:2">
      <c r="A48" t="s">
        <v>186</v>
      </c>
      <c r="B48" t="s">
        <v>55</v>
      </c>
    </row>
    <row r="49" spans="1:2">
      <c r="A49" t="s">
        <v>184</v>
      </c>
      <c r="B49" t="s">
        <v>55</v>
      </c>
    </row>
    <row r="50" spans="1:2">
      <c r="A50" t="s">
        <v>187</v>
      </c>
      <c r="B50" t="s">
        <v>55</v>
      </c>
    </row>
    <row r="51" spans="1:2">
      <c r="A51" t="s">
        <v>176</v>
      </c>
      <c r="B51" t="s">
        <v>55</v>
      </c>
    </row>
    <row r="52" spans="1:2">
      <c r="A52" t="s">
        <v>175</v>
      </c>
      <c r="B52" t="s">
        <v>55</v>
      </c>
    </row>
    <row r="53" spans="1:2">
      <c r="A53" t="s">
        <v>174</v>
      </c>
      <c r="B53" t="s">
        <v>55</v>
      </c>
    </row>
    <row r="54" spans="1:2">
      <c r="A54" t="s">
        <v>173</v>
      </c>
      <c r="B54" t="s">
        <v>55</v>
      </c>
    </row>
    <row r="55" spans="1:2">
      <c r="A55" t="s">
        <v>179</v>
      </c>
      <c r="B55" t="s">
        <v>55</v>
      </c>
    </row>
    <row r="56" spans="1:2">
      <c r="A56" t="s">
        <v>698</v>
      </c>
      <c r="B56" t="s">
        <v>1024</v>
      </c>
    </row>
    <row r="57" spans="1:2">
      <c r="A57" t="s">
        <v>697</v>
      </c>
      <c r="B57" t="s">
        <v>1024</v>
      </c>
    </row>
    <row r="58" spans="1:2">
      <c r="A58" t="s">
        <v>701</v>
      </c>
      <c r="B58" t="s">
        <v>1024</v>
      </c>
    </row>
    <row r="59" spans="1:2">
      <c r="A59" t="s">
        <v>700</v>
      </c>
      <c r="B59" t="s">
        <v>1024</v>
      </c>
    </row>
    <row r="60" spans="1:2">
      <c r="A60" t="s">
        <v>699</v>
      </c>
      <c r="B60" t="s">
        <v>1024</v>
      </c>
    </row>
    <row r="61" spans="1:2">
      <c r="A61" t="s">
        <v>702</v>
      </c>
      <c r="B61" t="s">
        <v>1024</v>
      </c>
    </row>
    <row r="62" spans="1:2">
      <c r="A62" t="s">
        <v>703</v>
      </c>
      <c r="B62" t="s">
        <v>1024</v>
      </c>
    </row>
    <row r="63" spans="1:2">
      <c r="A63" t="s">
        <v>705</v>
      </c>
      <c r="B63" t="s">
        <v>1024</v>
      </c>
    </row>
    <row r="64" spans="1:2">
      <c r="A64" t="s">
        <v>707</v>
      </c>
      <c r="B64" t="s">
        <v>1024</v>
      </c>
    </row>
    <row r="65" spans="1:2">
      <c r="A65" t="s">
        <v>709</v>
      </c>
      <c r="B65" t="s">
        <v>1024</v>
      </c>
    </row>
    <row r="66" spans="1:2">
      <c r="A66" t="s">
        <v>710</v>
      </c>
      <c r="B66" t="s">
        <v>1024</v>
      </c>
    </row>
    <row r="67" spans="1:2">
      <c r="A67" t="s">
        <v>714</v>
      </c>
      <c r="B67" t="s">
        <v>1024</v>
      </c>
    </row>
    <row r="68" spans="1:2">
      <c r="A68" t="s">
        <v>715</v>
      </c>
      <c r="B68" t="s">
        <v>1024</v>
      </c>
    </row>
    <row r="69" spans="1:2">
      <c r="A69" t="s">
        <v>717</v>
      </c>
      <c r="B69" t="s">
        <v>1024</v>
      </c>
    </row>
    <row r="70" spans="1:2">
      <c r="A70" t="s">
        <v>718</v>
      </c>
      <c r="B70" t="s">
        <v>1024</v>
      </c>
    </row>
    <row r="71" spans="1:2">
      <c r="A71" t="s">
        <v>719</v>
      </c>
      <c r="B71" t="s">
        <v>1024</v>
      </c>
    </row>
    <row r="72" spans="1:2">
      <c r="A72" t="s">
        <v>721</v>
      </c>
      <c r="B72" t="s">
        <v>1024</v>
      </c>
    </row>
    <row r="73" spans="1:2">
      <c r="A73" t="s">
        <v>722</v>
      </c>
      <c r="B73" t="s">
        <v>1024</v>
      </c>
    </row>
    <row r="74" spans="1:2">
      <c r="A74" t="s">
        <v>724</v>
      </c>
      <c r="B74" t="s">
        <v>1024</v>
      </c>
    </row>
    <row r="75" spans="1:2">
      <c r="A75" t="s">
        <v>725</v>
      </c>
      <c r="B75" t="s">
        <v>1024</v>
      </c>
    </row>
    <row r="76" spans="1:2">
      <c r="A76" t="s">
        <v>726</v>
      </c>
      <c r="B76" t="s">
        <v>1024</v>
      </c>
    </row>
    <row r="77" spans="1:2">
      <c r="A77" t="s">
        <v>728</v>
      </c>
      <c r="B77" t="s">
        <v>1024</v>
      </c>
    </row>
    <row r="78" spans="1:2">
      <c r="A78" t="s">
        <v>729</v>
      </c>
      <c r="B78" t="s">
        <v>1024</v>
      </c>
    </row>
    <row r="79" spans="1:2">
      <c r="A79" t="s">
        <v>731</v>
      </c>
      <c r="B79" t="s">
        <v>1024</v>
      </c>
    </row>
    <row r="80" spans="1:2">
      <c r="A80" t="s">
        <v>732</v>
      </c>
      <c r="B80" t="s">
        <v>1024</v>
      </c>
    </row>
    <row r="81" spans="1:2">
      <c r="A81" t="s">
        <v>738</v>
      </c>
      <c r="B81" t="s">
        <v>1024</v>
      </c>
    </row>
    <row r="82" spans="1:2">
      <c r="A82" t="s">
        <v>662</v>
      </c>
      <c r="B82" t="s">
        <v>1024</v>
      </c>
    </row>
    <row r="83" spans="1:2">
      <c r="A83" t="s">
        <v>665</v>
      </c>
      <c r="B83" t="s">
        <v>1024</v>
      </c>
    </row>
    <row r="84" spans="1:2">
      <c r="A84" t="s">
        <v>666</v>
      </c>
      <c r="B84" t="s">
        <v>1024</v>
      </c>
    </row>
    <row r="85" spans="1:2">
      <c r="A85" t="s">
        <v>668</v>
      </c>
      <c r="B85" t="s">
        <v>1024</v>
      </c>
    </row>
    <row r="86" spans="1:2">
      <c r="A86" t="s">
        <v>669</v>
      </c>
      <c r="B86" t="s">
        <v>1024</v>
      </c>
    </row>
    <row r="87" spans="1:2">
      <c r="A87" t="s">
        <v>671</v>
      </c>
      <c r="B87" t="s">
        <v>1024</v>
      </c>
    </row>
    <row r="88" spans="1:2">
      <c r="A88" t="s">
        <v>672</v>
      </c>
      <c r="B88" t="s">
        <v>1024</v>
      </c>
    </row>
    <row r="89" spans="1:2">
      <c r="A89" t="s">
        <v>673</v>
      </c>
      <c r="B89" t="s">
        <v>1024</v>
      </c>
    </row>
    <row r="90" spans="1:2">
      <c r="A90" t="s">
        <v>675</v>
      </c>
      <c r="B90" t="s">
        <v>1024</v>
      </c>
    </row>
    <row r="91" spans="1:2">
      <c r="A91" t="s">
        <v>676</v>
      </c>
      <c r="B91" t="s">
        <v>1024</v>
      </c>
    </row>
    <row r="92" spans="1:2">
      <c r="A92" t="s">
        <v>677</v>
      </c>
      <c r="B92" t="s">
        <v>1024</v>
      </c>
    </row>
    <row r="93" spans="1:2">
      <c r="A93" t="s">
        <v>679</v>
      </c>
      <c r="B93" t="s">
        <v>1024</v>
      </c>
    </row>
    <row r="94" spans="1:2">
      <c r="A94" t="s">
        <v>680</v>
      </c>
      <c r="B94" t="s">
        <v>1024</v>
      </c>
    </row>
    <row r="95" spans="1:2">
      <c r="A95" t="s">
        <v>832</v>
      </c>
      <c r="B95" t="s">
        <v>1025</v>
      </c>
    </row>
    <row r="96" spans="1:2">
      <c r="A96" t="s">
        <v>831</v>
      </c>
      <c r="B96" t="s">
        <v>1025</v>
      </c>
    </row>
    <row r="97" spans="1:2">
      <c r="A97" t="s">
        <v>829</v>
      </c>
      <c r="B97" t="s">
        <v>1025</v>
      </c>
    </row>
    <row r="98" spans="1:2">
      <c r="A98" t="s">
        <v>827</v>
      </c>
      <c r="B98" t="s">
        <v>1025</v>
      </c>
    </row>
    <row r="99" spans="1:2">
      <c r="A99" t="s">
        <v>825</v>
      </c>
      <c r="B99" t="s">
        <v>1025</v>
      </c>
    </row>
    <row r="100" spans="1:2">
      <c r="A100" t="s">
        <v>824</v>
      </c>
      <c r="B100" t="s">
        <v>1025</v>
      </c>
    </row>
    <row r="101" spans="1:2">
      <c r="A101" t="s">
        <v>822</v>
      </c>
      <c r="B101" t="s">
        <v>1025</v>
      </c>
    </row>
    <row r="102" spans="1:2">
      <c r="A102" t="s">
        <v>821</v>
      </c>
      <c r="B102" t="s">
        <v>1025</v>
      </c>
    </row>
    <row r="103" spans="1:2">
      <c r="A103" t="s">
        <v>818</v>
      </c>
      <c r="B103" t="s">
        <v>1025</v>
      </c>
    </row>
    <row r="104" spans="1:2">
      <c r="A104" t="s">
        <v>820</v>
      </c>
      <c r="B104" t="s">
        <v>1025</v>
      </c>
    </row>
    <row r="105" spans="1:2">
      <c r="A105" t="s">
        <v>816</v>
      </c>
      <c r="B105" t="s">
        <v>1025</v>
      </c>
    </row>
    <row r="106" spans="1:2">
      <c r="A106" t="s">
        <v>815</v>
      </c>
      <c r="B106" t="s">
        <v>1025</v>
      </c>
    </row>
    <row r="107" spans="1:2">
      <c r="A107" t="s">
        <v>766</v>
      </c>
      <c r="B107" t="s">
        <v>1025</v>
      </c>
    </row>
    <row r="108" spans="1:2">
      <c r="A108" t="s">
        <v>768</v>
      </c>
      <c r="B108" t="s">
        <v>1025</v>
      </c>
    </row>
    <row r="109" spans="1:2">
      <c r="A109" t="s">
        <v>769</v>
      </c>
      <c r="B109" t="s">
        <v>1025</v>
      </c>
    </row>
    <row r="110" spans="1:2">
      <c r="A110" t="s">
        <v>1026</v>
      </c>
      <c r="B110" t="s">
        <v>1025</v>
      </c>
    </row>
    <row r="111" spans="1:2">
      <c r="A111" t="s">
        <v>772</v>
      </c>
      <c r="B111" t="s">
        <v>1025</v>
      </c>
    </row>
    <row r="112" spans="1:2">
      <c r="A112" t="s">
        <v>775</v>
      </c>
      <c r="B112" t="s">
        <v>1025</v>
      </c>
    </row>
    <row r="113" spans="1:2">
      <c r="A113" t="s">
        <v>777</v>
      </c>
      <c r="B113" t="s">
        <v>1025</v>
      </c>
    </row>
    <row r="114" spans="1:2">
      <c r="A114" t="s">
        <v>778</v>
      </c>
      <c r="B114" t="s">
        <v>1025</v>
      </c>
    </row>
    <row r="115" spans="1:2">
      <c r="A115" t="s">
        <v>779</v>
      </c>
      <c r="B115" t="s">
        <v>1025</v>
      </c>
    </row>
    <row r="116" spans="1:2">
      <c r="A116" t="s">
        <v>781</v>
      </c>
      <c r="B116" t="s">
        <v>1025</v>
      </c>
    </row>
    <row r="117" spans="1:2">
      <c r="A117" t="s">
        <v>782</v>
      </c>
      <c r="B117" t="s">
        <v>1025</v>
      </c>
    </row>
    <row r="118" spans="1:2">
      <c r="A118" t="s">
        <v>786</v>
      </c>
      <c r="B118" t="s">
        <v>1025</v>
      </c>
    </row>
    <row r="119" spans="1:2">
      <c r="A119" t="s">
        <v>783</v>
      </c>
      <c r="B119" t="s">
        <v>1025</v>
      </c>
    </row>
    <row r="120" spans="1:2">
      <c r="A120" t="s">
        <v>788</v>
      </c>
      <c r="B120" t="s">
        <v>1025</v>
      </c>
    </row>
    <row r="121" spans="1:2">
      <c r="A121" t="s">
        <v>787</v>
      </c>
      <c r="B121" t="s">
        <v>1025</v>
      </c>
    </row>
    <row r="122" spans="1:2">
      <c r="A122" t="s">
        <v>847</v>
      </c>
      <c r="B122" t="s">
        <v>1025</v>
      </c>
    </row>
    <row r="123" spans="1:2">
      <c r="A123" t="s">
        <v>845</v>
      </c>
      <c r="B123" t="s">
        <v>1025</v>
      </c>
    </row>
    <row r="124" spans="1:2">
      <c r="A124" t="s">
        <v>814</v>
      </c>
      <c r="B124" t="s">
        <v>1025</v>
      </c>
    </row>
    <row r="125" spans="1:2">
      <c r="A125" t="s">
        <v>811</v>
      </c>
      <c r="B125" t="s">
        <v>1025</v>
      </c>
    </row>
    <row r="126" spans="1:2">
      <c r="A126" t="s">
        <v>810</v>
      </c>
      <c r="B126" t="s">
        <v>1025</v>
      </c>
    </row>
    <row r="127" spans="1:2">
      <c r="A127" t="s">
        <v>799</v>
      </c>
      <c r="B127" t="s">
        <v>1025</v>
      </c>
    </row>
    <row r="128" spans="1:2">
      <c r="A128" t="s">
        <v>801</v>
      </c>
      <c r="B128" t="s">
        <v>1025</v>
      </c>
    </row>
    <row r="129" spans="1:2">
      <c r="A129" t="s">
        <v>798</v>
      </c>
      <c r="B129" t="s">
        <v>1025</v>
      </c>
    </row>
    <row r="130" spans="1:2">
      <c r="A130" t="s">
        <v>796</v>
      </c>
      <c r="B130" t="s">
        <v>1025</v>
      </c>
    </row>
    <row r="131" spans="1:2">
      <c r="A131" t="s">
        <v>795</v>
      </c>
      <c r="B131" t="s">
        <v>1025</v>
      </c>
    </row>
    <row r="132" spans="1:2">
      <c r="A132" t="s">
        <v>792</v>
      </c>
      <c r="B132" t="s">
        <v>1025</v>
      </c>
    </row>
    <row r="133" spans="1:2">
      <c r="A133" t="s">
        <v>791</v>
      </c>
      <c r="B133" t="s">
        <v>1025</v>
      </c>
    </row>
    <row r="134" spans="1:2">
      <c r="A134" t="s">
        <v>681</v>
      </c>
      <c r="B134" t="s">
        <v>1013</v>
      </c>
    </row>
    <row r="135" spans="1:2">
      <c r="A135" t="s">
        <v>682</v>
      </c>
      <c r="B135" t="s">
        <v>1013</v>
      </c>
    </row>
    <row r="136" spans="1:2">
      <c r="A136" t="s">
        <v>684</v>
      </c>
      <c r="B136" t="s">
        <v>1013</v>
      </c>
    </row>
    <row r="137" spans="1:2">
      <c r="A137" t="s">
        <v>685</v>
      </c>
      <c r="B137" t="s">
        <v>1013</v>
      </c>
    </row>
    <row r="138" spans="1:2">
      <c r="A138" t="s">
        <v>689</v>
      </c>
      <c r="B138" t="s">
        <v>1013</v>
      </c>
    </row>
    <row r="139" spans="1:2">
      <c r="A139" t="s">
        <v>691</v>
      </c>
      <c r="B139" t="s">
        <v>1013</v>
      </c>
    </row>
    <row r="140" spans="1:2">
      <c r="A140" t="s">
        <v>692</v>
      </c>
      <c r="B140" t="s">
        <v>1013</v>
      </c>
    </row>
    <row r="141" spans="1:2">
      <c r="A141" t="s">
        <v>694</v>
      </c>
      <c r="B141" t="s">
        <v>1013</v>
      </c>
    </row>
    <row r="142" spans="1:2">
      <c r="A142" t="s">
        <v>1027</v>
      </c>
      <c r="B142" t="s">
        <v>1013</v>
      </c>
    </row>
    <row r="143" spans="1:2">
      <c r="A143" t="s">
        <v>1028</v>
      </c>
      <c r="B143" t="s">
        <v>1013</v>
      </c>
    </row>
    <row r="144" spans="1:2">
      <c r="A144" t="s">
        <v>1029</v>
      </c>
      <c r="B144" t="s">
        <v>1013</v>
      </c>
    </row>
    <row r="145" spans="1:2">
      <c r="A145" t="s">
        <v>1030</v>
      </c>
      <c r="B145" t="s">
        <v>1013</v>
      </c>
    </row>
    <row r="146" spans="1:2">
      <c r="A146" t="s">
        <v>1031</v>
      </c>
      <c r="B146" t="s">
        <v>1013</v>
      </c>
    </row>
    <row r="147" spans="1:2">
      <c r="A147" t="s">
        <v>1032</v>
      </c>
      <c r="B147" t="s">
        <v>1013</v>
      </c>
    </row>
    <row r="148" spans="1:2">
      <c r="A148" t="s">
        <v>1033</v>
      </c>
      <c r="B148" t="s">
        <v>1013</v>
      </c>
    </row>
    <row r="149" spans="1:2">
      <c r="A149" t="s">
        <v>1034</v>
      </c>
      <c r="B149" t="s">
        <v>1013</v>
      </c>
    </row>
    <row r="150" spans="1:2">
      <c r="A150" t="s">
        <v>1035</v>
      </c>
      <c r="B150" t="s">
        <v>1013</v>
      </c>
    </row>
    <row r="151" spans="1:2">
      <c r="A151" t="s">
        <v>1036</v>
      </c>
      <c r="B151" t="s">
        <v>1013</v>
      </c>
    </row>
    <row r="152" spans="1:2">
      <c r="A152" t="s">
        <v>1037</v>
      </c>
      <c r="B152" t="s">
        <v>1013</v>
      </c>
    </row>
    <row r="153" spans="1:2">
      <c r="A153" t="s">
        <v>1038</v>
      </c>
      <c r="B153" t="s">
        <v>1013</v>
      </c>
    </row>
    <row r="154" spans="1:2">
      <c r="A154" t="s">
        <v>1039</v>
      </c>
      <c r="B154" t="s">
        <v>1013</v>
      </c>
    </row>
    <row r="155" spans="1:2">
      <c r="A155" t="s">
        <v>1040</v>
      </c>
      <c r="B155" t="s">
        <v>1013</v>
      </c>
    </row>
    <row r="156" spans="1:2">
      <c r="A156" t="s">
        <v>1041</v>
      </c>
      <c r="B156" t="s">
        <v>1013</v>
      </c>
    </row>
    <row r="157" spans="1:2">
      <c r="A157" t="s">
        <v>1042</v>
      </c>
      <c r="B157" t="s">
        <v>1013</v>
      </c>
    </row>
    <row r="158" spans="1:2">
      <c r="A158" t="s">
        <v>1043</v>
      </c>
      <c r="B158" t="s">
        <v>1013</v>
      </c>
    </row>
    <row r="159" spans="1:2">
      <c r="A159" t="s">
        <v>1044</v>
      </c>
      <c r="B159" t="s">
        <v>1013</v>
      </c>
    </row>
    <row r="160" spans="1:2">
      <c r="A160" t="s">
        <v>1045</v>
      </c>
      <c r="B160" t="s">
        <v>1013</v>
      </c>
    </row>
    <row r="161" spans="1:2">
      <c r="A161" t="s">
        <v>1046</v>
      </c>
      <c r="B161" t="s">
        <v>1013</v>
      </c>
    </row>
    <row r="162" spans="1:2">
      <c r="A162" t="s">
        <v>833</v>
      </c>
      <c r="B162" t="s">
        <v>1013</v>
      </c>
    </row>
    <row r="163" spans="1:2">
      <c r="A163" t="s">
        <v>836</v>
      </c>
      <c r="B163" t="s">
        <v>1013</v>
      </c>
    </row>
    <row r="164" spans="1:2">
      <c r="A164" t="s">
        <v>1047</v>
      </c>
      <c r="B164" t="s">
        <v>1013</v>
      </c>
    </row>
    <row r="165" spans="1:2">
      <c r="A165" t="s">
        <v>1048</v>
      </c>
      <c r="B165" t="s">
        <v>1013</v>
      </c>
    </row>
    <row r="166" spans="1:2">
      <c r="A166" t="s">
        <v>1049</v>
      </c>
      <c r="B166" t="s">
        <v>1013</v>
      </c>
    </row>
    <row r="167" spans="1:2">
      <c r="A167" t="s">
        <v>1050</v>
      </c>
      <c r="B167" t="s">
        <v>1013</v>
      </c>
    </row>
    <row r="168" spans="1:2">
      <c r="A168" t="s">
        <v>739</v>
      </c>
      <c r="B168" t="s">
        <v>1013</v>
      </c>
    </row>
    <row r="169" spans="1:2">
      <c r="A169" t="s">
        <v>1051</v>
      </c>
      <c r="B169" t="s">
        <v>1013</v>
      </c>
    </row>
    <row r="170" spans="1:2">
      <c r="A170" t="s">
        <v>1052</v>
      </c>
      <c r="B170" t="s">
        <v>1013</v>
      </c>
    </row>
    <row r="171" spans="1:2">
      <c r="A171" t="s">
        <v>1053</v>
      </c>
      <c r="B171" t="s">
        <v>1013</v>
      </c>
    </row>
    <row r="172" spans="1:2">
      <c r="A172" t="s">
        <v>1054</v>
      </c>
      <c r="B172" t="s">
        <v>1013</v>
      </c>
    </row>
    <row r="173" spans="1:2">
      <c r="A173" t="s">
        <v>764</v>
      </c>
      <c r="B173" t="s">
        <v>1013</v>
      </c>
    </row>
    <row r="174" spans="1:2">
      <c r="A174" t="s">
        <v>1055</v>
      </c>
      <c r="B174" t="s">
        <v>1013</v>
      </c>
    </row>
    <row r="175" spans="1:2">
      <c r="A175" t="s">
        <v>1056</v>
      </c>
      <c r="B175" t="s">
        <v>1013</v>
      </c>
    </row>
    <row r="176" spans="1:2">
      <c r="A176" t="s">
        <v>763</v>
      </c>
      <c r="B176" t="s">
        <v>1013</v>
      </c>
    </row>
    <row r="177" spans="1:2">
      <c r="A177" t="s">
        <v>1057</v>
      </c>
      <c r="B177" t="s">
        <v>1013</v>
      </c>
    </row>
    <row r="178" spans="1:2">
      <c r="A178" t="s">
        <v>1058</v>
      </c>
      <c r="B178" t="s">
        <v>1013</v>
      </c>
    </row>
    <row r="179" spans="1:2">
      <c r="A179" t="s">
        <v>1059</v>
      </c>
      <c r="B179" t="s">
        <v>1013</v>
      </c>
    </row>
    <row r="180" spans="1:2">
      <c r="A180" t="s">
        <v>760</v>
      </c>
      <c r="B180" t="s">
        <v>1013</v>
      </c>
    </row>
    <row r="181" spans="1:2">
      <c r="A181" t="s">
        <v>1060</v>
      </c>
      <c r="B181" t="s">
        <v>1013</v>
      </c>
    </row>
    <row r="182" spans="1:2">
      <c r="A182" t="s">
        <v>1061</v>
      </c>
      <c r="B182" t="s">
        <v>1013</v>
      </c>
    </row>
    <row r="183" spans="1:2">
      <c r="A183" t="s">
        <v>1062</v>
      </c>
      <c r="B183" t="s">
        <v>1013</v>
      </c>
    </row>
    <row r="184" spans="1:2">
      <c r="A184" t="s">
        <v>757</v>
      </c>
      <c r="B184" t="s">
        <v>1013</v>
      </c>
    </row>
    <row r="185" spans="1:2">
      <c r="A185" t="s">
        <v>1063</v>
      </c>
      <c r="B185" t="s">
        <v>1013</v>
      </c>
    </row>
    <row r="186" spans="1:2">
      <c r="A186" t="s">
        <v>749</v>
      </c>
      <c r="B186" t="s">
        <v>1013</v>
      </c>
    </row>
    <row r="187" spans="1:2">
      <c r="A187" t="s">
        <v>1064</v>
      </c>
      <c r="B187" t="s">
        <v>1013</v>
      </c>
    </row>
    <row r="188" spans="1:2">
      <c r="A188" t="s">
        <v>1065</v>
      </c>
      <c r="B188" t="s">
        <v>1013</v>
      </c>
    </row>
    <row r="189" spans="1:2">
      <c r="A189" t="s">
        <v>750</v>
      </c>
      <c r="B189" t="s">
        <v>1013</v>
      </c>
    </row>
    <row r="190" spans="1:2">
      <c r="A190" t="s">
        <v>1066</v>
      </c>
      <c r="B190" t="s">
        <v>1013</v>
      </c>
    </row>
    <row r="191" spans="1:2">
      <c r="A191" t="s">
        <v>1067</v>
      </c>
      <c r="B191" t="s">
        <v>1013</v>
      </c>
    </row>
    <row r="192" spans="1:2">
      <c r="A192" t="s">
        <v>1068</v>
      </c>
      <c r="B192" t="s">
        <v>1013</v>
      </c>
    </row>
    <row r="193" spans="1:2">
      <c r="A193" t="s">
        <v>752</v>
      </c>
      <c r="B193" t="s">
        <v>1013</v>
      </c>
    </row>
    <row r="194" spans="1:2">
      <c r="A194" t="s">
        <v>1069</v>
      </c>
      <c r="B194" t="s">
        <v>1013</v>
      </c>
    </row>
    <row r="195" spans="1:2">
      <c r="A195" t="s">
        <v>1070</v>
      </c>
      <c r="B195" t="s">
        <v>1013</v>
      </c>
    </row>
    <row r="196" spans="1:2">
      <c r="A196" t="s">
        <v>753</v>
      </c>
      <c r="B196" t="s">
        <v>1013</v>
      </c>
    </row>
    <row r="197" spans="1:2">
      <c r="A197" t="s">
        <v>1071</v>
      </c>
      <c r="B197" t="s">
        <v>1013</v>
      </c>
    </row>
    <row r="198" spans="1:2">
      <c r="A198" t="s">
        <v>747</v>
      </c>
      <c r="B198" t="s">
        <v>1013</v>
      </c>
    </row>
    <row r="199" spans="1:2">
      <c r="A199" t="s">
        <v>754</v>
      </c>
      <c r="B199" t="s">
        <v>1013</v>
      </c>
    </row>
    <row r="200" spans="1:2">
      <c r="A200" t="s">
        <v>1072</v>
      </c>
      <c r="B200" t="s">
        <v>1013</v>
      </c>
    </row>
    <row r="201" spans="1:2">
      <c r="A201" t="s">
        <v>1073</v>
      </c>
      <c r="B201" t="s">
        <v>1013</v>
      </c>
    </row>
    <row r="202" spans="1:2">
      <c r="A202" t="s">
        <v>746</v>
      </c>
      <c r="B202" t="s">
        <v>1013</v>
      </c>
    </row>
    <row r="203" spans="1:2">
      <c r="A203" t="s">
        <v>1074</v>
      </c>
      <c r="B203" t="s">
        <v>1013</v>
      </c>
    </row>
    <row r="204" spans="1:2">
      <c r="A204" t="s">
        <v>1075</v>
      </c>
      <c r="B204" t="s">
        <v>1013</v>
      </c>
    </row>
    <row r="205" spans="1:2">
      <c r="A205" t="s">
        <v>1076</v>
      </c>
      <c r="B205" t="s">
        <v>1013</v>
      </c>
    </row>
    <row r="206" spans="1:2">
      <c r="A206" t="s">
        <v>1077</v>
      </c>
      <c r="B206" t="s">
        <v>1013</v>
      </c>
    </row>
    <row r="207" spans="1:2">
      <c r="A207" t="s">
        <v>1078</v>
      </c>
      <c r="B207" t="s">
        <v>1013</v>
      </c>
    </row>
    <row r="208" spans="1:2">
      <c r="A208" t="s">
        <v>1079</v>
      </c>
      <c r="B208" t="s">
        <v>1013</v>
      </c>
    </row>
    <row r="209" spans="1:2">
      <c r="A209" t="s">
        <v>1080</v>
      </c>
      <c r="B209" t="s">
        <v>1013</v>
      </c>
    </row>
    <row r="210" spans="1:2">
      <c r="A210" t="s">
        <v>844</v>
      </c>
      <c r="B210" t="s">
        <v>1013</v>
      </c>
    </row>
    <row r="211" spans="1:2">
      <c r="A211" t="s">
        <v>743</v>
      </c>
      <c r="B211" t="s">
        <v>1013</v>
      </c>
    </row>
    <row r="212" spans="1:2">
      <c r="A212" t="s">
        <v>1081</v>
      </c>
      <c r="B212" t="s">
        <v>1013</v>
      </c>
    </row>
    <row r="213" spans="1:2">
      <c r="A213" t="s">
        <v>745</v>
      </c>
      <c r="B213" t="s">
        <v>1013</v>
      </c>
    </row>
    <row r="214" spans="1:2">
      <c r="A214" t="s">
        <v>1082</v>
      </c>
      <c r="B214" t="s">
        <v>1013</v>
      </c>
    </row>
    <row r="215" spans="1:2">
      <c r="A215" t="s">
        <v>741</v>
      </c>
      <c r="B215" t="s">
        <v>1013</v>
      </c>
    </row>
    <row r="216" spans="1:2">
      <c r="A216" t="s">
        <v>1083</v>
      </c>
      <c r="B216" t="s">
        <v>1013</v>
      </c>
    </row>
    <row r="217" spans="1:2">
      <c r="A217" t="s">
        <v>1084</v>
      </c>
      <c r="B217" t="s">
        <v>1013</v>
      </c>
    </row>
    <row r="218" spans="1:2">
      <c r="A218" t="s">
        <v>1085</v>
      </c>
      <c r="B218" t="s">
        <v>1013</v>
      </c>
    </row>
    <row r="219" spans="1:2">
      <c r="A219" t="s">
        <v>1086</v>
      </c>
      <c r="B219" t="s">
        <v>1013</v>
      </c>
    </row>
    <row r="220" spans="1:2">
      <c r="A220" t="s">
        <v>1087</v>
      </c>
      <c r="B220" t="s">
        <v>1013</v>
      </c>
    </row>
    <row r="221" spans="1:2">
      <c r="A221" t="s">
        <v>842</v>
      </c>
      <c r="B221" t="s">
        <v>1013</v>
      </c>
    </row>
    <row r="222" spans="1:2">
      <c r="A222" t="s">
        <v>1088</v>
      </c>
      <c r="B222" t="s">
        <v>1013</v>
      </c>
    </row>
    <row r="223" spans="1:2">
      <c r="A223" t="s">
        <v>1089</v>
      </c>
      <c r="B223" t="s">
        <v>1013</v>
      </c>
    </row>
    <row r="224" spans="1:2">
      <c r="A224" t="s">
        <v>1090</v>
      </c>
      <c r="B224" t="s">
        <v>1013</v>
      </c>
    </row>
    <row r="225" spans="1:2">
      <c r="A225" t="s">
        <v>1091</v>
      </c>
      <c r="B225" t="s">
        <v>1013</v>
      </c>
    </row>
    <row r="226" spans="1:2">
      <c r="A226" t="s">
        <v>1092</v>
      </c>
      <c r="B226" t="s">
        <v>1013</v>
      </c>
    </row>
    <row r="227" spans="1:2">
      <c r="A227" t="s">
        <v>841</v>
      </c>
      <c r="B227" t="s">
        <v>1013</v>
      </c>
    </row>
    <row r="228" spans="1:2">
      <c r="A228" t="s">
        <v>1093</v>
      </c>
      <c r="B228" t="s">
        <v>1013</v>
      </c>
    </row>
    <row r="229" spans="1:2">
      <c r="A229" t="s">
        <v>1094</v>
      </c>
      <c r="B229" t="s">
        <v>1013</v>
      </c>
    </row>
    <row r="230" spans="1:2">
      <c r="A230" t="s">
        <v>1095</v>
      </c>
      <c r="B230" t="s">
        <v>1013</v>
      </c>
    </row>
    <row r="231" spans="1:2">
      <c r="A231" t="s">
        <v>1096</v>
      </c>
      <c r="B231" t="s">
        <v>1013</v>
      </c>
    </row>
    <row r="232" spans="1:2">
      <c r="A232" t="s">
        <v>1097</v>
      </c>
      <c r="B232" t="s">
        <v>1013</v>
      </c>
    </row>
    <row r="233" spans="1:2">
      <c r="A233" t="s">
        <v>1098</v>
      </c>
      <c r="B233" t="s">
        <v>1013</v>
      </c>
    </row>
    <row r="234" spans="1:2">
      <c r="A234" t="s">
        <v>1099</v>
      </c>
      <c r="B234" t="s">
        <v>1013</v>
      </c>
    </row>
    <row r="235" spans="1:2">
      <c r="A235" t="s">
        <v>840</v>
      </c>
      <c r="B235" t="s">
        <v>1013</v>
      </c>
    </row>
    <row r="236" spans="1:2">
      <c r="A236" t="s">
        <v>1100</v>
      </c>
      <c r="B236" t="s">
        <v>1013</v>
      </c>
    </row>
    <row r="237" spans="1:2">
      <c r="A237" t="s">
        <v>1101</v>
      </c>
      <c r="B237" t="s">
        <v>1013</v>
      </c>
    </row>
    <row r="238" spans="1:2">
      <c r="A238" t="s">
        <v>1102</v>
      </c>
      <c r="B238" t="s">
        <v>1013</v>
      </c>
    </row>
    <row r="239" spans="1:2">
      <c r="A239" t="s">
        <v>1103</v>
      </c>
      <c r="B239" t="s">
        <v>1013</v>
      </c>
    </row>
    <row r="240" spans="1:2">
      <c r="A240" t="s">
        <v>1104</v>
      </c>
      <c r="B240" t="s">
        <v>1013</v>
      </c>
    </row>
    <row r="241" spans="1:2">
      <c r="A241" t="s">
        <v>1105</v>
      </c>
      <c r="B241" t="s">
        <v>1013</v>
      </c>
    </row>
    <row r="242" spans="1:2">
      <c r="A242" t="s">
        <v>1106</v>
      </c>
      <c r="B242" t="s">
        <v>1013</v>
      </c>
    </row>
    <row r="243" spans="1:2">
      <c r="A243" t="s">
        <v>1107</v>
      </c>
      <c r="B243" t="s">
        <v>1013</v>
      </c>
    </row>
    <row r="244" spans="1:2">
      <c r="A244" t="s">
        <v>1108</v>
      </c>
      <c r="B244" t="s">
        <v>1013</v>
      </c>
    </row>
    <row r="245" spans="1:2">
      <c r="A245" t="s">
        <v>1109</v>
      </c>
      <c r="B245" t="s">
        <v>1013</v>
      </c>
    </row>
    <row r="246" spans="1:2">
      <c r="A246" t="s">
        <v>1110</v>
      </c>
      <c r="B246" t="s">
        <v>1013</v>
      </c>
    </row>
    <row r="247" spans="1:2">
      <c r="A247" t="s">
        <v>1111</v>
      </c>
      <c r="B247" t="s">
        <v>1013</v>
      </c>
    </row>
    <row r="248" spans="1:2">
      <c r="A248" t="s">
        <v>1112</v>
      </c>
      <c r="B248" t="s">
        <v>1013</v>
      </c>
    </row>
    <row r="249" spans="1:2">
      <c r="A249" t="s">
        <v>1113</v>
      </c>
      <c r="B249" t="s">
        <v>1013</v>
      </c>
    </row>
    <row r="250" spans="1:2">
      <c r="A250" t="s">
        <v>1114</v>
      </c>
      <c r="B250" t="s">
        <v>1013</v>
      </c>
    </row>
    <row r="251" spans="1:2">
      <c r="A251" t="s">
        <v>1115</v>
      </c>
      <c r="B251" t="s">
        <v>1013</v>
      </c>
    </row>
    <row r="252" spans="1:2">
      <c r="A252" t="s">
        <v>1116</v>
      </c>
      <c r="B252" t="s">
        <v>1013</v>
      </c>
    </row>
    <row r="253" spans="1:2">
      <c r="A253" t="s">
        <v>1117</v>
      </c>
      <c r="B253" t="s">
        <v>1013</v>
      </c>
    </row>
    <row r="254" spans="1:2">
      <c r="A254" t="s">
        <v>1118</v>
      </c>
      <c r="B254" t="s">
        <v>1013</v>
      </c>
    </row>
    <row r="255" spans="1:2">
      <c r="A255" t="s">
        <v>1119</v>
      </c>
      <c r="B255" t="s">
        <v>1013</v>
      </c>
    </row>
    <row r="256" spans="1:2">
      <c r="A256" t="s">
        <v>835</v>
      </c>
      <c r="B256" t="s">
        <v>1013</v>
      </c>
    </row>
    <row r="257" spans="1:2">
      <c r="A257" t="s">
        <v>1120</v>
      </c>
      <c r="B257" t="s">
        <v>1013</v>
      </c>
    </row>
    <row r="258" spans="1:2">
      <c r="A258" t="s">
        <v>1121</v>
      </c>
      <c r="B258" t="s">
        <v>1013</v>
      </c>
    </row>
    <row r="259" spans="1:2">
      <c r="A259" t="s">
        <v>1122</v>
      </c>
      <c r="B259" t="s">
        <v>1013</v>
      </c>
    </row>
    <row r="260" spans="1:2">
      <c r="A260" t="s">
        <v>1123</v>
      </c>
      <c r="B260" t="s">
        <v>1013</v>
      </c>
    </row>
    <row r="261" spans="1:2">
      <c r="A261" t="s">
        <v>1124</v>
      </c>
      <c r="B261" t="s">
        <v>1013</v>
      </c>
    </row>
    <row r="262" spans="1:2">
      <c r="A262" t="s">
        <v>1125</v>
      </c>
      <c r="B262" t="s">
        <v>1013</v>
      </c>
    </row>
    <row r="263" spans="1:2">
      <c r="A263" t="s">
        <v>1126</v>
      </c>
      <c r="B263" t="s">
        <v>1013</v>
      </c>
    </row>
    <row r="264" spans="1:2">
      <c r="A264" t="s">
        <v>1127</v>
      </c>
      <c r="B264" t="s">
        <v>1013</v>
      </c>
    </row>
    <row r="265" spans="1:2">
      <c r="A265" t="s">
        <v>804</v>
      </c>
      <c r="B265" t="s">
        <v>1013</v>
      </c>
    </row>
    <row r="266" spans="1:2">
      <c r="A266" t="s">
        <v>1128</v>
      </c>
      <c r="B266" t="s">
        <v>1013</v>
      </c>
    </row>
    <row r="267" spans="1:2">
      <c r="A267" t="s">
        <v>809</v>
      </c>
      <c r="B267" t="s">
        <v>1013</v>
      </c>
    </row>
    <row r="268" spans="1:2">
      <c r="A268" t="s">
        <v>1129</v>
      </c>
      <c r="B268" t="s">
        <v>1013</v>
      </c>
    </row>
    <row r="269" spans="1:2">
      <c r="A269" t="s">
        <v>1130</v>
      </c>
      <c r="B269" t="s">
        <v>1013</v>
      </c>
    </row>
    <row r="270" spans="1:2">
      <c r="A270" t="s">
        <v>1131</v>
      </c>
      <c r="B270" t="s">
        <v>1013</v>
      </c>
    </row>
    <row r="271" spans="1:2">
      <c r="A271" t="s">
        <v>1132</v>
      </c>
      <c r="B271" t="s">
        <v>1013</v>
      </c>
    </row>
    <row r="272" spans="1:2">
      <c r="A272" t="s">
        <v>1133</v>
      </c>
      <c r="B272" t="s">
        <v>1013</v>
      </c>
    </row>
    <row r="273" spans="1:2">
      <c r="A273" t="s">
        <v>802</v>
      </c>
      <c r="B273" t="s">
        <v>1013</v>
      </c>
    </row>
    <row r="274" spans="1:2">
      <c r="A274" t="s">
        <v>806</v>
      </c>
      <c r="B274" t="s">
        <v>1013</v>
      </c>
    </row>
    <row r="275" spans="1:2">
      <c r="A275" t="s">
        <v>807</v>
      </c>
      <c r="B275" t="s">
        <v>1013</v>
      </c>
    </row>
    <row r="276" spans="1:2">
      <c r="A276" t="s">
        <v>1134</v>
      </c>
      <c r="B276" t="s">
        <v>1013</v>
      </c>
    </row>
    <row r="277" spans="1:2">
      <c r="A277" t="s">
        <v>1135</v>
      </c>
      <c r="B277" t="s">
        <v>1013</v>
      </c>
    </row>
    <row r="278" spans="1:2">
      <c r="A278" t="s">
        <v>1136</v>
      </c>
      <c r="B278" t="s">
        <v>1013</v>
      </c>
    </row>
    <row r="279" spans="1:2">
      <c r="A279" t="s">
        <v>1137</v>
      </c>
      <c r="B279" t="s">
        <v>1013</v>
      </c>
    </row>
    <row r="280" spans="1:2">
      <c r="A280" t="s">
        <v>1138</v>
      </c>
      <c r="B280" t="s">
        <v>1013</v>
      </c>
    </row>
    <row r="281" spans="1:2">
      <c r="A281" t="s">
        <v>1139</v>
      </c>
      <c r="B281" t="s">
        <v>1013</v>
      </c>
    </row>
    <row r="282" spans="1:2">
      <c r="A282" t="s">
        <v>839</v>
      </c>
      <c r="B282" t="s">
        <v>1013</v>
      </c>
    </row>
    <row r="283" spans="1:2">
      <c r="A283" t="s">
        <v>1140</v>
      </c>
      <c r="B283" t="s">
        <v>1013</v>
      </c>
    </row>
    <row r="284" spans="1:2">
      <c r="A284" t="s">
        <v>1141</v>
      </c>
      <c r="B284" t="s">
        <v>1013</v>
      </c>
    </row>
    <row r="285" spans="1:2">
      <c r="A285" t="s">
        <v>1142</v>
      </c>
      <c r="B285" t="s">
        <v>1013</v>
      </c>
    </row>
    <row r="286" spans="1:2">
      <c r="A286" t="s">
        <v>838</v>
      </c>
      <c r="B286" t="s">
        <v>1013</v>
      </c>
    </row>
    <row r="287" spans="1:2">
      <c r="A287" t="s">
        <v>1143</v>
      </c>
      <c r="B287" t="s">
        <v>1013</v>
      </c>
    </row>
    <row r="288" spans="1:2">
      <c r="A288" t="s">
        <v>1144</v>
      </c>
      <c r="B288" t="s">
        <v>1013</v>
      </c>
    </row>
    <row r="289" spans="1:2">
      <c r="A289" t="s">
        <v>773</v>
      </c>
      <c r="B289" t="s">
        <v>1025</v>
      </c>
    </row>
    <row r="290" spans="1:2">
      <c r="A290" t="s">
        <v>1145</v>
      </c>
      <c r="B290" t="s">
        <v>62</v>
      </c>
    </row>
    <row r="291" spans="1:2">
      <c r="A291" t="s">
        <v>1146</v>
      </c>
      <c r="B291" t="s">
        <v>62</v>
      </c>
    </row>
    <row r="292" spans="1:2">
      <c r="A292" t="s">
        <v>1147</v>
      </c>
      <c r="B292" t="s">
        <v>62</v>
      </c>
    </row>
    <row r="293" spans="1:2">
      <c r="A293" t="s">
        <v>1148</v>
      </c>
      <c r="B293" t="s">
        <v>62</v>
      </c>
    </row>
    <row r="294" spans="1:2">
      <c r="A294" t="s">
        <v>1149</v>
      </c>
      <c r="B294" t="s">
        <v>62</v>
      </c>
    </row>
    <row r="295" spans="1:2">
      <c r="A295" t="s">
        <v>1150</v>
      </c>
      <c r="B295" t="s">
        <v>62</v>
      </c>
    </row>
    <row r="296" spans="1:2">
      <c r="A296" t="s">
        <v>1151</v>
      </c>
      <c r="B296" t="s">
        <v>62</v>
      </c>
    </row>
    <row r="297" spans="1:2">
      <c r="A297" t="s">
        <v>1152</v>
      </c>
      <c r="B297" t="s">
        <v>65</v>
      </c>
    </row>
    <row r="298" spans="1:2">
      <c r="A298" t="s">
        <v>1153</v>
      </c>
      <c r="B298" t="s">
        <v>65</v>
      </c>
    </row>
    <row r="299" spans="1:2">
      <c r="A299" t="s">
        <v>1154</v>
      </c>
      <c r="B299" t="s">
        <v>65</v>
      </c>
    </row>
    <row r="300" spans="1:2">
      <c r="A300" t="s">
        <v>1155</v>
      </c>
      <c r="B300" t="s">
        <v>65</v>
      </c>
    </row>
    <row r="301" spans="1:2">
      <c r="A301" t="s">
        <v>1156</v>
      </c>
      <c r="B301" t="s">
        <v>65</v>
      </c>
    </row>
    <row r="302" spans="1:2">
      <c r="A302" t="s">
        <v>1157</v>
      </c>
      <c r="B302" t="s">
        <v>65</v>
      </c>
    </row>
    <row r="303" spans="1:2">
      <c r="A303" t="s">
        <v>1158</v>
      </c>
      <c r="B303" t="s">
        <v>65</v>
      </c>
    </row>
    <row r="304" spans="1:2">
      <c r="A304" t="s">
        <v>1159</v>
      </c>
      <c r="B304" t="s">
        <v>65</v>
      </c>
    </row>
    <row r="305" spans="1:2">
      <c r="A305" t="s">
        <v>1160</v>
      </c>
      <c r="B305" t="s">
        <v>65</v>
      </c>
    </row>
    <row r="306" spans="1:2">
      <c r="A306" t="s">
        <v>1161</v>
      </c>
      <c r="B306" t="s">
        <v>65</v>
      </c>
    </row>
    <row r="307" spans="1:2">
      <c r="A307" t="s">
        <v>1162</v>
      </c>
      <c r="B307" t="s">
        <v>1163</v>
      </c>
    </row>
    <row r="308" spans="1:2">
      <c r="A308" t="s">
        <v>1164</v>
      </c>
      <c r="B308" t="s">
        <v>1163</v>
      </c>
    </row>
    <row r="309" spans="1:2">
      <c r="A309" t="s">
        <v>1165</v>
      </c>
      <c r="B309" t="s">
        <v>1163</v>
      </c>
    </row>
    <row r="310" spans="1:2">
      <c r="A310" t="s">
        <v>1166</v>
      </c>
      <c r="B310" t="s">
        <v>1163</v>
      </c>
    </row>
    <row r="311" spans="1:2">
      <c r="A311" t="s">
        <v>1167</v>
      </c>
      <c r="B311" t="s">
        <v>1163</v>
      </c>
    </row>
    <row r="312" spans="1:2">
      <c r="A312" t="s">
        <v>1168</v>
      </c>
      <c r="B312" t="s">
        <v>1163</v>
      </c>
    </row>
    <row r="313" spans="1:2">
      <c r="A313" t="s">
        <v>1169</v>
      </c>
      <c r="B313" t="s">
        <v>1163</v>
      </c>
    </row>
    <row r="314" spans="1:2">
      <c r="A314" t="s">
        <v>1170</v>
      </c>
      <c r="B314" t="s">
        <v>1163</v>
      </c>
    </row>
    <row r="315" spans="1:2">
      <c r="A315" t="s">
        <v>1171</v>
      </c>
      <c r="B315" t="s">
        <v>1163</v>
      </c>
    </row>
    <row r="316" spans="1:2">
      <c r="A316" t="s">
        <v>1172</v>
      </c>
      <c r="B316" t="s">
        <v>1163</v>
      </c>
    </row>
    <row r="317" spans="1:2">
      <c r="A317" t="s">
        <v>1173</v>
      </c>
      <c r="B317" t="s">
        <v>1163</v>
      </c>
    </row>
    <row r="318" spans="1:2">
      <c r="A318" t="s">
        <v>1174</v>
      </c>
      <c r="B318" t="s">
        <v>1163</v>
      </c>
    </row>
    <row r="319" spans="1:2">
      <c r="A319" t="s">
        <v>1175</v>
      </c>
      <c r="B319" t="s">
        <v>1163</v>
      </c>
    </row>
    <row r="320" spans="1:2">
      <c r="A320" t="s">
        <v>1176</v>
      </c>
      <c r="B320" t="s">
        <v>1163</v>
      </c>
    </row>
    <row r="321" spans="1:2">
      <c r="A321" t="s">
        <v>1177</v>
      </c>
      <c r="B321" t="s">
        <v>1163</v>
      </c>
    </row>
    <row r="322" spans="1:2">
      <c r="A322" t="s">
        <v>1178</v>
      </c>
      <c r="B322" t="s">
        <v>1163</v>
      </c>
    </row>
    <row r="323" spans="1:2">
      <c r="A323" t="s">
        <v>1179</v>
      </c>
      <c r="B323" t="s">
        <v>1163</v>
      </c>
    </row>
    <row r="324" spans="1:2">
      <c r="A324" t="s">
        <v>1180</v>
      </c>
      <c r="B324" t="s">
        <v>1163</v>
      </c>
    </row>
    <row r="325" spans="1:2">
      <c r="A325" t="s">
        <v>1181</v>
      </c>
      <c r="B325" t="s">
        <v>1163</v>
      </c>
    </row>
    <row r="326" spans="1:2">
      <c r="A326" t="s">
        <v>1182</v>
      </c>
      <c r="B326" t="s">
        <v>1163</v>
      </c>
    </row>
    <row r="327" spans="1:2">
      <c r="A327" t="s">
        <v>1183</v>
      </c>
      <c r="B327" t="s">
        <v>1163</v>
      </c>
    </row>
    <row r="328" spans="1:2">
      <c r="A328" t="s">
        <v>1184</v>
      </c>
      <c r="B328" t="s">
        <v>1163</v>
      </c>
    </row>
    <row r="329" spans="1:2">
      <c r="A329" t="s">
        <v>1185</v>
      </c>
      <c r="B329" t="s">
        <v>1163</v>
      </c>
    </row>
    <row r="330" spans="1:2">
      <c r="A330" t="s">
        <v>1186</v>
      </c>
      <c r="B330" t="s">
        <v>1163</v>
      </c>
    </row>
    <row r="331" spans="1:2">
      <c r="A331" t="s">
        <v>1187</v>
      </c>
      <c r="B331" t="s">
        <v>1163</v>
      </c>
    </row>
    <row r="332" spans="1:2">
      <c r="A332" t="s">
        <v>1188</v>
      </c>
      <c r="B332" t="s">
        <v>1163</v>
      </c>
    </row>
    <row r="333" spans="1:2">
      <c r="A333" t="s">
        <v>1189</v>
      </c>
      <c r="B333" t="s">
        <v>1163</v>
      </c>
    </row>
    <row r="334" spans="1:2">
      <c r="A334" t="s">
        <v>1190</v>
      </c>
      <c r="B334" t="s">
        <v>1163</v>
      </c>
    </row>
  </sheetData>
  <autoFilter ref="A1:B334" xr:uid="{9E58088F-212C-4855-B851-18E8A0E73132}">
    <sortState xmlns:xlrd2="http://schemas.microsoft.com/office/spreadsheetml/2017/richdata2" ref="A2:B334">
      <sortCondition ref="A1:A334"/>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B794-2B2C-4C8A-859B-3E941B9627E6}">
  <dimension ref="A1:BP366"/>
  <sheetViews>
    <sheetView topLeftCell="A335" workbookViewId="0">
      <selection activeCell="B335" sqref="B1:B1048576"/>
    </sheetView>
  </sheetViews>
  <sheetFormatPr defaultRowHeight="15"/>
  <cols>
    <col min="1" max="1" width="20.42578125" customWidth="1"/>
  </cols>
  <sheetData>
    <row r="1" spans="1:68" ht="60">
      <c r="A1" s="492" t="s">
        <v>1363</v>
      </c>
      <c r="B1" s="492" t="s">
        <v>1230</v>
      </c>
      <c r="C1" s="492" t="s">
        <v>1231</v>
      </c>
      <c r="D1" s="492" t="s">
        <v>1232</v>
      </c>
      <c r="E1" s="492" t="s">
        <v>1233</v>
      </c>
      <c r="F1" s="492" t="s">
        <v>1234</v>
      </c>
      <c r="G1" s="492" t="s">
        <v>1235</v>
      </c>
      <c r="H1" s="492" t="s">
        <v>1236</v>
      </c>
      <c r="I1" s="492" t="s">
        <v>1237</v>
      </c>
      <c r="J1" s="492" t="s">
        <v>1238</v>
      </c>
      <c r="K1" s="492" t="s">
        <v>1239</v>
      </c>
      <c r="L1" s="492" t="s">
        <v>655</v>
      </c>
      <c r="M1" s="492" t="s">
        <v>1240</v>
      </c>
      <c r="N1" s="492" t="s">
        <v>1241</v>
      </c>
      <c r="O1" s="492" t="s">
        <v>1242</v>
      </c>
      <c r="P1" s="492" t="s">
        <v>198</v>
      </c>
      <c r="Q1" s="492" t="s">
        <v>1243</v>
      </c>
      <c r="R1" s="492" t="s">
        <v>1244</v>
      </c>
      <c r="S1" s="492" t="s">
        <v>1245</v>
      </c>
      <c r="T1" s="492" t="s">
        <v>1246</v>
      </c>
      <c r="U1" s="492" t="s">
        <v>1247</v>
      </c>
      <c r="V1" s="492" t="s">
        <v>1248</v>
      </c>
      <c r="W1" s="492" t="s">
        <v>1249</v>
      </c>
      <c r="X1" s="492" t="s">
        <v>1250</v>
      </c>
      <c r="Y1" s="492" t="s">
        <v>1251</v>
      </c>
      <c r="Z1" s="492" t="s">
        <v>1252</v>
      </c>
      <c r="AA1" s="492" t="s">
        <v>1253</v>
      </c>
      <c r="AB1" s="492" t="s">
        <v>1254</v>
      </c>
      <c r="AC1" s="492" t="s">
        <v>1255</v>
      </c>
      <c r="AD1" s="492" t="s">
        <v>1256</v>
      </c>
      <c r="AE1" s="492" t="s">
        <v>1257</v>
      </c>
      <c r="AF1" s="492" t="s">
        <v>1258</v>
      </c>
      <c r="AG1" s="492" t="s">
        <v>1259</v>
      </c>
      <c r="AH1" s="492" t="s">
        <v>1260</v>
      </c>
      <c r="AI1" s="492" t="s">
        <v>1261</v>
      </c>
      <c r="AJ1" s="492" t="s">
        <v>1262</v>
      </c>
      <c r="AK1" s="492" t="s">
        <v>1263</v>
      </c>
      <c r="AL1" s="492" t="s">
        <v>1264</v>
      </c>
      <c r="AM1" s="492" t="s">
        <v>1265</v>
      </c>
      <c r="AN1" s="492" t="s">
        <v>1266</v>
      </c>
      <c r="AO1" s="492" t="s">
        <v>1267</v>
      </c>
      <c r="AP1" s="492" t="s">
        <v>1268</v>
      </c>
      <c r="AQ1" s="492" t="s">
        <v>1269</v>
      </c>
      <c r="AR1" s="492" t="s">
        <v>1270</v>
      </c>
      <c r="AS1" s="492" t="s">
        <v>1271</v>
      </c>
      <c r="AT1" s="492" t="s">
        <v>1272</v>
      </c>
      <c r="AU1" s="492" t="s">
        <v>1273</v>
      </c>
      <c r="AV1" s="492" t="s">
        <v>1274</v>
      </c>
      <c r="AW1" s="492" t="s">
        <v>1275</v>
      </c>
      <c r="AX1" s="492" t="s">
        <v>1276</v>
      </c>
      <c r="AY1" s="492" t="s">
        <v>1277</v>
      </c>
      <c r="AZ1" s="492" t="s">
        <v>1278</v>
      </c>
      <c r="BA1" s="492" t="s">
        <v>1279</v>
      </c>
      <c r="BB1" s="492" t="s">
        <v>1280</v>
      </c>
      <c r="BC1" s="492" t="s">
        <v>1281</v>
      </c>
      <c r="BD1" s="492" t="s">
        <v>1282</v>
      </c>
      <c r="BE1" s="492" t="s">
        <v>1283</v>
      </c>
      <c r="BF1" s="492" t="s">
        <v>1284</v>
      </c>
      <c r="BG1" s="492" t="s">
        <v>1285</v>
      </c>
      <c r="BH1" s="492" t="s">
        <v>1286</v>
      </c>
      <c r="BI1" s="492" t="s">
        <v>1287</v>
      </c>
      <c r="BJ1" s="492" t="s">
        <v>1288</v>
      </c>
      <c r="BK1" s="492" t="s">
        <v>1289</v>
      </c>
      <c r="BL1" s="492" t="s">
        <v>1290</v>
      </c>
      <c r="BM1" s="492" t="s">
        <v>1291</v>
      </c>
      <c r="BN1" s="492" t="s">
        <v>1292</v>
      </c>
      <c r="BO1" s="492" t="s">
        <v>1293</v>
      </c>
      <c r="BP1" s="492" t="s">
        <v>1294</v>
      </c>
    </row>
    <row r="2" spans="1:68" ht="75">
      <c r="A2" s="492" t="s">
        <v>452</v>
      </c>
      <c r="B2" s="492">
        <v>391362</v>
      </c>
      <c r="C2" s="492">
        <v>8186979</v>
      </c>
      <c r="D2" s="492">
        <v>178</v>
      </c>
      <c r="E2" s="492">
        <v>288</v>
      </c>
      <c r="F2" s="492">
        <v>60</v>
      </c>
      <c r="G2" s="492" t="b">
        <v>0</v>
      </c>
      <c r="H2" s="492" t="b">
        <v>0</v>
      </c>
      <c r="I2" s="492">
        <v>10</v>
      </c>
      <c r="J2" s="492" t="b">
        <v>0</v>
      </c>
      <c r="K2" s="492">
        <v>90</v>
      </c>
      <c r="L2" s="492" t="s">
        <v>1295</v>
      </c>
      <c r="M2" s="492" t="s">
        <v>1296</v>
      </c>
      <c r="N2" s="492" t="s">
        <v>1</v>
      </c>
      <c r="O2" s="492">
        <v>90</v>
      </c>
      <c r="P2" s="492" t="s">
        <v>109</v>
      </c>
      <c r="Q2" s="492">
        <v>1</v>
      </c>
      <c r="R2" s="492"/>
      <c r="S2" s="492"/>
      <c r="T2" s="492"/>
      <c r="U2" s="492"/>
      <c r="V2" s="492"/>
      <c r="W2" s="492"/>
      <c r="X2" s="492"/>
      <c r="Y2" s="492">
        <v>391362</v>
      </c>
      <c r="Z2" s="492">
        <v>8186979</v>
      </c>
      <c r="AA2" s="492">
        <v>10032.8528122142</v>
      </c>
      <c r="AB2" s="492">
        <v>11998.6316399239</v>
      </c>
      <c r="AC2" s="492">
        <v>6</v>
      </c>
      <c r="AD2" s="492">
        <v>23443</v>
      </c>
      <c r="AE2" s="492" t="s">
        <v>1297</v>
      </c>
      <c r="AF2" s="492" t="s">
        <v>1298</v>
      </c>
      <c r="AG2" s="492" t="s">
        <v>1299</v>
      </c>
      <c r="AH2" s="492" t="s">
        <v>1300</v>
      </c>
      <c r="AI2" s="492">
        <v>1</v>
      </c>
      <c r="AJ2" s="492" t="s">
        <v>1301</v>
      </c>
      <c r="AK2" s="492" t="s">
        <v>1302</v>
      </c>
      <c r="AL2" s="492"/>
      <c r="AM2" s="492"/>
      <c r="AN2" s="492"/>
      <c r="AO2" s="492"/>
      <c r="AP2" s="492"/>
      <c r="AQ2" s="492"/>
      <c r="AR2" s="492"/>
      <c r="AS2" s="492"/>
      <c r="AT2" s="492"/>
      <c r="AU2" s="492"/>
      <c r="AV2" s="492"/>
      <c r="AW2" s="492"/>
      <c r="AX2" s="492"/>
      <c r="AY2" s="492"/>
      <c r="AZ2" s="492"/>
      <c r="BA2" s="492"/>
      <c r="BB2" s="493">
        <v>32303</v>
      </c>
      <c r="BC2" s="494">
        <v>0.375</v>
      </c>
      <c r="BD2" s="493">
        <v>47989</v>
      </c>
      <c r="BE2" s="494">
        <v>0.99998842592592596</v>
      </c>
      <c r="BF2" s="493">
        <v>32639</v>
      </c>
      <c r="BG2" s="494">
        <v>0</v>
      </c>
      <c r="BH2" s="492" t="s">
        <v>1303</v>
      </c>
      <c r="BI2" s="492">
        <v>597.20000000000005</v>
      </c>
      <c r="BJ2" s="492" t="s">
        <v>1304</v>
      </c>
      <c r="BK2" s="492"/>
      <c r="BL2" s="493">
        <v>45551</v>
      </c>
      <c r="BM2" s="492" t="s">
        <v>1305</v>
      </c>
      <c r="BN2" s="492" t="s">
        <v>1301</v>
      </c>
      <c r="BO2" s="492">
        <v>0.16432140619605901</v>
      </c>
      <c r="BP2" s="492">
        <v>5.0513892581900005E-4</v>
      </c>
    </row>
    <row r="3" spans="1:68" ht="75">
      <c r="A3" s="492" t="s">
        <v>679</v>
      </c>
      <c r="B3" s="492">
        <v>391339</v>
      </c>
      <c r="C3" s="492">
        <v>8186987</v>
      </c>
      <c r="D3" s="492">
        <v>182</v>
      </c>
      <c r="E3" s="492">
        <v>289</v>
      </c>
      <c r="F3" s="492">
        <v>60</v>
      </c>
      <c r="G3" s="492" t="b">
        <v>0</v>
      </c>
      <c r="H3" s="492" t="b">
        <v>0</v>
      </c>
      <c r="I3" s="492">
        <v>10</v>
      </c>
      <c r="J3" s="492" t="b">
        <v>0</v>
      </c>
      <c r="K3" s="492">
        <v>45</v>
      </c>
      <c r="L3" s="492" t="s">
        <v>1295</v>
      </c>
      <c r="M3" s="492" t="s">
        <v>1296</v>
      </c>
      <c r="N3" s="492" t="s">
        <v>2</v>
      </c>
      <c r="O3" s="492">
        <v>45</v>
      </c>
      <c r="P3" s="492" t="s">
        <v>109</v>
      </c>
      <c r="Q3" s="492">
        <v>1</v>
      </c>
      <c r="R3" s="492"/>
      <c r="S3" s="492"/>
      <c r="T3" s="492"/>
      <c r="U3" s="492"/>
      <c r="V3" s="495">
        <v>45839</v>
      </c>
      <c r="W3" s="492"/>
      <c r="X3" s="492"/>
      <c r="Y3" s="492">
        <v>391339</v>
      </c>
      <c r="Z3" s="492">
        <v>8186987</v>
      </c>
      <c r="AA3" s="492">
        <v>10008.494424525599</v>
      </c>
      <c r="AB3" s="492">
        <v>11998.7549518132</v>
      </c>
      <c r="AC3" s="492">
        <v>6</v>
      </c>
      <c r="AD3" s="492">
        <v>23443</v>
      </c>
      <c r="AE3" s="492" t="s">
        <v>1297</v>
      </c>
      <c r="AF3" s="492" t="s">
        <v>1298</v>
      </c>
      <c r="AG3" s="492" t="s">
        <v>1299</v>
      </c>
      <c r="AH3" s="492" t="s">
        <v>1300</v>
      </c>
      <c r="AI3" s="492">
        <v>1</v>
      </c>
      <c r="AJ3" s="492" t="s">
        <v>1301</v>
      </c>
      <c r="AK3" s="492" t="s">
        <v>1302</v>
      </c>
      <c r="AL3" s="492"/>
      <c r="AM3" s="492"/>
      <c r="AN3" s="492"/>
      <c r="AO3" s="492"/>
      <c r="AP3" s="492"/>
      <c r="AQ3" s="492"/>
      <c r="AR3" s="492"/>
      <c r="AS3" s="492"/>
      <c r="AT3" s="492"/>
      <c r="AU3" s="492"/>
      <c r="AV3" s="492"/>
      <c r="AW3" s="492"/>
      <c r="AX3" s="492"/>
      <c r="AY3" s="492"/>
      <c r="AZ3" s="492"/>
      <c r="BA3" s="492"/>
      <c r="BB3" s="493">
        <v>32303</v>
      </c>
      <c r="BC3" s="494">
        <v>0.375</v>
      </c>
      <c r="BD3" s="493">
        <v>47989</v>
      </c>
      <c r="BE3" s="494">
        <v>0.99998842592592596</v>
      </c>
      <c r="BF3" s="493">
        <v>32639</v>
      </c>
      <c r="BG3" s="494">
        <v>0</v>
      </c>
      <c r="BH3" s="492" t="s">
        <v>1303</v>
      </c>
      <c r="BI3" s="492">
        <v>597.20000000000005</v>
      </c>
      <c r="BJ3" s="492" t="s">
        <v>1304</v>
      </c>
      <c r="BK3" s="492"/>
      <c r="BL3" s="493">
        <v>45551</v>
      </c>
      <c r="BM3" s="492" t="s">
        <v>1305</v>
      </c>
      <c r="BN3" s="492" t="s">
        <v>1301</v>
      </c>
      <c r="BO3" s="492">
        <v>0.16432140619605901</v>
      </c>
      <c r="BP3" s="492">
        <v>5.0513892581900005E-4</v>
      </c>
    </row>
    <row r="4" spans="1:68" ht="75">
      <c r="A4" s="492" t="s">
        <v>677</v>
      </c>
      <c r="B4" s="492">
        <v>391411</v>
      </c>
      <c r="C4" s="492">
        <v>8187046</v>
      </c>
      <c r="D4" s="492">
        <v>174</v>
      </c>
      <c r="E4" s="492">
        <v>289</v>
      </c>
      <c r="F4" s="492">
        <v>60</v>
      </c>
      <c r="G4" s="492" t="b">
        <v>0</v>
      </c>
      <c r="H4" s="492" t="b">
        <v>0</v>
      </c>
      <c r="I4" s="492">
        <v>10</v>
      </c>
      <c r="J4" s="492" t="b">
        <v>0</v>
      </c>
      <c r="K4" s="492">
        <v>135</v>
      </c>
      <c r="L4" s="492" t="s">
        <v>1295</v>
      </c>
      <c r="M4" s="492" t="s">
        <v>1296</v>
      </c>
      <c r="N4" s="492" t="s">
        <v>2</v>
      </c>
      <c r="O4" s="492">
        <v>135</v>
      </c>
      <c r="P4" s="492" t="s">
        <v>109</v>
      </c>
      <c r="Q4" s="492">
        <v>1</v>
      </c>
      <c r="R4" s="492"/>
      <c r="S4" s="492"/>
      <c r="T4" s="492"/>
      <c r="U4" s="492"/>
      <c r="V4" s="495">
        <v>45838</v>
      </c>
      <c r="W4" s="492"/>
      <c r="X4" s="492"/>
      <c r="Y4" s="492">
        <v>391411</v>
      </c>
      <c r="Z4" s="492">
        <v>8187046</v>
      </c>
      <c r="AA4" s="492">
        <v>10057.531006151299</v>
      </c>
      <c r="AB4" s="492">
        <v>12077.909694005701</v>
      </c>
      <c r="AC4" s="492">
        <v>6</v>
      </c>
      <c r="AD4" s="492">
        <v>23443</v>
      </c>
      <c r="AE4" s="492" t="s">
        <v>1297</v>
      </c>
      <c r="AF4" s="492" t="s">
        <v>1298</v>
      </c>
      <c r="AG4" s="492" t="s">
        <v>1299</v>
      </c>
      <c r="AH4" s="492" t="s">
        <v>1300</v>
      </c>
      <c r="AI4" s="492">
        <v>1</v>
      </c>
      <c r="AJ4" s="492" t="s">
        <v>1301</v>
      </c>
      <c r="AK4" s="492" t="s">
        <v>1302</v>
      </c>
      <c r="AL4" s="492"/>
      <c r="AM4" s="492"/>
      <c r="AN4" s="492"/>
      <c r="AO4" s="492"/>
      <c r="AP4" s="492"/>
      <c r="AQ4" s="492"/>
      <c r="AR4" s="492"/>
      <c r="AS4" s="492"/>
      <c r="AT4" s="492"/>
      <c r="AU4" s="492"/>
      <c r="AV4" s="492"/>
      <c r="AW4" s="492"/>
      <c r="AX4" s="492"/>
      <c r="AY4" s="492"/>
      <c r="AZ4" s="492"/>
      <c r="BA4" s="492"/>
      <c r="BB4" s="493">
        <v>32303</v>
      </c>
      <c r="BC4" s="494">
        <v>0.375</v>
      </c>
      <c r="BD4" s="493">
        <v>47989</v>
      </c>
      <c r="BE4" s="494">
        <v>0.99998842592592596</v>
      </c>
      <c r="BF4" s="493">
        <v>32639</v>
      </c>
      <c r="BG4" s="494">
        <v>0</v>
      </c>
      <c r="BH4" s="492" t="s">
        <v>1303</v>
      </c>
      <c r="BI4" s="492">
        <v>597.20000000000005</v>
      </c>
      <c r="BJ4" s="492" t="s">
        <v>1304</v>
      </c>
      <c r="BK4" s="492"/>
      <c r="BL4" s="493">
        <v>45551</v>
      </c>
      <c r="BM4" s="492" t="s">
        <v>1305</v>
      </c>
      <c r="BN4" s="492" t="s">
        <v>1301</v>
      </c>
      <c r="BO4" s="492">
        <v>0.16432140619605901</v>
      </c>
      <c r="BP4" s="492">
        <v>5.0513892581900005E-4</v>
      </c>
    </row>
    <row r="5" spans="1:68" ht="75">
      <c r="A5" s="492" t="s">
        <v>676</v>
      </c>
      <c r="B5" s="492">
        <v>391388</v>
      </c>
      <c r="C5" s="492">
        <v>8187054</v>
      </c>
      <c r="D5" s="492">
        <v>176</v>
      </c>
      <c r="E5" s="492">
        <v>289</v>
      </c>
      <c r="F5" s="492">
        <v>60</v>
      </c>
      <c r="G5" s="492" t="b">
        <v>0</v>
      </c>
      <c r="H5" s="492" t="b">
        <v>0</v>
      </c>
      <c r="I5" s="492">
        <v>10</v>
      </c>
      <c r="J5" s="492" t="b">
        <v>0</v>
      </c>
      <c r="K5" s="492">
        <v>90</v>
      </c>
      <c r="L5" s="492" t="s">
        <v>1295</v>
      </c>
      <c r="M5" s="492" t="s">
        <v>1296</v>
      </c>
      <c r="N5" s="492" t="s">
        <v>2</v>
      </c>
      <c r="O5" s="492">
        <v>90</v>
      </c>
      <c r="P5" s="492" t="s">
        <v>109</v>
      </c>
      <c r="Q5" s="492">
        <v>1</v>
      </c>
      <c r="R5" s="492"/>
      <c r="S5" s="492"/>
      <c r="T5" s="492"/>
      <c r="U5" s="492"/>
      <c r="V5" s="495">
        <v>45838</v>
      </c>
      <c r="W5" s="492"/>
      <c r="X5" s="492"/>
      <c r="Y5" s="492">
        <v>391388</v>
      </c>
      <c r="Z5" s="492">
        <v>8187054</v>
      </c>
      <c r="AA5" s="492">
        <v>10033.1726184627</v>
      </c>
      <c r="AB5" s="492">
        <v>12078.0330058932</v>
      </c>
      <c r="AC5" s="492">
        <v>6</v>
      </c>
      <c r="AD5" s="492">
        <v>23443</v>
      </c>
      <c r="AE5" s="492" t="s">
        <v>1297</v>
      </c>
      <c r="AF5" s="492" t="s">
        <v>1298</v>
      </c>
      <c r="AG5" s="492" t="s">
        <v>1299</v>
      </c>
      <c r="AH5" s="492" t="s">
        <v>1300</v>
      </c>
      <c r="AI5" s="492">
        <v>1</v>
      </c>
      <c r="AJ5" s="492" t="s">
        <v>1301</v>
      </c>
      <c r="AK5" s="492" t="s">
        <v>1302</v>
      </c>
      <c r="AL5" s="492"/>
      <c r="AM5" s="492"/>
      <c r="AN5" s="492"/>
      <c r="AO5" s="492"/>
      <c r="AP5" s="492"/>
      <c r="AQ5" s="492"/>
      <c r="AR5" s="492"/>
      <c r="AS5" s="492"/>
      <c r="AT5" s="492"/>
      <c r="AU5" s="492"/>
      <c r="AV5" s="492"/>
      <c r="AW5" s="492"/>
      <c r="AX5" s="492"/>
      <c r="AY5" s="492"/>
      <c r="AZ5" s="492"/>
      <c r="BA5" s="492"/>
      <c r="BB5" s="493">
        <v>32303</v>
      </c>
      <c r="BC5" s="494">
        <v>0.375</v>
      </c>
      <c r="BD5" s="493">
        <v>47989</v>
      </c>
      <c r="BE5" s="494">
        <v>0.99998842592592596</v>
      </c>
      <c r="BF5" s="493">
        <v>32639</v>
      </c>
      <c r="BG5" s="494">
        <v>0</v>
      </c>
      <c r="BH5" s="492" t="s">
        <v>1303</v>
      </c>
      <c r="BI5" s="492">
        <v>597.20000000000005</v>
      </c>
      <c r="BJ5" s="492" t="s">
        <v>1304</v>
      </c>
      <c r="BK5" s="492"/>
      <c r="BL5" s="493">
        <v>45551</v>
      </c>
      <c r="BM5" s="492" t="s">
        <v>1305</v>
      </c>
      <c r="BN5" s="492" t="s">
        <v>1301</v>
      </c>
      <c r="BO5" s="492">
        <v>0.16432140619605901</v>
      </c>
      <c r="BP5" s="492">
        <v>5.0513892581900005E-4</v>
      </c>
    </row>
    <row r="6" spans="1:68" ht="75">
      <c r="A6" s="492" t="s">
        <v>675</v>
      </c>
      <c r="B6" s="492">
        <v>391365</v>
      </c>
      <c r="C6" s="492">
        <v>8187062</v>
      </c>
      <c r="D6" s="492">
        <v>176</v>
      </c>
      <c r="E6" s="492">
        <v>289</v>
      </c>
      <c r="F6" s="492">
        <v>60</v>
      </c>
      <c r="G6" s="492" t="b">
        <v>0</v>
      </c>
      <c r="H6" s="492" t="b">
        <v>0</v>
      </c>
      <c r="I6" s="492">
        <v>10</v>
      </c>
      <c r="J6" s="492" t="b">
        <v>0</v>
      </c>
      <c r="K6" s="492">
        <v>45</v>
      </c>
      <c r="L6" s="492" t="s">
        <v>1295</v>
      </c>
      <c r="M6" s="492" t="s">
        <v>1296</v>
      </c>
      <c r="N6" s="492" t="s">
        <v>2</v>
      </c>
      <c r="O6" s="492">
        <v>45</v>
      </c>
      <c r="P6" s="492" t="s">
        <v>109</v>
      </c>
      <c r="Q6" s="492">
        <v>1</v>
      </c>
      <c r="R6" s="492"/>
      <c r="S6" s="492"/>
      <c r="T6" s="492"/>
      <c r="U6" s="492"/>
      <c r="V6" s="492"/>
      <c r="W6" s="492"/>
      <c r="X6" s="492"/>
      <c r="Y6" s="492">
        <v>391365</v>
      </c>
      <c r="Z6" s="492">
        <v>8187062</v>
      </c>
      <c r="AA6" s="492">
        <v>10008.814230775901</v>
      </c>
      <c r="AB6" s="492">
        <v>12078.156317781601</v>
      </c>
      <c r="AC6" s="492">
        <v>6</v>
      </c>
      <c r="AD6" s="492">
        <v>23443</v>
      </c>
      <c r="AE6" s="492" t="s">
        <v>1297</v>
      </c>
      <c r="AF6" s="492" t="s">
        <v>1298</v>
      </c>
      <c r="AG6" s="492" t="s">
        <v>1299</v>
      </c>
      <c r="AH6" s="492" t="s">
        <v>1300</v>
      </c>
      <c r="AI6" s="492">
        <v>1</v>
      </c>
      <c r="AJ6" s="492" t="s">
        <v>1301</v>
      </c>
      <c r="AK6" s="492" t="s">
        <v>1302</v>
      </c>
      <c r="AL6" s="492"/>
      <c r="AM6" s="492"/>
      <c r="AN6" s="492"/>
      <c r="AO6" s="492"/>
      <c r="AP6" s="492"/>
      <c r="AQ6" s="492"/>
      <c r="AR6" s="492"/>
      <c r="AS6" s="492"/>
      <c r="AT6" s="492"/>
      <c r="AU6" s="492"/>
      <c r="AV6" s="492"/>
      <c r="AW6" s="492"/>
      <c r="AX6" s="492"/>
      <c r="AY6" s="492"/>
      <c r="AZ6" s="492"/>
      <c r="BA6" s="492"/>
      <c r="BB6" s="493">
        <v>32303</v>
      </c>
      <c r="BC6" s="494">
        <v>0.375</v>
      </c>
      <c r="BD6" s="493">
        <v>47989</v>
      </c>
      <c r="BE6" s="494">
        <v>0.99998842592592596</v>
      </c>
      <c r="BF6" s="493">
        <v>32639</v>
      </c>
      <c r="BG6" s="494">
        <v>0</v>
      </c>
      <c r="BH6" s="492" t="s">
        <v>1303</v>
      </c>
      <c r="BI6" s="492">
        <v>597.20000000000005</v>
      </c>
      <c r="BJ6" s="492" t="s">
        <v>1304</v>
      </c>
      <c r="BK6" s="492"/>
      <c r="BL6" s="493">
        <v>45551</v>
      </c>
      <c r="BM6" s="492" t="s">
        <v>1305</v>
      </c>
      <c r="BN6" s="492" t="s">
        <v>1301</v>
      </c>
      <c r="BO6" s="492">
        <v>0.16432140619605901</v>
      </c>
      <c r="BP6" s="492">
        <v>5.0513892581900005E-4</v>
      </c>
    </row>
    <row r="7" spans="1:68" ht="75">
      <c r="A7" s="492" t="s">
        <v>673</v>
      </c>
      <c r="B7" s="492">
        <v>391439</v>
      </c>
      <c r="C7" s="492">
        <v>8187121</v>
      </c>
      <c r="D7" s="492">
        <v>172</v>
      </c>
      <c r="E7" s="492">
        <v>289</v>
      </c>
      <c r="F7" s="492">
        <v>60</v>
      </c>
      <c r="G7" s="492" t="b">
        <v>0</v>
      </c>
      <c r="H7" s="492" t="b">
        <v>0</v>
      </c>
      <c r="I7" s="492">
        <v>10</v>
      </c>
      <c r="J7" s="492" t="b">
        <v>0</v>
      </c>
      <c r="K7" s="492">
        <v>135</v>
      </c>
      <c r="L7" s="492" t="s">
        <v>1295</v>
      </c>
      <c r="M7" s="492" t="s">
        <v>1296</v>
      </c>
      <c r="N7" s="492" t="s">
        <v>2</v>
      </c>
      <c r="O7" s="492">
        <v>135</v>
      </c>
      <c r="P7" s="492" t="s">
        <v>109</v>
      </c>
      <c r="Q7" s="492">
        <v>1</v>
      </c>
      <c r="R7" s="492"/>
      <c r="S7" s="492"/>
      <c r="T7" s="492"/>
      <c r="U7" s="492"/>
      <c r="V7" s="492"/>
      <c r="W7" s="492"/>
      <c r="X7" s="492"/>
      <c r="Y7" s="492">
        <v>391439</v>
      </c>
      <c r="Z7" s="492">
        <v>8187121</v>
      </c>
      <c r="AA7" s="492">
        <v>10059.743660334399</v>
      </c>
      <c r="AB7" s="492">
        <v>12157.9587190905</v>
      </c>
      <c r="AC7" s="492">
        <v>6</v>
      </c>
      <c r="AD7" s="492">
        <v>23443</v>
      </c>
      <c r="AE7" s="492" t="s">
        <v>1297</v>
      </c>
      <c r="AF7" s="492" t="s">
        <v>1298</v>
      </c>
      <c r="AG7" s="492" t="s">
        <v>1299</v>
      </c>
      <c r="AH7" s="492" t="s">
        <v>1300</v>
      </c>
      <c r="AI7" s="492">
        <v>1</v>
      </c>
      <c r="AJ7" s="492" t="s">
        <v>1301</v>
      </c>
      <c r="AK7" s="492" t="s">
        <v>1302</v>
      </c>
      <c r="AL7" s="492"/>
      <c r="AM7" s="492"/>
      <c r="AN7" s="492"/>
      <c r="AO7" s="492"/>
      <c r="AP7" s="492"/>
      <c r="AQ7" s="492"/>
      <c r="AR7" s="492"/>
      <c r="AS7" s="492"/>
      <c r="AT7" s="492"/>
      <c r="AU7" s="492"/>
      <c r="AV7" s="492"/>
      <c r="AW7" s="492"/>
      <c r="AX7" s="492"/>
      <c r="AY7" s="492"/>
      <c r="AZ7" s="492"/>
      <c r="BA7" s="492"/>
      <c r="BB7" s="493">
        <v>32303</v>
      </c>
      <c r="BC7" s="494">
        <v>0.375</v>
      </c>
      <c r="BD7" s="493">
        <v>47989</v>
      </c>
      <c r="BE7" s="494">
        <v>0.99998842592592596</v>
      </c>
      <c r="BF7" s="493">
        <v>32639</v>
      </c>
      <c r="BG7" s="494">
        <v>0</v>
      </c>
      <c r="BH7" s="492" t="s">
        <v>1303</v>
      </c>
      <c r="BI7" s="492">
        <v>597.20000000000005</v>
      </c>
      <c r="BJ7" s="492" t="s">
        <v>1304</v>
      </c>
      <c r="BK7" s="492"/>
      <c r="BL7" s="493">
        <v>45551</v>
      </c>
      <c r="BM7" s="492" t="s">
        <v>1305</v>
      </c>
      <c r="BN7" s="492" t="s">
        <v>1301</v>
      </c>
      <c r="BO7" s="492">
        <v>0.16432140619605901</v>
      </c>
      <c r="BP7" s="492">
        <v>5.0513892581900005E-4</v>
      </c>
    </row>
    <row r="8" spans="1:68" ht="75">
      <c r="A8" s="492" t="s">
        <v>672</v>
      </c>
      <c r="B8" s="492">
        <v>391416</v>
      </c>
      <c r="C8" s="492">
        <v>8187129</v>
      </c>
      <c r="D8" s="492">
        <v>173</v>
      </c>
      <c r="E8" s="492">
        <v>289</v>
      </c>
      <c r="F8" s="492">
        <v>60</v>
      </c>
      <c r="G8" s="492" t="b">
        <v>0</v>
      </c>
      <c r="H8" s="492" t="b">
        <v>0</v>
      </c>
      <c r="I8" s="492">
        <v>10</v>
      </c>
      <c r="J8" s="492" t="b">
        <v>0</v>
      </c>
      <c r="K8" s="492">
        <v>90</v>
      </c>
      <c r="L8" s="492" t="s">
        <v>1295</v>
      </c>
      <c r="M8" s="492" t="s">
        <v>1296</v>
      </c>
      <c r="N8" s="492" t="s">
        <v>2</v>
      </c>
      <c r="O8" s="492">
        <v>90</v>
      </c>
      <c r="P8" s="492" t="s">
        <v>109</v>
      </c>
      <c r="Q8" s="492">
        <v>1</v>
      </c>
      <c r="R8" s="492"/>
      <c r="S8" s="492"/>
      <c r="T8" s="492"/>
      <c r="U8" s="492"/>
      <c r="V8" s="492"/>
      <c r="W8" s="492"/>
      <c r="X8" s="492"/>
      <c r="Y8" s="492">
        <v>391416</v>
      </c>
      <c r="Z8" s="492">
        <v>8187129</v>
      </c>
      <c r="AA8" s="492">
        <v>10035.3852726477</v>
      </c>
      <c r="AB8" s="492">
        <v>12158.0820309789</v>
      </c>
      <c r="AC8" s="492">
        <v>6</v>
      </c>
      <c r="AD8" s="492">
        <v>23443</v>
      </c>
      <c r="AE8" s="492" t="s">
        <v>1297</v>
      </c>
      <c r="AF8" s="492" t="s">
        <v>1298</v>
      </c>
      <c r="AG8" s="492" t="s">
        <v>1299</v>
      </c>
      <c r="AH8" s="492" t="s">
        <v>1300</v>
      </c>
      <c r="AI8" s="492">
        <v>1</v>
      </c>
      <c r="AJ8" s="492" t="s">
        <v>1301</v>
      </c>
      <c r="AK8" s="492" t="s">
        <v>1302</v>
      </c>
      <c r="AL8" s="492"/>
      <c r="AM8" s="492"/>
      <c r="AN8" s="492"/>
      <c r="AO8" s="492"/>
      <c r="AP8" s="492"/>
      <c r="AQ8" s="492"/>
      <c r="AR8" s="492"/>
      <c r="AS8" s="492"/>
      <c r="AT8" s="492"/>
      <c r="AU8" s="492"/>
      <c r="AV8" s="492"/>
      <c r="AW8" s="492"/>
      <c r="AX8" s="492"/>
      <c r="AY8" s="492"/>
      <c r="AZ8" s="492"/>
      <c r="BA8" s="492"/>
      <c r="BB8" s="493">
        <v>32303</v>
      </c>
      <c r="BC8" s="494">
        <v>0.375</v>
      </c>
      <c r="BD8" s="493">
        <v>47989</v>
      </c>
      <c r="BE8" s="494">
        <v>0.99998842592592596</v>
      </c>
      <c r="BF8" s="493">
        <v>32639</v>
      </c>
      <c r="BG8" s="494">
        <v>0</v>
      </c>
      <c r="BH8" s="492" t="s">
        <v>1303</v>
      </c>
      <c r="BI8" s="492">
        <v>597.20000000000005</v>
      </c>
      <c r="BJ8" s="492" t="s">
        <v>1304</v>
      </c>
      <c r="BK8" s="492"/>
      <c r="BL8" s="493">
        <v>45551</v>
      </c>
      <c r="BM8" s="492" t="s">
        <v>1305</v>
      </c>
      <c r="BN8" s="492" t="s">
        <v>1301</v>
      </c>
      <c r="BO8" s="492">
        <v>0.16432140619605901</v>
      </c>
      <c r="BP8" s="492">
        <v>5.0513892581900005E-4</v>
      </c>
    </row>
    <row r="9" spans="1:68" ht="75">
      <c r="A9" s="492" t="s">
        <v>671</v>
      </c>
      <c r="B9" s="492">
        <v>391394</v>
      </c>
      <c r="C9" s="492">
        <v>8187137</v>
      </c>
      <c r="D9" s="492">
        <v>173</v>
      </c>
      <c r="E9" s="492">
        <v>289</v>
      </c>
      <c r="F9" s="492">
        <v>60</v>
      </c>
      <c r="G9" s="492" t="b">
        <v>0</v>
      </c>
      <c r="H9" s="492" t="b">
        <v>0</v>
      </c>
      <c r="I9" s="492">
        <v>10</v>
      </c>
      <c r="J9" s="492" t="b">
        <v>0</v>
      </c>
      <c r="K9" s="492">
        <v>45</v>
      </c>
      <c r="L9" s="492" t="s">
        <v>1295</v>
      </c>
      <c r="M9" s="492" t="s">
        <v>1296</v>
      </c>
      <c r="N9" s="492" t="s">
        <v>2</v>
      </c>
      <c r="O9" s="492">
        <v>45</v>
      </c>
      <c r="P9" s="492" t="s">
        <v>109</v>
      </c>
      <c r="Q9" s="492">
        <v>1</v>
      </c>
      <c r="R9" s="492"/>
      <c r="S9" s="492"/>
      <c r="T9" s="492"/>
      <c r="U9" s="492"/>
      <c r="V9" s="492"/>
      <c r="W9" s="492"/>
      <c r="X9" s="492"/>
      <c r="Y9" s="492">
        <v>391394</v>
      </c>
      <c r="Z9" s="492">
        <v>8187137</v>
      </c>
      <c r="AA9" s="492">
        <v>10011.9733089283</v>
      </c>
      <c r="AB9" s="492">
        <v>12158.529172426001</v>
      </c>
      <c r="AC9" s="492">
        <v>6</v>
      </c>
      <c r="AD9" s="492">
        <v>23443</v>
      </c>
      <c r="AE9" s="492" t="s">
        <v>1297</v>
      </c>
      <c r="AF9" s="492" t="s">
        <v>1298</v>
      </c>
      <c r="AG9" s="492" t="s">
        <v>1299</v>
      </c>
      <c r="AH9" s="492" t="s">
        <v>1300</v>
      </c>
      <c r="AI9" s="492">
        <v>1</v>
      </c>
      <c r="AJ9" s="492" t="s">
        <v>1301</v>
      </c>
      <c r="AK9" s="492" t="s">
        <v>1302</v>
      </c>
      <c r="AL9" s="492"/>
      <c r="AM9" s="492"/>
      <c r="AN9" s="492"/>
      <c r="AO9" s="492"/>
      <c r="AP9" s="492"/>
      <c r="AQ9" s="492"/>
      <c r="AR9" s="492"/>
      <c r="AS9" s="492"/>
      <c r="AT9" s="492"/>
      <c r="AU9" s="492"/>
      <c r="AV9" s="492"/>
      <c r="AW9" s="492"/>
      <c r="AX9" s="492"/>
      <c r="AY9" s="492"/>
      <c r="AZ9" s="492"/>
      <c r="BA9" s="492"/>
      <c r="BB9" s="493">
        <v>32303</v>
      </c>
      <c r="BC9" s="494">
        <v>0.375</v>
      </c>
      <c r="BD9" s="493">
        <v>47989</v>
      </c>
      <c r="BE9" s="494">
        <v>0.99998842592592596</v>
      </c>
      <c r="BF9" s="493">
        <v>32639</v>
      </c>
      <c r="BG9" s="494">
        <v>0</v>
      </c>
      <c r="BH9" s="492" t="s">
        <v>1303</v>
      </c>
      <c r="BI9" s="492">
        <v>597.20000000000005</v>
      </c>
      <c r="BJ9" s="492" t="s">
        <v>1304</v>
      </c>
      <c r="BK9" s="492"/>
      <c r="BL9" s="493">
        <v>45551</v>
      </c>
      <c r="BM9" s="492" t="s">
        <v>1305</v>
      </c>
      <c r="BN9" s="492" t="s">
        <v>1301</v>
      </c>
      <c r="BO9" s="492">
        <v>0.16432140619605901</v>
      </c>
      <c r="BP9" s="492">
        <v>5.0513892581900005E-4</v>
      </c>
    </row>
    <row r="10" spans="1:68" ht="75">
      <c r="A10" s="492" t="s">
        <v>701</v>
      </c>
      <c r="B10" s="492">
        <v>391804</v>
      </c>
      <c r="C10" s="492">
        <v>8188011</v>
      </c>
      <c r="D10" s="492">
        <v>180</v>
      </c>
      <c r="E10" s="492">
        <v>109</v>
      </c>
      <c r="F10" s="492">
        <v>60</v>
      </c>
      <c r="G10" s="492" t="b">
        <v>0</v>
      </c>
      <c r="H10" s="492" t="b">
        <v>0</v>
      </c>
      <c r="I10" s="492">
        <v>10</v>
      </c>
      <c r="J10" s="492" t="b">
        <v>0</v>
      </c>
      <c r="K10" s="492">
        <v>135</v>
      </c>
      <c r="L10" s="492" t="s">
        <v>1295</v>
      </c>
      <c r="M10" s="492" t="s">
        <v>1296</v>
      </c>
      <c r="N10" s="492" t="s">
        <v>2</v>
      </c>
      <c r="O10" s="492">
        <v>135</v>
      </c>
      <c r="P10" s="492" t="s">
        <v>109</v>
      </c>
      <c r="Q10" s="492">
        <v>3</v>
      </c>
      <c r="R10" s="492" t="b">
        <v>1</v>
      </c>
      <c r="S10" s="492" t="b">
        <v>1</v>
      </c>
      <c r="T10" s="492"/>
      <c r="U10" s="492"/>
      <c r="V10" s="492"/>
      <c r="W10" s="492"/>
      <c r="X10" s="492"/>
      <c r="Y10" s="492">
        <v>391741.23952558998</v>
      </c>
      <c r="Z10" s="492">
        <v>8188034.3456837097</v>
      </c>
      <c r="AA10" s="492">
        <v>10050.022061604501</v>
      </c>
      <c r="AB10" s="492">
        <v>13120.2450555097</v>
      </c>
      <c r="AC10" s="492">
        <v>6</v>
      </c>
      <c r="AD10" s="492">
        <v>23443</v>
      </c>
      <c r="AE10" s="492" t="s">
        <v>1297</v>
      </c>
      <c r="AF10" s="492" t="s">
        <v>1298</v>
      </c>
      <c r="AG10" s="492" t="s">
        <v>1299</v>
      </c>
      <c r="AH10" s="492" t="s">
        <v>1300</v>
      </c>
      <c r="AI10" s="492">
        <v>1</v>
      </c>
      <c r="AJ10" s="492" t="s">
        <v>1301</v>
      </c>
      <c r="AK10" s="492" t="s">
        <v>1302</v>
      </c>
      <c r="AL10" s="492"/>
      <c r="AM10" s="492"/>
      <c r="AN10" s="492"/>
      <c r="AO10" s="492"/>
      <c r="AP10" s="492"/>
      <c r="AQ10" s="492"/>
      <c r="AR10" s="492"/>
      <c r="AS10" s="492"/>
      <c r="AT10" s="492"/>
      <c r="AU10" s="492"/>
      <c r="AV10" s="492"/>
      <c r="AW10" s="492"/>
      <c r="AX10" s="492"/>
      <c r="AY10" s="492"/>
      <c r="AZ10" s="492"/>
      <c r="BA10" s="492"/>
      <c r="BB10" s="493">
        <v>32303</v>
      </c>
      <c r="BC10" s="494">
        <v>0.375</v>
      </c>
      <c r="BD10" s="493">
        <v>47989</v>
      </c>
      <c r="BE10" s="494">
        <v>0.99998842592592596</v>
      </c>
      <c r="BF10" s="493">
        <v>32639</v>
      </c>
      <c r="BG10" s="494">
        <v>0</v>
      </c>
      <c r="BH10" s="492" t="s">
        <v>1303</v>
      </c>
      <c r="BI10" s="492">
        <v>597.20000000000005</v>
      </c>
      <c r="BJ10" s="492" t="s">
        <v>1304</v>
      </c>
      <c r="BK10" s="492"/>
      <c r="BL10" s="493">
        <v>45551</v>
      </c>
      <c r="BM10" s="492" t="s">
        <v>1305</v>
      </c>
      <c r="BN10" s="492" t="s">
        <v>1301</v>
      </c>
      <c r="BO10" s="492">
        <v>0.16432140619605901</v>
      </c>
      <c r="BP10" s="492">
        <v>5.0513892581900005E-4</v>
      </c>
    </row>
    <row r="11" spans="1:68" ht="75">
      <c r="A11" s="492" t="s">
        <v>697</v>
      </c>
      <c r="B11" s="492">
        <v>391896</v>
      </c>
      <c r="C11" s="492">
        <v>8188064</v>
      </c>
      <c r="D11" s="492">
        <v>180</v>
      </c>
      <c r="E11" s="492">
        <v>109</v>
      </c>
      <c r="F11" s="492">
        <v>60</v>
      </c>
      <c r="G11" s="492" t="b">
        <v>0</v>
      </c>
      <c r="H11" s="492" t="b">
        <v>0</v>
      </c>
      <c r="I11" s="492">
        <v>10</v>
      </c>
      <c r="J11" s="492" t="b">
        <v>0</v>
      </c>
      <c r="K11" s="492">
        <v>45</v>
      </c>
      <c r="L11" s="492" t="s">
        <v>1295</v>
      </c>
      <c r="M11" s="492" t="s">
        <v>1296</v>
      </c>
      <c r="N11" s="492" t="s">
        <v>2</v>
      </c>
      <c r="O11" s="492">
        <v>45</v>
      </c>
      <c r="P11" s="492" t="s">
        <v>109</v>
      </c>
      <c r="Q11" s="492">
        <v>3</v>
      </c>
      <c r="R11" s="492" t="b">
        <v>1</v>
      </c>
      <c r="S11" s="492" t="b">
        <v>1</v>
      </c>
      <c r="T11" s="492"/>
      <c r="U11" s="492"/>
      <c r="V11" s="492"/>
      <c r="W11" s="492"/>
      <c r="X11" s="492"/>
      <c r="Y11" s="492">
        <v>391825.05337675399</v>
      </c>
      <c r="Z11" s="492">
        <v>8188089.7712092903</v>
      </c>
      <c r="AA11" s="492">
        <v>10111.3970755767</v>
      </c>
      <c r="AB11" s="492">
        <v>13199.8425036473</v>
      </c>
      <c r="AC11" s="492">
        <v>6</v>
      </c>
      <c r="AD11" s="492">
        <v>23443</v>
      </c>
      <c r="AE11" s="492" t="s">
        <v>1297</v>
      </c>
      <c r="AF11" s="492" t="s">
        <v>1298</v>
      </c>
      <c r="AG11" s="492" t="s">
        <v>1299</v>
      </c>
      <c r="AH11" s="492" t="s">
        <v>1300</v>
      </c>
      <c r="AI11" s="492">
        <v>1</v>
      </c>
      <c r="AJ11" s="492" t="s">
        <v>1301</v>
      </c>
      <c r="AK11" s="492" t="s">
        <v>1302</v>
      </c>
      <c r="AL11" s="492"/>
      <c r="AM11" s="492"/>
      <c r="AN11" s="492"/>
      <c r="AO11" s="492"/>
      <c r="AP11" s="492"/>
      <c r="AQ11" s="492"/>
      <c r="AR11" s="492"/>
      <c r="AS11" s="492"/>
      <c r="AT11" s="492"/>
      <c r="AU11" s="492"/>
      <c r="AV11" s="492"/>
      <c r="AW11" s="492"/>
      <c r="AX11" s="492"/>
      <c r="AY11" s="492"/>
      <c r="AZ11" s="492"/>
      <c r="BA11" s="492"/>
      <c r="BB11" s="493">
        <v>32303</v>
      </c>
      <c r="BC11" s="494">
        <v>0.375</v>
      </c>
      <c r="BD11" s="493">
        <v>47989</v>
      </c>
      <c r="BE11" s="494">
        <v>0.99998842592592596</v>
      </c>
      <c r="BF11" s="493">
        <v>32639</v>
      </c>
      <c r="BG11" s="494">
        <v>0</v>
      </c>
      <c r="BH11" s="492" t="s">
        <v>1303</v>
      </c>
      <c r="BI11" s="492">
        <v>597.20000000000005</v>
      </c>
      <c r="BJ11" s="492" t="s">
        <v>1304</v>
      </c>
      <c r="BK11" s="492"/>
      <c r="BL11" s="493">
        <v>45551</v>
      </c>
      <c r="BM11" s="492" t="s">
        <v>1305</v>
      </c>
      <c r="BN11" s="492" t="s">
        <v>1301</v>
      </c>
      <c r="BO11" s="492">
        <v>0.16432140619605901</v>
      </c>
      <c r="BP11" s="492">
        <v>5.0513892581900005E-4</v>
      </c>
    </row>
    <row r="12" spans="1:68" ht="75">
      <c r="A12" s="492" t="s">
        <v>188</v>
      </c>
      <c r="B12" s="492">
        <v>391873</v>
      </c>
      <c r="C12" s="492">
        <v>8188072</v>
      </c>
      <c r="D12" s="492">
        <v>179</v>
      </c>
      <c r="E12" s="492">
        <v>109</v>
      </c>
      <c r="F12" s="492">
        <v>60</v>
      </c>
      <c r="G12" s="492" t="b">
        <v>0</v>
      </c>
      <c r="H12" s="492" t="b">
        <v>0</v>
      </c>
      <c r="I12" s="492">
        <v>10</v>
      </c>
      <c r="J12" s="492" t="b">
        <v>0</v>
      </c>
      <c r="K12" s="492">
        <v>90</v>
      </c>
      <c r="L12" s="492" t="s">
        <v>1295</v>
      </c>
      <c r="M12" s="492" t="s">
        <v>1296</v>
      </c>
      <c r="N12" s="492" t="s">
        <v>1</v>
      </c>
      <c r="O12" s="492">
        <v>90</v>
      </c>
      <c r="P12" s="492" t="s">
        <v>109</v>
      </c>
      <c r="Q12" s="492">
        <v>3</v>
      </c>
      <c r="R12" s="492" t="b">
        <v>1</v>
      </c>
      <c r="S12" s="492" t="b">
        <v>1</v>
      </c>
      <c r="T12" s="492"/>
      <c r="U12" s="492"/>
      <c r="V12" s="492"/>
      <c r="W12" s="492"/>
      <c r="X12" s="492"/>
      <c r="Y12" s="492">
        <v>391803.26613954402</v>
      </c>
      <c r="Z12" s="492">
        <v>8188097.4680185998</v>
      </c>
      <c r="AA12" s="492">
        <v>10088.284657770701</v>
      </c>
      <c r="AB12" s="492">
        <v>13200.0715970322</v>
      </c>
      <c r="AC12" s="492">
        <v>6</v>
      </c>
      <c r="AD12" s="492">
        <v>23443</v>
      </c>
      <c r="AE12" s="492" t="s">
        <v>1297</v>
      </c>
      <c r="AF12" s="492" t="s">
        <v>1298</v>
      </c>
      <c r="AG12" s="492" t="s">
        <v>1299</v>
      </c>
      <c r="AH12" s="492" t="s">
        <v>1300</v>
      </c>
      <c r="AI12" s="492">
        <v>1</v>
      </c>
      <c r="AJ12" s="492" t="s">
        <v>1301</v>
      </c>
      <c r="AK12" s="492" t="s">
        <v>1302</v>
      </c>
      <c r="AL12" s="492"/>
      <c r="AM12" s="492"/>
      <c r="AN12" s="492"/>
      <c r="AO12" s="492"/>
      <c r="AP12" s="492"/>
      <c r="AQ12" s="492"/>
      <c r="AR12" s="492"/>
      <c r="AS12" s="492"/>
      <c r="AT12" s="492"/>
      <c r="AU12" s="492"/>
      <c r="AV12" s="492"/>
      <c r="AW12" s="492"/>
      <c r="AX12" s="492"/>
      <c r="AY12" s="492"/>
      <c r="AZ12" s="492"/>
      <c r="BA12" s="492"/>
      <c r="BB12" s="493">
        <v>32303</v>
      </c>
      <c r="BC12" s="494">
        <v>0.375</v>
      </c>
      <c r="BD12" s="493">
        <v>47989</v>
      </c>
      <c r="BE12" s="494">
        <v>0.99998842592592596</v>
      </c>
      <c r="BF12" s="493">
        <v>32639</v>
      </c>
      <c r="BG12" s="494">
        <v>0</v>
      </c>
      <c r="BH12" s="492" t="s">
        <v>1303</v>
      </c>
      <c r="BI12" s="492">
        <v>597.20000000000005</v>
      </c>
      <c r="BJ12" s="492" t="s">
        <v>1304</v>
      </c>
      <c r="BK12" s="492"/>
      <c r="BL12" s="493">
        <v>45551</v>
      </c>
      <c r="BM12" s="492" t="s">
        <v>1305</v>
      </c>
      <c r="BN12" s="492" t="s">
        <v>1301</v>
      </c>
      <c r="BO12" s="492">
        <v>0.16432140619605901</v>
      </c>
      <c r="BP12" s="492">
        <v>5.0513892581900005E-4</v>
      </c>
    </row>
    <row r="13" spans="1:68" ht="75">
      <c r="A13" s="492" t="s">
        <v>698</v>
      </c>
      <c r="B13" s="492">
        <v>391850</v>
      </c>
      <c r="C13" s="492">
        <v>8188080</v>
      </c>
      <c r="D13" s="492">
        <v>179</v>
      </c>
      <c r="E13" s="492">
        <v>109</v>
      </c>
      <c r="F13" s="492">
        <v>60</v>
      </c>
      <c r="G13" s="492" t="b">
        <v>0</v>
      </c>
      <c r="H13" s="492" t="b">
        <v>0</v>
      </c>
      <c r="I13" s="492">
        <v>10</v>
      </c>
      <c r="J13" s="492" t="b">
        <v>0</v>
      </c>
      <c r="K13" s="492">
        <v>140</v>
      </c>
      <c r="L13" s="492" t="s">
        <v>1295</v>
      </c>
      <c r="M13" s="492" t="s">
        <v>1296</v>
      </c>
      <c r="N13" s="492" t="s">
        <v>2</v>
      </c>
      <c r="O13" s="492">
        <v>140</v>
      </c>
      <c r="P13" s="492" t="s">
        <v>109</v>
      </c>
      <c r="Q13" s="492">
        <v>3</v>
      </c>
      <c r="R13" s="492" t="b">
        <v>1</v>
      </c>
      <c r="S13" s="492" t="b">
        <v>1</v>
      </c>
      <c r="T13" s="492"/>
      <c r="U13" s="492"/>
      <c r="V13" s="492"/>
      <c r="W13" s="492"/>
      <c r="X13" s="492"/>
      <c r="Y13" s="492">
        <v>391779.65975814901</v>
      </c>
      <c r="Z13" s="492">
        <v>8188105.4680185998</v>
      </c>
      <c r="AA13" s="492">
        <v>10063.3523761956</v>
      </c>
      <c r="AB13" s="492">
        <v>13199.9985446995</v>
      </c>
      <c r="AC13" s="492">
        <v>6</v>
      </c>
      <c r="AD13" s="492">
        <v>23443</v>
      </c>
      <c r="AE13" s="492" t="s">
        <v>1297</v>
      </c>
      <c r="AF13" s="492" t="s">
        <v>1298</v>
      </c>
      <c r="AG13" s="492" t="s">
        <v>1299</v>
      </c>
      <c r="AH13" s="492" t="s">
        <v>1300</v>
      </c>
      <c r="AI13" s="492">
        <v>1</v>
      </c>
      <c r="AJ13" s="492" t="s">
        <v>1301</v>
      </c>
      <c r="AK13" s="492" t="s">
        <v>1302</v>
      </c>
      <c r="AL13" s="492"/>
      <c r="AM13" s="492"/>
      <c r="AN13" s="492"/>
      <c r="AO13" s="492"/>
      <c r="AP13" s="492"/>
      <c r="AQ13" s="492"/>
      <c r="AR13" s="492"/>
      <c r="AS13" s="492"/>
      <c r="AT13" s="492"/>
      <c r="AU13" s="492"/>
      <c r="AV13" s="492"/>
      <c r="AW13" s="492"/>
      <c r="AX13" s="492"/>
      <c r="AY13" s="492"/>
      <c r="AZ13" s="492"/>
      <c r="BA13" s="492"/>
      <c r="BB13" s="493">
        <v>32303</v>
      </c>
      <c r="BC13" s="494">
        <v>0.375</v>
      </c>
      <c r="BD13" s="493">
        <v>47989</v>
      </c>
      <c r="BE13" s="494">
        <v>0.99998842592592596</v>
      </c>
      <c r="BF13" s="493">
        <v>32639</v>
      </c>
      <c r="BG13" s="494">
        <v>0</v>
      </c>
      <c r="BH13" s="492" t="s">
        <v>1303</v>
      </c>
      <c r="BI13" s="492">
        <v>597.20000000000005</v>
      </c>
      <c r="BJ13" s="492" t="s">
        <v>1304</v>
      </c>
      <c r="BK13" s="492"/>
      <c r="BL13" s="493">
        <v>45551</v>
      </c>
      <c r="BM13" s="492" t="s">
        <v>1305</v>
      </c>
      <c r="BN13" s="492" t="s">
        <v>1301</v>
      </c>
      <c r="BO13" s="492">
        <v>0.16432140619605901</v>
      </c>
      <c r="BP13" s="492">
        <v>5.0513892581900005E-4</v>
      </c>
    </row>
    <row r="14" spans="1:68" ht="75">
      <c r="A14" s="492" t="s">
        <v>350</v>
      </c>
      <c r="B14" s="492">
        <v>391345</v>
      </c>
      <c r="C14" s="492">
        <v>8186852</v>
      </c>
      <c r="D14" s="492">
        <v>182</v>
      </c>
      <c r="E14" s="492">
        <v>289</v>
      </c>
      <c r="F14" s="492">
        <v>55</v>
      </c>
      <c r="G14" s="492" t="b">
        <v>0</v>
      </c>
      <c r="H14" s="492" t="b">
        <v>0</v>
      </c>
      <c r="I14" s="492">
        <v>10</v>
      </c>
      <c r="J14" s="492" t="b">
        <v>0</v>
      </c>
      <c r="K14" s="492">
        <v>110</v>
      </c>
      <c r="L14" s="492" t="s">
        <v>1306</v>
      </c>
      <c r="M14" s="492" t="s">
        <v>1296</v>
      </c>
      <c r="N14" s="492" t="s">
        <v>1</v>
      </c>
      <c r="O14" s="492">
        <v>110</v>
      </c>
      <c r="P14" s="492" t="s">
        <v>11</v>
      </c>
      <c r="Q14" s="492">
        <v>1</v>
      </c>
      <c r="R14" s="492"/>
      <c r="S14" s="492"/>
      <c r="T14" s="492"/>
      <c r="U14" s="492"/>
      <c r="V14" s="492"/>
      <c r="W14" s="492"/>
      <c r="X14" s="492"/>
      <c r="Y14" s="492">
        <v>391345</v>
      </c>
      <c r="Z14" s="492">
        <v>8186852</v>
      </c>
      <c r="AA14" s="492">
        <v>10057.8899586843</v>
      </c>
      <c r="AB14" s="492">
        <v>11872.9306937456</v>
      </c>
      <c r="AC14" s="492">
        <v>6</v>
      </c>
      <c r="AD14" s="492">
        <v>23443</v>
      </c>
      <c r="AE14" s="492" t="s">
        <v>1297</v>
      </c>
      <c r="AF14" s="492" t="s">
        <v>1298</v>
      </c>
      <c r="AG14" s="492" t="s">
        <v>1299</v>
      </c>
      <c r="AH14" s="492" t="s">
        <v>1300</v>
      </c>
      <c r="AI14" s="492">
        <v>1</v>
      </c>
      <c r="AJ14" s="492" t="s">
        <v>1301</v>
      </c>
      <c r="AK14" s="492" t="s">
        <v>1302</v>
      </c>
      <c r="AL14" s="492"/>
      <c r="AM14" s="492"/>
      <c r="AN14" s="492"/>
      <c r="AO14" s="492"/>
      <c r="AP14" s="492"/>
      <c r="AQ14" s="492"/>
      <c r="AR14" s="492"/>
      <c r="AS14" s="492"/>
      <c r="AT14" s="492"/>
      <c r="AU14" s="492"/>
      <c r="AV14" s="492"/>
      <c r="AW14" s="492"/>
      <c r="AX14" s="492"/>
      <c r="AY14" s="492"/>
      <c r="AZ14" s="492"/>
      <c r="BA14" s="492"/>
      <c r="BB14" s="493">
        <v>32303</v>
      </c>
      <c r="BC14" s="494">
        <v>0.375</v>
      </c>
      <c r="BD14" s="493">
        <v>47989</v>
      </c>
      <c r="BE14" s="494">
        <v>0.99998842592592596</v>
      </c>
      <c r="BF14" s="493">
        <v>32639</v>
      </c>
      <c r="BG14" s="494">
        <v>0</v>
      </c>
      <c r="BH14" s="492" t="s">
        <v>1303</v>
      </c>
      <c r="BI14" s="492">
        <v>597.20000000000005</v>
      </c>
      <c r="BJ14" s="492" t="s">
        <v>1304</v>
      </c>
      <c r="BK14" s="492"/>
      <c r="BL14" s="493">
        <v>45551</v>
      </c>
      <c r="BM14" s="492" t="s">
        <v>1305</v>
      </c>
      <c r="BN14" s="492" t="s">
        <v>1301</v>
      </c>
      <c r="BO14" s="492">
        <v>0.16432140619605901</v>
      </c>
      <c r="BP14" s="492">
        <v>5.0513892581900005E-4</v>
      </c>
    </row>
    <row r="15" spans="1:68" ht="75">
      <c r="A15" s="492" t="s">
        <v>313</v>
      </c>
      <c r="B15" s="492">
        <v>391362</v>
      </c>
      <c r="C15" s="492">
        <v>8186853</v>
      </c>
      <c r="D15" s="492">
        <v>180</v>
      </c>
      <c r="E15" s="492">
        <v>289</v>
      </c>
      <c r="F15" s="492">
        <v>60</v>
      </c>
      <c r="G15" s="492" t="b">
        <v>0</v>
      </c>
      <c r="H15" s="492" t="b">
        <v>0</v>
      </c>
      <c r="I15" s="492">
        <v>10</v>
      </c>
      <c r="J15" s="492" t="b">
        <v>0</v>
      </c>
      <c r="K15" s="492">
        <v>160</v>
      </c>
      <c r="L15" s="492" t="s">
        <v>1013</v>
      </c>
      <c r="M15" s="492" t="s">
        <v>1296</v>
      </c>
      <c r="N15" s="492" t="s">
        <v>1</v>
      </c>
      <c r="O15" s="492">
        <v>160</v>
      </c>
      <c r="P15" s="492" t="s">
        <v>109</v>
      </c>
      <c r="Q15" s="492">
        <v>3</v>
      </c>
      <c r="R15" s="492"/>
      <c r="S15" s="492"/>
      <c r="T15" s="492"/>
      <c r="U15" s="492"/>
      <c r="V15" s="492"/>
      <c r="W15" s="492"/>
      <c r="X15" s="492"/>
      <c r="Y15" s="492">
        <v>391362</v>
      </c>
      <c r="Z15" s="492">
        <v>8186853</v>
      </c>
      <c r="AA15" s="492">
        <v>10073.6553365499</v>
      </c>
      <c r="AB15" s="492">
        <v>11879.3822202021</v>
      </c>
      <c r="AC15" s="492">
        <v>6</v>
      </c>
      <c r="AD15" s="492">
        <v>23443</v>
      </c>
      <c r="AE15" s="492" t="s">
        <v>1297</v>
      </c>
      <c r="AF15" s="492" t="s">
        <v>1298</v>
      </c>
      <c r="AG15" s="492" t="s">
        <v>1299</v>
      </c>
      <c r="AH15" s="492" t="s">
        <v>1300</v>
      </c>
      <c r="AI15" s="492">
        <v>1</v>
      </c>
      <c r="AJ15" s="492" t="s">
        <v>1301</v>
      </c>
      <c r="AK15" s="492" t="s">
        <v>1302</v>
      </c>
      <c r="AL15" s="492"/>
      <c r="AM15" s="492"/>
      <c r="AN15" s="492"/>
      <c r="AO15" s="492"/>
      <c r="AP15" s="492"/>
      <c r="AQ15" s="492"/>
      <c r="AR15" s="492"/>
      <c r="AS15" s="492"/>
      <c r="AT15" s="492"/>
      <c r="AU15" s="492"/>
      <c r="AV15" s="492"/>
      <c r="AW15" s="492"/>
      <c r="AX15" s="492"/>
      <c r="AY15" s="492"/>
      <c r="AZ15" s="492"/>
      <c r="BA15" s="492"/>
      <c r="BB15" s="493">
        <v>32303</v>
      </c>
      <c r="BC15" s="494">
        <v>0.375</v>
      </c>
      <c r="BD15" s="493">
        <v>47989</v>
      </c>
      <c r="BE15" s="494">
        <v>0.99998842592592596</v>
      </c>
      <c r="BF15" s="493">
        <v>32639</v>
      </c>
      <c r="BG15" s="494">
        <v>0</v>
      </c>
      <c r="BH15" s="492" t="s">
        <v>1303</v>
      </c>
      <c r="BI15" s="492">
        <v>597.20000000000005</v>
      </c>
      <c r="BJ15" s="492" t="s">
        <v>1304</v>
      </c>
      <c r="BK15" s="492"/>
      <c r="BL15" s="493">
        <v>45551</v>
      </c>
      <c r="BM15" s="492" t="s">
        <v>1305</v>
      </c>
      <c r="BN15" s="492" t="s">
        <v>1301</v>
      </c>
      <c r="BO15" s="492">
        <v>0.16432140619605901</v>
      </c>
      <c r="BP15" s="492">
        <v>5.0513892581900005E-4</v>
      </c>
    </row>
    <row r="16" spans="1:68" ht="75">
      <c r="A16" s="492" t="s">
        <v>680</v>
      </c>
      <c r="B16" s="492">
        <v>391384</v>
      </c>
      <c r="C16" s="492">
        <v>8186971</v>
      </c>
      <c r="D16" s="492">
        <v>174</v>
      </c>
      <c r="E16" s="492">
        <v>289</v>
      </c>
      <c r="F16" s="492">
        <v>60</v>
      </c>
      <c r="G16" s="492" t="b">
        <v>0</v>
      </c>
      <c r="H16" s="492" t="b">
        <v>0</v>
      </c>
      <c r="I16" s="492">
        <v>10</v>
      </c>
      <c r="J16" s="492" t="b">
        <v>0</v>
      </c>
      <c r="K16" s="492">
        <v>135</v>
      </c>
      <c r="L16" s="492" t="s">
        <v>1295</v>
      </c>
      <c r="M16" s="492" t="s">
        <v>1296</v>
      </c>
      <c r="N16" s="492" t="s">
        <v>2</v>
      </c>
      <c r="O16" s="492">
        <v>135</v>
      </c>
      <c r="P16" s="492" t="s">
        <v>109</v>
      </c>
      <c r="Q16" s="492">
        <v>1</v>
      </c>
      <c r="R16" s="492"/>
      <c r="S16" s="492"/>
      <c r="T16" s="492"/>
      <c r="U16" s="492"/>
      <c r="V16" s="495">
        <v>45840</v>
      </c>
      <c r="W16" s="492"/>
      <c r="X16" s="492"/>
      <c r="Y16" s="492">
        <v>391384</v>
      </c>
      <c r="Z16" s="492">
        <v>8186971</v>
      </c>
      <c r="AA16" s="492">
        <v>10056.2647759346</v>
      </c>
      <c r="AB16" s="492">
        <v>11998.1844984786</v>
      </c>
      <c r="AC16" s="492">
        <v>6</v>
      </c>
      <c r="AD16" s="492">
        <v>23443</v>
      </c>
      <c r="AE16" s="492" t="s">
        <v>1297</v>
      </c>
      <c r="AF16" s="492" t="s">
        <v>1298</v>
      </c>
      <c r="AG16" s="492" t="s">
        <v>1299</v>
      </c>
      <c r="AH16" s="492" t="s">
        <v>1300</v>
      </c>
      <c r="AI16" s="492">
        <v>1</v>
      </c>
      <c r="AJ16" s="492" t="s">
        <v>1301</v>
      </c>
      <c r="AK16" s="492" t="s">
        <v>1302</v>
      </c>
      <c r="AL16" s="492"/>
      <c r="AM16" s="492"/>
      <c r="AN16" s="492"/>
      <c r="AO16" s="492"/>
      <c r="AP16" s="492"/>
      <c r="AQ16" s="492"/>
      <c r="AR16" s="492"/>
      <c r="AS16" s="492"/>
      <c r="AT16" s="492"/>
      <c r="AU16" s="492"/>
      <c r="AV16" s="492"/>
      <c r="AW16" s="492"/>
      <c r="AX16" s="492"/>
      <c r="AY16" s="492"/>
      <c r="AZ16" s="492"/>
      <c r="BA16" s="492"/>
      <c r="BB16" s="493">
        <v>32303</v>
      </c>
      <c r="BC16" s="494">
        <v>0.375</v>
      </c>
      <c r="BD16" s="493">
        <v>47989</v>
      </c>
      <c r="BE16" s="494">
        <v>0.99998842592592596</v>
      </c>
      <c r="BF16" s="493">
        <v>32639</v>
      </c>
      <c r="BG16" s="494">
        <v>0</v>
      </c>
      <c r="BH16" s="492" t="s">
        <v>1303</v>
      </c>
      <c r="BI16" s="492">
        <v>597.20000000000005</v>
      </c>
      <c r="BJ16" s="492" t="s">
        <v>1304</v>
      </c>
      <c r="BK16" s="492"/>
      <c r="BL16" s="493">
        <v>45551</v>
      </c>
      <c r="BM16" s="492" t="s">
        <v>1305</v>
      </c>
      <c r="BN16" s="492" t="s">
        <v>1301</v>
      </c>
      <c r="BO16" s="492">
        <v>0.16432140619605901</v>
      </c>
      <c r="BP16" s="492">
        <v>5.0513892581900005E-4</v>
      </c>
    </row>
    <row r="17" spans="1:68" ht="75">
      <c r="A17" s="492" t="s">
        <v>684</v>
      </c>
      <c r="B17" s="492">
        <v>391375</v>
      </c>
      <c r="C17" s="492">
        <v>8186933</v>
      </c>
      <c r="D17" s="492">
        <v>177</v>
      </c>
      <c r="E17" s="492">
        <v>289</v>
      </c>
      <c r="F17" s="492">
        <v>60</v>
      </c>
      <c r="G17" s="492" t="b">
        <v>0</v>
      </c>
      <c r="H17" s="492" t="b">
        <v>0</v>
      </c>
      <c r="I17" s="492">
        <v>10</v>
      </c>
      <c r="J17" s="492" t="b">
        <v>0</v>
      </c>
      <c r="K17" s="492">
        <v>140</v>
      </c>
      <c r="L17" s="492" t="s">
        <v>1013</v>
      </c>
      <c r="M17" s="492" t="s">
        <v>1296</v>
      </c>
      <c r="N17" s="492" t="s">
        <v>2</v>
      </c>
      <c r="O17" s="492">
        <v>140</v>
      </c>
      <c r="P17" s="492" t="s">
        <v>109</v>
      </c>
      <c r="Q17" s="492">
        <v>3</v>
      </c>
      <c r="R17" s="492"/>
      <c r="S17" s="492"/>
      <c r="T17" s="492"/>
      <c r="U17" s="492"/>
      <c r="V17" s="495">
        <v>45841</v>
      </c>
      <c r="W17" s="492"/>
      <c r="X17" s="492"/>
      <c r="Y17" s="492">
        <v>391375.55579780397</v>
      </c>
      <c r="Z17" s="492">
        <v>8186935.4592956202</v>
      </c>
      <c r="AA17" s="492">
        <v>10059.782111198099</v>
      </c>
      <c r="AB17" s="492">
        <v>11961.8134418148</v>
      </c>
      <c r="AC17" s="492">
        <v>6</v>
      </c>
      <c r="AD17" s="492">
        <v>23443</v>
      </c>
      <c r="AE17" s="492" t="s">
        <v>1297</v>
      </c>
      <c r="AF17" s="492" t="s">
        <v>1298</v>
      </c>
      <c r="AG17" s="492" t="s">
        <v>1299</v>
      </c>
      <c r="AH17" s="492" t="s">
        <v>1300</v>
      </c>
      <c r="AI17" s="492">
        <v>1</v>
      </c>
      <c r="AJ17" s="492" t="s">
        <v>1301</v>
      </c>
      <c r="AK17" s="492" t="s">
        <v>1302</v>
      </c>
      <c r="AL17" s="492"/>
      <c r="AM17" s="492"/>
      <c r="AN17" s="492"/>
      <c r="AO17" s="492"/>
      <c r="AP17" s="492"/>
      <c r="AQ17" s="492"/>
      <c r="AR17" s="492"/>
      <c r="AS17" s="492"/>
      <c r="AT17" s="492"/>
      <c r="AU17" s="492"/>
      <c r="AV17" s="492"/>
      <c r="AW17" s="492"/>
      <c r="AX17" s="492"/>
      <c r="AY17" s="492"/>
      <c r="AZ17" s="492"/>
      <c r="BA17" s="492"/>
      <c r="BB17" s="493">
        <v>32303</v>
      </c>
      <c r="BC17" s="494">
        <v>0.375</v>
      </c>
      <c r="BD17" s="493">
        <v>47989</v>
      </c>
      <c r="BE17" s="494">
        <v>0.99998842592592596</v>
      </c>
      <c r="BF17" s="493">
        <v>32639</v>
      </c>
      <c r="BG17" s="494">
        <v>0</v>
      </c>
      <c r="BH17" s="492" t="s">
        <v>1303</v>
      </c>
      <c r="BI17" s="492">
        <v>597.20000000000005</v>
      </c>
      <c r="BJ17" s="492" t="s">
        <v>1304</v>
      </c>
      <c r="BK17" s="492"/>
      <c r="BL17" s="493">
        <v>45551</v>
      </c>
      <c r="BM17" s="492" t="s">
        <v>1305</v>
      </c>
      <c r="BN17" s="492" t="s">
        <v>1301</v>
      </c>
      <c r="BO17" s="492">
        <v>0.16432140619605901</v>
      </c>
      <c r="BP17" s="492">
        <v>5.0513892581900005E-4</v>
      </c>
    </row>
    <row r="18" spans="1:68" ht="75">
      <c r="A18" s="492" t="s">
        <v>685</v>
      </c>
      <c r="B18" s="492">
        <v>391393</v>
      </c>
      <c r="C18" s="492">
        <v>8186927</v>
      </c>
      <c r="D18" s="492">
        <v>176</v>
      </c>
      <c r="E18" s="492">
        <v>289</v>
      </c>
      <c r="F18" s="492">
        <v>60</v>
      </c>
      <c r="G18" s="492" t="b">
        <v>0</v>
      </c>
      <c r="H18" s="492" t="b">
        <v>0</v>
      </c>
      <c r="I18" s="492">
        <v>10</v>
      </c>
      <c r="J18" s="492" t="b">
        <v>0</v>
      </c>
      <c r="K18" s="492">
        <v>180</v>
      </c>
      <c r="L18" s="492" t="s">
        <v>1013</v>
      </c>
      <c r="M18" s="492" t="s">
        <v>1296</v>
      </c>
      <c r="N18" s="492" t="s">
        <v>2</v>
      </c>
      <c r="O18" s="492">
        <v>180</v>
      </c>
      <c r="P18" s="492" t="s">
        <v>109</v>
      </c>
      <c r="Q18" s="492">
        <v>3</v>
      </c>
      <c r="R18" s="492"/>
      <c r="S18" s="492"/>
      <c r="T18" s="492"/>
      <c r="U18" s="492"/>
      <c r="V18" s="495">
        <v>45843</v>
      </c>
      <c r="W18" s="492" t="s">
        <v>1307</v>
      </c>
      <c r="X18" s="492"/>
      <c r="Y18" s="492">
        <v>391393</v>
      </c>
      <c r="Z18" s="492">
        <v>8186927</v>
      </c>
      <c r="AA18" s="492">
        <v>10079.0310921934</v>
      </c>
      <c r="AB18" s="492">
        <v>11959.456309998401</v>
      </c>
      <c r="AC18" s="492">
        <v>6</v>
      </c>
      <c r="AD18" s="492">
        <v>23443</v>
      </c>
      <c r="AE18" s="492" t="s">
        <v>1297</v>
      </c>
      <c r="AF18" s="492" t="s">
        <v>1298</v>
      </c>
      <c r="AG18" s="492" t="s">
        <v>1299</v>
      </c>
      <c r="AH18" s="492" t="s">
        <v>1300</v>
      </c>
      <c r="AI18" s="492">
        <v>1</v>
      </c>
      <c r="AJ18" s="492" t="s">
        <v>1301</v>
      </c>
      <c r="AK18" s="492" t="s">
        <v>1302</v>
      </c>
      <c r="AL18" s="492"/>
      <c r="AM18" s="492"/>
      <c r="AN18" s="492"/>
      <c r="AO18" s="492"/>
      <c r="AP18" s="492"/>
      <c r="AQ18" s="492"/>
      <c r="AR18" s="492"/>
      <c r="AS18" s="492"/>
      <c r="AT18" s="492"/>
      <c r="AU18" s="492"/>
      <c r="AV18" s="492"/>
      <c r="AW18" s="492"/>
      <c r="AX18" s="492"/>
      <c r="AY18" s="492"/>
      <c r="AZ18" s="492"/>
      <c r="BA18" s="492"/>
      <c r="BB18" s="493">
        <v>32303</v>
      </c>
      <c r="BC18" s="494">
        <v>0.375</v>
      </c>
      <c r="BD18" s="493">
        <v>47989</v>
      </c>
      <c r="BE18" s="494">
        <v>0.99998842592592596</v>
      </c>
      <c r="BF18" s="493">
        <v>32639</v>
      </c>
      <c r="BG18" s="494">
        <v>0</v>
      </c>
      <c r="BH18" s="492" t="s">
        <v>1303</v>
      </c>
      <c r="BI18" s="492">
        <v>597.20000000000005</v>
      </c>
      <c r="BJ18" s="492" t="s">
        <v>1304</v>
      </c>
      <c r="BK18" s="492"/>
      <c r="BL18" s="493">
        <v>45551</v>
      </c>
      <c r="BM18" s="492" t="s">
        <v>1305</v>
      </c>
      <c r="BN18" s="492" t="s">
        <v>1301</v>
      </c>
      <c r="BO18" s="492">
        <v>0.16432140619605901</v>
      </c>
      <c r="BP18" s="492">
        <v>5.0513892581900005E-4</v>
      </c>
    </row>
    <row r="19" spans="1:68" ht="75">
      <c r="A19" s="492" t="s">
        <v>689</v>
      </c>
      <c r="B19" s="492">
        <v>391325</v>
      </c>
      <c r="C19" s="492">
        <v>8186908</v>
      </c>
      <c r="D19" s="492">
        <v>183</v>
      </c>
      <c r="E19" s="492">
        <v>289</v>
      </c>
      <c r="F19" s="492">
        <v>60</v>
      </c>
      <c r="G19" s="492" t="b">
        <v>0</v>
      </c>
      <c r="H19" s="492" t="b">
        <v>0</v>
      </c>
      <c r="I19" s="492">
        <v>10</v>
      </c>
      <c r="J19" s="492" t="b">
        <v>0</v>
      </c>
      <c r="K19" s="492">
        <v>60</v>
      </c>
      <c r="L19" s="492" t="s">
        <v>1013</v>
      </c>
      <c r="M19" s="492" t="s">
        <v>1296</v>
      </c>
      <c r="N19" s="492" t="s">
        <v>2</v>
      </c>
      <c r="O19" s="492">
        <v>60</v>
      </c>
      <c r="P19" s="492" t="s">
        <v>109</v>
      </c>
      <c r="Q19" s="492">
        <v>1</v>
      </c>
      <c r="R19" s="492"/>
      <c r="S19" s="492"/>
      <c r="T19" s="492"/>
      <c r="U19" s="492"/>
      <c r="V19" s="495">
        <v>45843</v>
      </c>
      <c r="W19" s="492"/>
      <c r="X19" s="492"/>
      <c r="Y19" s="492">
        <v>391325</v>
      </c>
      <c r="Z19" s="492">
        <v>8186908</v>
      </c>
      <c r="AA19" s="492">
        <v>10020.827024099401</v>
      </c>
      <c r="AB19" s="492">
        <v>11919.4538446804</v>
      </c>
      <c r="AC19" s="492">
        <v>6</v>
      </c>
      <c r="AD19" s="492">
        <v>23443</v>
      </c>
      <c r="AE19" s="492" t="s">
        <v>1297</v>
      </c>
      <c r="AF19" s="492" t="s">
        <v>1298</v>
      </c>
      <c r="AG19" s="492" t="s">
        <v>1299</v>
      </c>
      <c r="AH19" s="492" t="s">
        <v>1300</v>
      </c>
      <c r="AI19" s="492">
        <v>1</v>
      </c>
      <c r="AJ19" s="492" t="s">
        <v>1301</v>
      </c>
      <c r="AK19" s="492" t="s">
        <v>1302</v>
      </c>
      <c r="AL19" s="492"/>
      <c r="AM19" s="492"/>
      <c r="AN19" s="492"/>
      <c r="AO19" s="492"/>
      <c r="AP19" s="492"/>
      <c r="AQ19" s="492"/>
      <c r="AR19" s="492"/>
      <c r="AS19" s="492"/>
      <c r="AT19" s="492"/>
      <c r="AU19" s="492"/>
      <c r="AV19" s="492"/>
      <c r="AW19" s="492"/>
      <c r="AX19" s="492"/>
      <c r="AY19" s="492"/>
      <c r="AZ19" s="492"/>
      <c r="BA19" s="492"/>
      <c r="BB19" s="493">
        <v>32303</v>
      </c>
      <c r="BC19" s="494">
        <v>0.375</v>
      </c>
      <c r="BD19" s="493">
        <v>47989</v>
      </c>
      <c r="BE19" s="494">
        <v>0.99998842592592596</v>
      </c>
      <c r="BF19" s="493">
        <v>32639</v>
      </c>
      <c r="BG19" s="494">
        <v>0</v>
      </c>
      <c r="BH19" s="492" t="s">
        <v>1303</v>
      </c>
      <c r="BI19" s="492">
        <v>597.20000000000005</v>
      </c>
      <c r="BJ19" s="492" t="s">
        <v>1304</v>
      </c>
      <c r="BK19" s="492"/>
      <c r="BL19" s="493">
        <v>45551</v>
      </c>
      <c r="BM19" s="492" t="s">
        <v>1305</v>
      </c>
      <c r="BN19" s="492" t="s">
        <v>1301</v>
      </c>
      <c r="BO19" s="492">
        <v>0.16432140619605901</v>
      </c>
      <c r="BP19" s="492">
        <v>5.0513892581900005E-4</v>
      </c>
    </row>
    <row r="20" spans="1:68" ht="75">
      <c r="A20" s="492" t="s">
        <v>691</v>
      </c>
      <c r="B20" s="492">
        <v>391346</v>
      </c>
      <c r="C20" s="492">
        <v>8186901</v>
      </c>
      <c r="D20" s="492">
        <v>180</v>
      </c>
      <c r="E20" s="492">
        <v>289</v>
      </c>
      <c r="F20" s="492">
        <v>60</v>
      </c>
      <c r="G20" s="492" t="b">
        <v>0</v>
      </c>
      <c r="H20" s="492" t="b">
        <v>0</v>
      </c>
      <c r="I20" s="492">
        <v>10</v>
      </c>
      <c r="J20" s="492" t="b">
        <v>0</v>
      </c>
      <c r="K20" s="492">
        <v>100</v>
      </c>
      <c r="L20" s="492" t="s">
        <v>1013</v>
      </c>
      <c r="M20" s="492" t="s">
        <v>1296</v>
      </c>
      <c r="N20" s="492" t="s">
        <v>2</v>
      </c>
      <c r="O20" s="492">
        <v>100</v>
      </c>
      <c r="P20" s="492" t="s">
        <v>109</v>
      </c>
      <c r="Q20" s="492">
        <v>3</v>
      </c>
      <c r="R20" s="492"/>
      <c r="S20" s="492"/>
      <c r="T20" s="492"/>
      <c r="U20" s="492"/>
      <c r="V20" s="495">
        <v>45844</v>
      </c>
      <c r="W20" s="492"/>
      <c r="X20" s="492"/>
      <c r="Y20" s="492">
        <v>391346</v>
      </c>
      <c r="Z20" s="492">
        <v>8186901</v>
      </c>
      <c r="AA20" s="492">
        <v>10042.9687342951</v>
      </c>
      <c r="AB20" s="492">
        <v>11919.6292976401</v>
      </c>
      <c r="AC20" s="492">
        <v>6</v>
      </c>
      <c r="AD20" s="492">
        <v>23443</v>
      </c>
      <c r="AE20" s="492" t="s">
        <v>1297</v>
      </c>
      <c r="AF20" s="492" t="s">
        <v>1298</v>
      </c>
      <c r="AG20" s="492" t="s">
        <v>1299</v>
      </c>
      <c r="AH20" s="492" t="s">
        <v>1300</v>
      </c>
      <c r="AI20" s="492">
        <v>1</v>
      </c>
      <c r="AJ20" s="492" t="s">
        <v>1301</v>
      </c>
      <c r="AK20" s="492" t="s">
        <v>1302</v>
      </c>
      <c r="AL20" s="492"/>
      <c r="AM20" s="492"/>
      <c r="AN20" s="492"/>
      <c r="AO20" s="492"/>
      <c r="AP20" s="492"/>
      <c r="AQ20" s="492"/>
      <c r="AR20" s="492"/>
      <c r="AS20" s="492"/>
      <c r="AT20" s="492"/>
      <c r="AU20" s="492"/>
      <c r="AV20" s="492"/>
      <c r="AW20" s="492"/>
      <c r="AX20" s="492"/>
      <c r="AY20" s="492"/>
      <c r="AZ20" s="492"/>
      <c r="BA20" s="492"/>
      <c r="BB20" s="493">
        <v>32303</v>
      </c>
      <c r="BC20" s="494">
        <v>0.375</v>
      </c>
      <c r="BD20" s="493">
        <v>47989</v>
      </c>
      <c r="BE20" s="494">
        <v>0.99998842592592596</v>
      </c>
      <c r="BF20" s="493">
        <v>32639</v>
      </c>
      <c r="BG20" s="494">
        <v>0</v>
      </c>
      <c r="BH20" s="492" t="s">
        <v>1303</v>
      </c>
      <c r="BI20" s="492">
        <v>597.20000000000005</v>
      </c>
      <c r="BJ20" s="492" t="s">
        <v>1304</v>
      </c>
      <c r="BK20" s="492"/>
      <c r="BL20" s="493">
        <v>45551</v>
      </c>
      <c r="BM20" s="492" t="s">
        <v>1305</v>
      </c>
      <c r="BN20" s="492" t="s">
        <v>1301</v>
      </c>
      <c r="BO20" s="492">
        <v>0.16432140619605901</v>
      </c>
      <c r="BP20" s="492">
        <v>5.0513892581900005E-4</v>
      </c>
    </row>
    <row r="21" spans="1:68" ht="75">
      <c r="A21" s="492" t="s">
        <v>692</v>
      </c>
      <c r="B21" s="492">
        <v>391367</v>
      </c>
      <c r="C21" s="492">
        <v>8186894</v>
      </c>
      <c r="D21" s="492">
        <v>179</v>
      </c>
      <c r="E21" s="492">
        <v>289</v>
      </c>
      <c r="F21" s="492">
        <v>60</v>
      </c>
      <c r="G21" s="492" t="b">
        <v>0</v>
      </c>
      <c r="H21" s="492" t="b">
        <v>0</v>
      </c>
      <c r="I21" s="492">
        <v>10</v>
      </c>
      <c r="J21" s="492" t="b">
        <v>0</v>
      </c>
      <c r="K21" s="492">
        <v>140</v>
      </c>
      <c r="L21" s="492" t="s">
        <v>1013</v>
      </c>
      <c r="M21" s="492" t="s">
        <v>1296</v>
      </c>
      <c r="N21" s="492" t="s">
        <v>2</v>
      </c>
      <c r="O21" s="492">
        <v>140</v>
      </c>
      <c r="P21" s="492" t="s">
        <v>109</v>
      </c>
      <c r="Q21" s="492">
        <v>3</v>
      </c>
      <c r="R21" s="492"/>
      <c r="S21" s="492"/>
      <c r="T21" s="492"/>
      <c r="U21" s="492"/>
      <c r="V21" s="495">
        <v>45844</v>
      </c>
      <c r="W21" s="492"/>
      <c r="X21" s="492"/>
      <c r="Y21" s="492">
        <v>391367</v>
      </c>
      <c r="Z21" s="492">
        <v>8186894</v>
      </c>
      <c r="AA21" s="492">
        <v>10065.110444494499</v>
      </c>
      <c r="AB21" s="492">
        <v>11919.8047506026</v>
      </c>
      <c r="AC21" s="492">
        <v>6</v>
      </c>
      <c r="AD21" s="492">
        <v>23443</v>
      </c>
      <c r="AE21" s="492" t="s">
        <v>1297</v>
      </c>
      <c r="AF21" s="492" t="s">
        <v>1298</v>
      </c>
      <c r="AG21" s="492" t="s">
        <v>1299</v>
      </c>
      <c r="AH21" s="492" t="s">
        <v>1300</v>
      </c>
      <c r="AI21" s="492">
        <v>1</v>
      </c>
      <c r="AJ21" s="492" t="s">
        <v>1301</v>
      </c>
      <c r="AK21" s="492" t="s">
        <v>1302</v>
      </c>
      <c r="AL21" s="492"/>
      <c r="AM21" s="492"/>
      <c r="AN21" s="492"/>
      <c r="AO21" s="492"/>
      <c r="AP21" s="492"/>
      <c r="AQ21" s="492"/>
      <c r="AR21" s="492"/>
      <c r="AS21" s="492"/>
      <c r="AT21" s="492"/>
      <c r="AU21" s="492"/>
      <c r="AV21" s="492"/>
      <c r="AW21" s="492"/>
      <c r="AX21" s="492"/>
      <c r="AY21" s="492"/>
      <c r="AZ21" s="492"/>
      <c r="BA21" s="492"/>
      <c r="BB21" s="493">
        <v>32303</v>
      </c>
      <c r="BC21" s="494">
        <v>0.375</v>
      </c>
      <c r="BD21" s="493">
        <v>47989</v>
      </c>
      <c r="BE21" s="494">
        <v>0.99998842592592596</v>
      </c>
      <c r="BF21" s="493">
        <v>32639</v>
      </c>
      <c r="BG21" s="494">
        <v>0</v>
      </c>
      <c r="BH21" s="492" t="s">
        <v>1303</v>
      </c>
      <c r="BI21" s="492">
        <v>597.20000000000005</v>
      </c>
      <c r="BJ21" s="492" t="s">
        <v>1304</v>
      </c>
      <c r="BK21" s="492"/>
      <c r="BL21" s="493">
        <v>45551</v>
      </c>
      <c r="BM21" s="492" t="s">
        <v>1305</v>
      </c>
      <c r="BN21" s="492" t="s">
        <v>1301</v>
      </c>
      <c r="BO21" s="492">
        <v>0.16432140619605901</v>
      </c>
      <c r="BP21" s="492">
        <v>5.0513892581900005E-4</v>
      </c>
    </row>
    <row r="22" spans="1:68" ht="75">
      <c r="A22" s="492" t="s">
        <v>694</v>
      </c>
      <c r="B22" s="492">
        <v>391389</v>
      </c>
      <c r="C22" s="492">
        <v>8186886</v>
      </c>
      <c r="D22" s="492">
        <v>178</v>
      </c>
      <c r="E22" s="492">
        <v>289</v>
      </c>
      <c r="F22" s="492">
        <v>60</v>
      </c>
      <c r="G22" s="492" t="b">
        <v>0</v>
      </c>
      <c r="H22" s="492" t="b">
        <v>0</v>
      </c>
      <c r="I22" s="492">
        <v>10</v>
      </c>
      <c r="J22" s="492" t="b">
        <v>0</v>
      </c>
      <c r="K22" s="492">
        <v>190</v>
      </c>
      <c r="L22" s="492" t="s">
        <v>1013</v>
      </c>
      <c r="M22" s="492" t="s">
        <v>1296</v>
      </c>
      <c r="N22" s="492" t="s">
        <v>2</v>
      </c>
      <c r="O22" s="492">
        <v>190</v>
      </c>
      <c r="P22" s="492" t="s">
        <v>109</v>
      </c>
      <c r="Q22" s="492">
        <v>3</v>
      </c>
      <c r="R22" s="492"/>
      <c r="S22" s="492"/>
      <c r="T22" s="492"/>
      <c r="U22" s="492"/>
      <c r="V22" s="495">
        <v>45845</v>
      </c>
      <c r="W22" s="492"/>
      <c r="X22" s="492"/>
      <c r="Y22" s="492">
        <v>391389</v>
      </c>
      <c r="Z22" s="492">
        <v>8186886</v>
      </c>
      <c r="AA22" s="492">
        <v>10088.5224082153</v>
      </c>
      <c r="AB22" s="492">
        <v>11919.3576091574</v>
      </c>
      <c r="AC22" s="492">
        <v>6</v>
      </c>
      <c r="AD22" s="492">
        <v>23443</v>
      </c>
      <c r="AE22" s="492" t="s">
        <v>1297</v>
      </c>
      <c r="AF22" s="492" t="s">
        <v>1298</v>
      </c>
      <c r="AG22" s="492" t="s">
        <v>1299</v>
      </c>
      <c r="AH22" s="492" t="s">
        <v>1300</v>
      </c>
      <c r="AI22" s="492">
        <v>1</v>
      </c>
      <c r="AJ22" s="492" t="s">
        <v>1301</v>
      </c>
      <c r="AK22" s="492" t="s">
        <v>1302</v>
      </c>
      <c r="AL22" s="492"/>
      <c r="AM22" s="492"/>
      <c r="AN22" s="492"/>
      <c r="AO22" s="492"/>
      <c r="AP22" s="492"/>
      <c r="AQ22" s="492"/>
      <c r="AR22" s="492"/>
      <c r="AS22" s="492"/>
      <c r="AT22" s="492"/>
      <c r="AU22" s="492"/>
      <c r="AV22" s="492"/>
      <c r="AW22" s="492"/>
      <c r="AX22" s="492"/>
      <c r="AY22" s="492"/>
      <c r="AZ22" s="492"/>
      <c r="BA22" s="492"/>
      <c r="BB22" s="493">
        <v>32303</v>
      </c>
      <c r="BC22" s="494">
        <v>0.375</v>
      </c>
      <c r="BD22" s="493">
        <v>47989</v>
      </c>
      <c r="BE22" s="494">
        <v>0.99998842592592596</v>
      </c>
      <c r="BF22" s="493">
        <v>32639</v>
      </c>
      <c r="BG22" s="494">
        <v>0</v>
      </c>
      <c r="BH22" s="492" t="s">
        <v>1303</v>
      </c>
      <c r="BI22" s="492">
        <v>597.20000000000005</v>
      </c>
      <c r="BJ22" s="492" t="s">
        <v>1304</v>
      </c>
      <c r="BK22" s="492"/>
      <c r="BL22" s="493">
        <v>45551</v>
      </c>
      <c r="BM22" s="492" t="s">
        <v>1305</v>
      </c>
      <c r="BN22" s="492" t="s">
        <v>1301</v>
      </c>
      <c r="BO22" s="492">
        <v>0.16432140619605901</v>
      </c>
      <c r="BP22" s="492">
        <v>5.0513892581900005E-4</v>
      </c>
    </row>
    <row r="23" spans="1:68" ht="75">
      <c r="A23" s="492" t="s">
        <v>1027</v>
      </c>
      <c r="B23" s="492">
        <v>391207</v>
      </c>
      <c r="C23" s="492">
        <v>8186822</v>
      </c>
      <c r="D23" s="492">
        <v>183</v>
      </c>
      <c r="E23" s="492">
        <v>99</v>
      </c>
      <c r="F23" s="492">
        <v>58</v>
      </c>
      <c r="G23" s="492" t="b">
        <v>0</v>
      </c>
      <c r="H23" s="492" t="b">
        <v>0</v>
      </c>
      <c r="I23" s="492">
        <v>10</v>
      </c>
      <c r="J23" s="492" t="b">
        <v>0</v>
      </c>
      <c r="K23" s="492">
        <v>185</v>
      </c>
      <c r="L23" s="492" t="s">
        <v>1013</v>
      </c>
      <c r="M23" s="492" t="s">
        <v>1308</v>
      </c>
      <c r="N23" s="492" t="s">
        <v>2</v>
      </c>
      <c r="O23" s="492">
        <v>170</v>
      </c>
      <c r="P23" s="492" t="s">
        <v>109</v>
      </c>
      <c r="Q23" s="492">
        <v>3</v>
      </c>
      <c r="R23" s="492" t="b">
        <v>1</v>
      </c>
      <c r="S23" s="492" t="b">
        <v>1</v>
      </c>
      <c r="T23" s="492"/>
      <c r="U23" s="492"/>
      <c r="V23" s="492"/>
      <c r="W23" s="492" t="s">
        <v>1307</v>
      </c>
      <c r="X23" s="492"/>
      <c r="Y23" s="492">
        <v>391198.95217419299</v>
      </c>
      <c r="Z23" s="492">
        <v>8186811.2412525602</v>
      </c>
      <c r="AA23" s="492">
        <v>9932.8656833167097</v>
      </c>
      <c r="AB23" s="492">
        <v>11787.0610354254</v>
      </c>
      <c r="AC23" s="492">
        <v>6</v>
      </c>
      <c r="AD23" s="492">
        <v>23443</v>
      </c>
      <c r="AE23" s="492" t="s">
        <v>1297</v>
      </c>
      <c r="AF23" s="492" t="s">
        <v>1298</v>
      </c>
      <c r="AG23" s="492" t="s">
        <v>1299</v>
      </c>
      <c r="AH23" s="492" t="s">
        <v>1300</v>
      </c>
      <c r="AI23" s="492">
        <v>1</v>
      </c>
      <c r="AJ23" s="492" t="s">
        <v>1301</v>
      </c>
      <c r="AK23" s="492" t="s">
        <v>1302</v>
      </c>
      <c r="AL23" s="492"/>
      <c r="AM23" s="492"/>
      <c r="AN23" s="492"/>
      <c r="AO23" s="492"/>
      <c r="AP23" s="492"/>
      <c r="AQ23" s="492"/>
      <c r="AR23" s="492"/>
      <c r="AS23" s="492"/>
      <c r="AT23" s="492"/>
      <c r="AU23" s="492"/>
      <c r="AV23" s="492"/>
      <c r="AW23" s="492"/>
      <c r="AX23" s="492"/>
      <c r="AY23" s="492"/>
      <c r="AZ23" s="492"/>
      <c r="BA23" s="492"/>
      <c r="BB23" s="493">
        <v>32303</v>
      </c>
      <c r="BC23" s="494">
        <v>0.375</v>
      </c>
      <c r="BD23" s="493">
        <v>47989</v>
      </c>
      <c r="BE23" s="494">
        <v>0.99998842592592596</v>
      </c>
      <c r="BF23" s="493">
        <v>32639</v>
      </c>
      <c r="BG23" s="494">
        <v>0</v>
      </c>
      <c r="BH23" s="492" t="s">
        <v>1303</v>
      </c>
      <c r="BI23" s="492">
        <v>597.20000000000005</v>
      </c>
      <c r="BJ23" s="492" t="s">
        <v>1304</v>
      </c>
      <c r="BK23" s="492"/>
      <c r="BL23" s="493">
        <v>45551</v>
      </c>
      <c r="BM23" s="492" t="s">
        <v>1305</v>
      </c>
      <c r="BN23" s="492" t="s">
        <v>1301</v>
      </c>
      <c r="BO23" s="492">
        <v>0.16432140619605901</v>
      </c>
      <c r="BP23" s="492">
        <v>5.0513892581900005E-4</v>
      </c>
    </row>
    <row r="24" spans="1:68" ht="75">
      <c r="A24" s="492" t="s">
        <v>1028</v>
      </c>
      <c r="B24" s="492">
        <v>391365</v>
      </c>
      <c r="C24" s="492">
        <v>8186810</v>
      </c>
      <c r="D24" s="492">
        <v>179</v>
      </c>
      <c r="E24" s="492">
        <v>284</v>
      </c>
      <c r="F24" s="492">
        <v>60</v>
      </c>
      <c r="G24" s="492" t="b">
        <v>0</v>
      </c>
      <c r="H24" s="492" t="b">
        <v>0</v>
      </c>
      <c r="I24" s="492">
        <v>10</v>
      </c>
      <c r="J24" s="492" t="b">
        <v>0</v>
      </c>
      <c r="K24" s="492">
        <v>200</v>
      </c>
      <c r="L24" s="492" t="s">
        <v>1013</v>
      </c>
      <c r="M24" s="492" t="s">
        <v>1308</v>
      </c>
      <c r="N24" s="492" t="s">
        <v>2</v>
      </c>
      <c r="O24" s="492">
        <v>200</v>
      </c>
      <c r="P24" s="492" t="s">
        <v>109</v>
      </c>
      <c r="Q24" s="492">
        <v>3</v>
      </c>
      <c r="R24" s="492" t="b">
        <v>1</v>
      </c>
      <c r="S24" s="492" t="b">
        <v>1</v>
      </c>
      <c r="T24" s="492"/>
      <c r="U24" s="492"/>
      <c r="V24" s="492"/>
      <c r="W24" s="492"/>
      <c r="X24" s="492"/>
      <c r="Y24" s="492">
        <v>391363.10356806102</v>
      </c>
      <c r="Z24" s="492">
        <v>8186816.7444337104</v>
      </c>
      <c r="AA24" s="492">
        <v>10086.4404038265</v>
      </c>
      <c r="AB24" s="492">
        <v>11845.426451322601</v>
      </c>
      <c r="AC24" s="492">
        <v>6</v>
      </c>
      <c r="AD24" s="492">
        <v>23443</v>
      </c>
      <c r="AE24" s="492" t="s">
        <v>1297</v>
      </c>
      <c r="AF24" s="492" t="s">
        <v>1298</v>
      </c>
      <c r="AG24" s="492" t="s">
        <v>1299</v>
      </c>
      <c r="AH24" s="492" t="s">
        <v>1300</v>
      </c>
      <c r="AI24" s="492">
        <v>1</v>
      </c>
      <c r="AJ24" s="492" t="s">
        <v>1301</v>
      </c>
      <c r="AK24" s="492" t="s">
        <v>1302</v>
      </c>
      <c r="AL24" s="492"/>
      <c r="AM24" s="492"/>
      <c r="AN24" s="492"/>
      <c r="AO24" s="492"/>
      <c r="AP24" s="492"/>
      <c r="AQ24" s="492"/>
      <c r="AR24" s="492"/>
      <c r="AS24" s="492"/>
      <c r="AT24" s="492"/>
      <c r="AU24" s="492"/>
      <c r="AV24" s="492"/>
      <c r="AW24" s="492"/>
      <c r="AX24" s="492"/>
      <c r="AY24" s="492"/>
      <c r="AZ24" s="492"/>
      <c r="BA24" s="492"/>
      <c r="BB24" s="493">
        <v>32303</v>
      </c>
      <c r="BC24" s="494">
        <v>0.375</v>
      </c>
      <c r="BD24" s="493">
        <v>47989</v>
      </c>
      <c r="BE24" s="494">
        <v>0.99998842592592596</v>
      </c>
      <c r="BF24" s="493">
        <v>32639</v>
      </c>
      <c r="BG24" s="494">
        <v>0</v>
      </c>
      <c r="BH24" s="492" t="s">
        <v>1303</v>
      </c>
      <c r="BI24" s="492">
        <v>597.20000000000005</v>
      </c>
      <c r="BJ24" s="492" t="s">
        <v>1304</v>
      </c>
      <c r="BK24" s="492"/>
      <c r="BL24" s="493">
        <v>45551</v>
      </c>
      <c r="BM24" s="492" t="s">
        <v>1305</v>
      </c>
      <c r="BN24" s="492" t="s">
        <v>1301</v>
      </c>
      <c r="BO24" s="492">
        <v>0.16432140619605901</v>
      </c>
      <c r="BP24" s="492">
        <v>5.0513892581900005E-4</v>
      </c>
    </row>
    <row r="25" spans="1:68" ht="75">
      <c r="A25" s="492" t="s">
        <v>669</v>
      </c>
      <c r="B25" s="492">
        <v>391459</v>
      </c>
      <c r="C25" s="492">
        <v>8187199</v>
      </c>
      <c r="D25" s="492">
        <v>171</v>
      </c>
      <c r="E25" s="492">
        <v>289</v>
      </c>
      <c r="F25" s="492">
        <v>60</v>
      </c>
      <c r="G25" s="492" t="b">
        <v>0</v>
      </c>
      <c r="H25" s="492" t="b">
        <v>0</v>
      </c>
      <c r="I25" s="492">
        <v>10</v>
      </c>
      <c r="J25" s="492" t="b">
        <v>0</v>
      </c>
      <c r="K25" s="492">
        <v>135</v>
      </c>
      <c r="L25" s="492" t="s">
        <v>1295</v>
      </c>
      <c r="M25" s="492" t="s">
        <v>1296</v>
      </c>
      <c r="N25" s="492" t="s">
        <v>2</v>
      </c>
      <c r="O25" s="492">
        <v>135</v>
      </c>
      <c r="P25" s="492" t="s">
        <v>109</v>
      </c>
      <c r="Q25" s="492">
        <v>1</v>
      </c>
      <c r="R25" s="492"/>
      <c r="S25" s="492"/>
      <c r="T25" s="492"/>
      <c r="U25" s="492"/>
      <c r="V25" s="492"/>
      <c r="W25" s="492"/>
      <c r="X25" s="492"/>
      <c r="Y25" s="492">
        <v>391459</v>
      </c>
      <c r="Z25" s="492">
        <v>8187199</v>
      </c>
      <c r="AA25" s="492">
        <v>10053.4134341152</v>
      </c>
      <c r="AB25" s="492">
        <v>12238.2563796089</v>
      </c>
      <c r="AC25" s="492">
        <v>6</v>
      </c>
      <c r="AD25" s="492">
        <v>23443</v>
      </c>
      <c r="AE25" s="492" t="s">
        <v>1297</v>
      </c>
      <c r="AF25" s="492" t="s">
        <v>1298</v>
      </c>
      <c r="AG25" s="492" t="s">
        <v>1299</v>
      </c>
      <c r="AH25" s="492" t="s">
        <v>1300</v>
      </c>
      <c r="AI25" s="492">
        <v>1</v>
      </c>
      <c r="AJ25" s="492" t="s">
        <v>1301</v>
      </c>
      <c r="AK25" s="492" t="s">
        <v>1302</v>
      </c>
      <c r="AL25" s="492"/>
      <c r="AM25" s="492"/>
      <c r="AN25" s="492"/>
      <c r="AO25" s="492"/>
      <c r="AP25" s="492"/>
      <c r="AQ25" s="492"/>
      <c r="AR25" s="492"/>
      <c r="AS25" s="492"/>
      <c r="AT25" s="492"/>
      <c r="AU25" s="492"/>
      <c r="AV25" s="492"/>
      <c r="AW25" s="492"/>
      <c r="AX25" s="492"/>
      <c r="AY25" s="492"/>
      <c r="AZ25" s="492"/>
      <c r="BA25" s="492"/>
      <c r="BB25" s="493">
        <v>32303</v>
      </c>
      <c r="BC25" s="494">
        <v>0.375</v>
      </c>
      <c r="BD25" s="493">
        <v>47989</v>
      </c>
      <c r="BE25" s="494">
        <v>0.99998842592592596</v>
      </c>
      <c r="BF25" s="493">
        <v>32639</v>
      </c>
      <c r="BG25" s="494">
        <v>0</v>
      </c>
      <c r="BH25" s="492" t="s">
        <v>1303</v>
      </c>
      <c r="BI25" s="492">
        <v>597.20000000000005</v>
      </c>
      <c r="BJ25" s="492" t="s">
        <v>1304</v>
      </c>
      <c r="BK25" s="492"/>
      <c r="BL25" s="493">
        <v>45551</v>
      </c>
      <c r="BM25" s="492" t="s">
        <v>1305</v>
      </c>
      <c r="BN25" s="492" t="s">
        <v>1301</v>
      </c>
      <c r="BO25" s="492">
        <v>0.16432140619605901</v>
      </c>
      <c r="BP25" s="492">
        <v>5.0513892581900005E-4</v>
      </c>
    </row>
    <row r="26" spans="1:68" ht="75">
      <c r="A26" s="492" t="s">
        <v>448</v>
      </c>
      <c r="B26" s="492">
        <v>391436</v>
      </c>
      <c r="C26" s="492">
        <v>8187207</v>
      </c>
      <c r="D26" s="492">
        <v>172</v>
      </c>
      <c r="E26" s="492">
        <v>289</v>
      </c>
      <c r="F26" s="492">
        <v>60</v>
      </c>
      <c r="G26" s="492" t="b">
        <v>0</v>
      </c>
      <c r="H26" s="492" t="b">
        <v>0</v>
      </c>
      <c r="I26" s="492">
        <v>10</v>
      </c>
      <c r="J26" s="492" t="b">
        <v>0</v>
      </c>
      <c r="K26" s="492">
        <v>90</v>
      </c>
      <c r="L26" s="492" t="s">
        <v>1295</v>
      </c>
      <c r="M26" s="492" t="s">
        <v>1296</v>
      </c>
      <c r="N26" s="492" t="s">
        <v>1</v>
      </c>
      <c r="O26" s="492">
        <v>90</v>
      </c>
      <c r="P26" s="492" t="s">
        <v>109</v>
      </c>
      <c r="Q26" s="492">
        <v>1</v>
      </c>
      <c r="R26" s="492"/>
      <c r="S26" s="492"/>
      <c r="T26" s="492"/>
      <c r="U26" s="492"/>
      <c r="V26" s="492"/>
      <c r="W26" s="492"/>
      <c r="X26" s="492"/>
      <c r="Y26" s="492">
        <v>391436</v>
      </c>
      <c r="Z26" s="492">
        <v>8187207</v>
      </c>
      <c r="AA26" s="492">
        <v>10029.0550464279</v>
      </c>
      <c r="AB26" s="492">
        <v>12238.3796914955</v>
      </c>
      <c r="AC26" s="492">
        <v>6</v>
      </c>
      <c r="AD26" s="492">
        <v>23443</v>
      </c>
      <c r="AE26" s="492" t="s">
        <v>1297</v>
      </c>
      <c r="AF26" s="492" t="s">
        <v>1298</v>
      </c>
      <c r="AG26" s="492" t="s">
        <v>1299</v>
      </c>
      <c r="AH26" s="492" t="s">
        <v>1300</v>
      </c>
      <c r="AI26" s="492">
        <v>1</v>
      </c>
      <c r="AJ26" s="492" t="s">
        <v>1301</v>
      </c>
      <c r="AK26" s="492" t="s">
        <v>1302</v>
      </c>
      <c r="AL26" s="492"/>
      <c r="AM26" s="492"/>
      <c r="AN26" s="492"/>
      <c r="AO26" s="492"/>
      <c r="AP26" s="492"/>
      <c r="AQ26" s="492"/>
      <c r="AR26" s="492"/>
      <c r="AS26" s="492"/>
      <c r="AT26" s="492"/>
      <c r="AU26" s="492"/>
      <c r="AV26" s="492"/>
      <c r="AW26" s="492"/>
      <c r="AX26" s="492"/>
      <c r="AY26" s="492"/>
      <c r="AZ26" s="492"/>
      <c r="BA26" s="492"/>
      <c r="BB26" s="493">
        <v>32303</v>
      </c>
      <c r="BC26" s="494">
        <v>0.375</v>
      </c>
      <c r="BD26" s="493">
        <v>47989</v>
      </c>
      <c r="BE26" s="494">
        <v>0.99998842592592596</v>
      </c>
      <c r="BF26" s="493">
        <v>32639</v>
      </c>
      <c r="BG26" s="494">
        <v>0</v>
      </c>
      <c r="BH26" s="492" t="s">
        <v>1303</v>
      </c>
      <c r="BI26" s="492">
        <v>597.20000000000005</v>
      </c>
      <c r="BJ26" s="492" t="s">
        <v>1304</v>
      </c>
      <c r="BK26" s="492"/>
      <c r="BL26" s="493">
        <v>45551</v>
      </c>
      <c r="BM26" s="492" t="s">
        <v>1305</v>
      </c>
      <c r="BN26" s="492" t="s">
        <v>1301</v>
      </c>
      <c r="BO26" s="492">
        <v>0.16432140619605901</v>
      </c>
      <c r="BP26" s="492">
        <v>5.0513892581900005E-4</v>
      </c>
    </row>
    <row r="27" spans="1:68" ht="75">
      <c r="A27" s="492" t="s">
        <v>668</v>
      </c>
      <c r="B27" s="492">
        <v>391414</v>
      </c>
      <c r="C27" s="492">
        <v>8187215</v>
      </c>
      <c r="D27" s="492">
        <v>172</v>
      </c>
      <c r="E27" s="492">
        <v>289</v>
      </c>
      <c r="F27" s="492">
        <v>60</v>
      </c>
      <c r="G27" s="492" t="b">
        <v>0</v>
      </c>
      <c r="H27" s="492" t="b">
        <v>0</v>
      </c>
      <c r="I27" s="492">
        <v>10</v>
      </c>
      <c r="J27" s="492" t="b">
        <v>0</v>
      </c>
      <c r="K27" s="492">
        <v>45</v>
      </c>
      <c r="L27" s="492" t="s">
        <v>1295</v>
      </c>
      <c r="M27" s="492" t="s">
        <v>1296</v>
      </c>
      <c r="N27" s="492" t="s">
        <v>2</v>
      </c>
      <c r="O27" s="492">
        <v>45</v>
      </c>
      <c r="P27" s="492" t="s">
        <v>109</v>
      </c>
      <c r="Q27" s="492">
        <v>1</v>
      </c>
      <c r="R27" s="492"/>
      <c r="S27" s="492"/>
      <c r="T27" s="492"/>
      <c r="U27" s="492"/>
      <c r="V27" s="492"/>
      <c r="W27" s="492"/>
      <c r="X27" s="492"/>
      <c r="Y27" s="492">
        <v>391414</v>
      </c>
      <c r="Z27" s="492">
        <v>8187215</v>
      </c>
      <c r="AA27" s="492">
        <v>10005.6430827081</v>
      </c>
      <c r="AB27" s="492">
        <v>12238.8268329435</v>
      </c>
      <c r="AC27" s="492">
        <v>6</v>
      </c>
      <c r="AD27" s="492">
        <v>23443</v>
      </c>
      <c r="AE27" s="492" t="s">
        <v>1297</v>
      </c>
      <c r="AF27" s="492" t="s">
        <v>1298</v>
      </c>
      <c r="AG27" s="492" t="s">
        <v>1299</v>
      </c>
      <c r="AH27" s="492" t="s">
        <v>1300</v>
      </c>
      <c r="AI27" s="492">
        <v>1</v>
      </c>
      <c r="AJ27" s="492" t="s">
        <v>1301</v>
      </c>
      <c r="AK27" s="492" t="s">
        <v>1302</v>
      </c>
      <c r="AL27" s="492"/>
      <c r="AM27" s="492"/>
      <c r="AN27" s="492"/>
      <c r="AO27" s="492"/>
      <c r="AP27" s="492"/>
      <c r="AQ27" s="492"/>
      <c r="AR27" s="492"/>
      <c r="AS27" s="492"/>
      <c r="AT27" s="492"/>
      <c r="AU27" s="492"/>
      <c r="AV27" s="492"/>
      <c r="AW27" s="492"/>
      <c r="AX27" s="492"/>
      <c r="AY27" s="492"/>
      <c r="AZ27" s="492"/>
      <c r="BA27" s="492"/>
      <c r="BB27" s="493">
        <v>32303</v>
      </c>
      <c r="BC27" s="494">
        <v>0.375</v>
      </c>
      <c r="BD27" s="493">
        <v>47989</v>
      </c>
      <c r="BE27" s="494">
        <v>0.99998842592592596</v>
      </c>
      <c r="BF27" s="493">
        <v>32639</v>
      </c>
      <c r="BG27" s="494">
        <v>0</v>
      </c>
      <c r="BH27" s="492" t="s">
        <v>1303</v>
      </c>
      <c r="BI27" s="492">
        <v>597.20000000000005</v>
      </c>
      <c r="BJ27" s="492" t="s">
        <v>1304</v>
      </c>
      <c r="BK27" s="492"/>
      <c r="BL27" s="493">
        <v>45551</v>
      </c>
      <c r="BM27" s="492" t="s">
        <v>1305</v>
      </c>
      <c r="BN27" s="492" t="s">
        <v>1301</v>
      </c>
      <c r="BO27" s="492">
        <v>0.16432140619605901</v>
      </c>
      <c r="BP27" s="492">
        <v>5.0513892581900005E-4</v>
      </c>
    </row>
    <row r="28" spans="1:68" ht="75">
      <c r="A28" s="492" t="s">
        <v>666</v>
      </c>
      <c r="B28" s="492">
        <v>391485</v>
      </c>
      <c r="C28" s="492">
        <v>8187269</v>
      </c>
      <c r="D28" s="492">
        <v>171</v>
      </c>
      <c r="E28" s="492">
        <v>289</v>
      </c>
      <c r="F28" s="492">
        <v>60</v>
      </c>
      <c r="G28" s="492" t="b">
        <v>0</v>
      </c>
      <c r="H28" s="492" t="b">
        <v>0</v>
      </c>
      <c r="I28" s="492">
        <v>10</v>
      </c>
      <c r="J28" s="492" t="b">
        <v>0</v>
      </c>
      <c r="K28" s="492">
        <v>135</v>
      </c>
      <c r="L28" s="492" t="s">
        <v>1295</v>
      </c>
      <c r="M28" s="492" t="s">
        <v>1296</v>
      </c>
      <c r="N28" s="492" t="s">
        <v>2</v>
      </c>
      <c r="O28" s="492">
        <v>135</v>
      </c>
      <c r="P28" s="492" t="s">
        <v>109</v>
      </c>
      <c r="Q28" s="492">
        <v>1</v>
      </c>
      <c r="R28" s="492"/>
      <c r="S28" s="492"/>
      <c r="T28" s="492"/>
      <c r="U28" s="492"/>
      <c r="V28" s="492"/>
      <c r="W28" s="492"/>
      <c r="X28" s="492"/>
      <c r="Y28" s="492">
        <v>391485</v>
      </c>
      <c r="Z28" s="492">
        <v>8187269</v>
      </c>
      <c r="AA28" s="492">
        <v>10055.352388159299</v>
      </c>
      <c r="AB28" s="492">
        <v>12312.925625747001</v>
      </c>
      <c r="AC28" s="492">
        <v>6</v>
      </c>
      <c r="AD28" s="492">
        <v>23443</v>
      </c>
      <c r="AE28" s="492" t="s">
        <v>1297</v>
      </c>
      <c r="AF28" s="492" t="s">
        <v>1298</v>
      </c>
      <c r="AG28" s="492" t="s">
        <v>1299</v>
      </c>
      <c r="AH28" s="492" t="s">
        <v>1300</v>
      </c>
      <c r="AI28" s="492">
        <v>1</v>
      </c>
      <c r="AJ28" s="492" t="s">
        <v>1301</v>
      </c>
      <c r="AK28" s="492" t="s">
        <v>1302</v>
      </c>
      <c r="AL28" s="492"/>
      <c r="AM28" s="492"/>
      <c r="AN28" s="492"/>
      <c r="AO28" s="492"/>
      <c r="AP28" s="492"/>
      <c r="AQ28" s="492"/>
      <c r="AR28" s="492"/>
      <c r="AS28" s="492"/>
      <c r="AT28" s="492"/>
      <c r="AU28" s="492"/>
      <c r="AV28" s="492"/>
      <c r="AW28" s="492"/>
      <c r="AX28" s="492"/>
      <c r="AY28" s="492"/>
      <c r="AZ28" s="492"/>
      <c r="BA28" s="492"/>
      <c r="BB28" s="493">
        <v>32303</v>
      </c>
      <c r="BC28" s="494">
        <v>0.375</v>
      </c>
      <c r="BD28" s="493">
        <v>47989</v>
      </c>
      <c r="BE28" s="494">
        <v>0.99998842592592596</v>
      </c>
      <c r="BF28" s="493">
        <v>32639</v>
      </c>
      <c r="BG28" s="494">
        <v>0</v>
      </c>
      <c r="BH28" s="492" t="s">
        <v>1303</v>
      </c>
      <c r="BI28" s="492">
        <v>597.20000000000005</v>
      </c>
      <c r="BJ28" s="492" t="s">
        <v>1304</v>
      </c>
      <c r="BK28" s="492"/>
      <c r="BL28" s="493">
        <v>45551</v>
      </c>
      <c r="BM28" s="492" t="s">
        <v>1305</v>
      </c>
      <c r="BN28" s="492" t="s">
        <v>1301</v>
      </c>
      <c r="BO28" s="492">
        <v>0.16432140619605901</v>
      </c>
      <c r="BP28" s="492">
        <v>5.0513892581900005E-4</v>
      </c>
    </row>
    <row r="29" spans="1:68" ht="75">
      <c r="A29" s="492" t="s">
        <v>665</v>
      </c>
      <c r="B29" s="492">
        <v>391463</v>
      </c>
      <c r="C29" s="492">
        <v>8187277</v>
      </c>
      <c r="D29" s="492">
        <v>172</v>
      </c>
      <c r="E29" s="492">
        <v>289</v>
      </c>
      <c r="F29" s="492">
        <v>60</v>
      </c>
      <c r="G29" s="492" t="b">
        <v>0</v>
      </c>
      <c r="H29" s="492" t="b">
        <v>0</v>
      </c>
      <c r="I29" s="492">
        <v>10</v>
      </c>
      <c r="J29" s="492" t="b">
        <v>0</v>
      </c>
      <c r="K29" s="492">
        <v>90</v>
      </c>
      <c r="L29" s="492" t="s">
        <v>1295</v>
      </c>
      <c r="M29" s="492" t="s">
        <v>1296</v>
      </c>
      <c r="N29" s="492" t="s">
        <v>2</v>
      </c>
      <c r="O29" s="492">
        <v>90</v>
      </c>
      <c r="P29" s="492" t="s">
        <v>109</v>
      </c>
      <c r="Q29" s="492">
        <v>1</v>
      </c>
      <c r="R29" s="492"/>
      <c r="S29" s="492"/>
      <c r="T29" s="492"/>
      <c r="U29" s="492"/>
      <c r="V29" s="492"/>
      <c r="W29" s="492"/>
      <c r="X29" s="492"/>
      <c r="Y29" s="492">
        <v>391463</v>
      </c>
      <c r="Z29" s="492">
        <v>8187277</v>
      </c>
      <c r="AA29" s="492">
        <v>10031.9404244367</v>
      </c>
      <c r="AB29" s="492">
        <v>12313.372767192301</v>
      </c>
      <c r="AC29" s="492">
        <v>6</v>
      </c>
      <c r="AD29" s="492">
        <v>23443</v>
      </c>
      <c r="AE29" s="492" t="s">
        <v>1297</v>
      </c>
      <c r="AF29" s="492" t="s">
        <v>1298</v>
      </c>
      <c r="AG29" s="492" t="s">
        <v>1299</v>
      </c>
      <c r="AH29" s="492" t="s">
        <v>1300</v>
      </c>
      <c r="AI29" s="492">
        <v>1</v>
      </c>
      <c r="AJ29" s="492" t="s">
        <v>1301</v>
      </c>
      <c r="AK29" s="492" t="s">
        <v>1302</v>
      </c>
      <c r="AL29" s="492"/>
      <c r="AM29" s="492"/>
      <c r="AN29" s="492"/>
      <c r="AO29" s="492"/>
      <c r="AP29" s="492"/>
      <c r="AQ29" s="492"/>
      <c r="AR29" s="492"/>
      <c r="AS29" s="492"/>
      <c r="AT29" s="492"/>
      <c r="AU29" s="492"/>
      <c r="AV29" s="492"/>
      <c r="AW29" s="492"/>
      <c r="AX29" s="492"/>
      <c r="AY29" s="492"/>
      <c r="AZ29" s="492"/>
      <c r="BA29" s="492"/>
      <c r="BB29" s="493">
        <v>32303</v>
      </c>
      <c r="BC29" s="494">
        <v>0.375</v>
      </c>
      <c r="BD29" s="493">
        <v>47989</v>
      </c>
      <c r="BE29" s="494">
        <v>0.99998842592592596</v>
      </c>
      <c r="BF29" s="493">
        <v>32639</v>
      </c>
      <c r="BG29" s="494">
        <v>0</v>
      </c>
      <c r="BH29" s="492" t="s">
        <v>1303</v>
      </c>
      <c r="BI29" s="492">
        <v>597.20000000000005</v>
      </c>
      <c r="BJ29" s="492" t="s">
        <v>1304</v>
      </c>
      <c r="BK29" s="492"/>
      <c r="BL29" s="493">
        <v>45551</v>
      </c>
      <c r="BM29" s="492" t="s">
        <v>1305</v>
      </c>
      <c r="BN29" s="492" t="s">
        <v>1301</v>
      </c>
      <c r="BO29" s="492">
        <v>0.16432140619605901</v>
      </c>
      <c r="BP29" s="492">
        <v>5.0513892581900005E-4</v>
      </c>
    </row>
    <row r="30" spans="1:68" ht="75">
      <c r="A30" s="492" t="s">
        <v>662</v>
      </c>
      <c r="B30" s="492">
        <v>391440</v>
      </c>
      <c r="C30" s="492">
        <v>8187285</v>
      </c>
      <c r="D30" s="492">
        <v>172</v>
      </c>
      <c r="E30" s="492">
        <v>289</v>
      </c>
      <c r="F30" s="492">
        <v>60</v>
      </c>
      <c r="G30" s="492" t="b">
        <v>0</v>
      </c>
      <c r="H30" s="492" t="b">
        <v>0</v>
      </c>
      <c r="I30" s="492">
        <v>10</v>
      </c>
      <c r="J30" s="492" t="b">
        <v>0</v>
      </c>
      <c r="K30" s="492">
        <v>45</v>
      </c>
      <c r="L30" s="492" t="s">
        <v>1295</v>
      </c>
      <c r="M30" s="492" t="s">
        <v>1296</v>
      </c>
      <c r="N30" s="492" t="s">
        <v>2</v>
      </c>
      <c r="O30" s="492">
        <v>45</v>
      </c>
      <c r="P30" s="492" t="s">
        <v>109</v>
      </c>
      <c r="Q30" s="492">
        <v>1</v>
      </c>
      <c r="R30" s="492"/>
      <c r="S30" s="492"/>
      <c r="T30" s="492"/>
      <c r="U30" s="492"/>
      <c r="V30" s="492"/>
      <c r="W30" s="492"/>
      <c r="X30" s="492"/>
      <c r="Y30" s="492">
        <v>391440</v>
      </c>
      <c r="Z30" s="492">
        <v>8187285</v>
      </c>
      <c r="AA30" s="492">
        <v>10007.5820367503</v>
      </c>
      <c r="AB30" s="492">
        <v>12313.4960790816</v>
      </c>
      <c r="AC30" s="492">
        <v>6</v>
      </c>
      <c r="AD30" s="492">
        <v>23443</v>
      </c>
      <c r="AE30" s="492" t="s">
        <v>1297</v>
      </c>
      <c r="AF30" s="492" t="s">
        <v>1298</v>
      </c>
      <c r="AG30" s="492" t="s">
        <v>1299</v>
      </c>
      <c r="AH30" s="492" t="s">
        <v>1300</v>
      </c>
      <c r="AI30" s="492">
        <v>1</v>
      </c>
      <c r="AJ30" s="492" t="s">
        <v>1301</v>
      </c>
      <c r="AK30" s="492" t="s">
        <v>1302</v>
      </c>
      <c r="AL30" s="492"/>
      <c r="AM30" s="492"/>
      <c r="AN30" s="492"/>
      <c r="AO30" s="492"/>
      <c r="AP30" s="492"/>
      <c r="AQ30" s="492"/>
      <c r="AR30" s="492"/>
      <c r="AS30" s="492"/>
      <c r="AT30" s="492"/>
      <c r="AU30" s="492"/>
      <c r="AV30" s="492"/>
      <c r="AW30" s="492"/>
      <c r="AX30" s="492"/>
      <c r="AY30" s="492"/>
      <c r="AZ30" s="492"/>
      <c r="BA30" s="492"/>
      <c r="BB30" s="493">
        <v>32303</v>
      </c>
      <c r="BC30" s="494">
        <v>0.375</v>
      </c>
      <c r="BD30" s="493">
        <v>47989</v>
      </c>
      <c r="BE30" s="494">
        <v>0.99998842592592596</v>
      </c>
      <c r="BF30" s="493">
        <v>32639</v>
      </c>
      <c r="BG30" s="494">
        <v>0</v>
      </c>
      <c r="BH30" s="492" t="s">
        <v>1303</v>
      </c>
      <c r="BI30" s="492">
        <v>597.20000000000005</v>
      </c>
      <c r="BJ30" s="492" t="s">
        <v>1304</v>
      </c>
      <c r="BK30" s="492"/>
      <c r="BL30" s="493">
        <v>45551</v>
      </c>
      <c r="BM30" s="492" t="s">
        <v>1305</v>
      </c>
      <c r="BN30" s="492" t="s">
        <v>1301</v>
      </c>
      <c r="BO30" s="492">
        <v>0.16432140619605901</v>
      </c>
      <c r="BP30" s="492">
        <v>5.0513892581900005E-4</v>
      </c>
    </row>
    <row r="31" spans="1:68" ht="75">
      <c r="A31" s="492" t="s">
        <v>681</v>
      </c>
      <c r="B31" s="492">
        <v>391333</v>
      </c>
      <c r="C31" s="492">
        <v>81869489</v>
      </c>
      <c r="D31" s="492">
        <v>179</v>
      </c>
      <c r="E31" s="492">
        <v>289</v>
      </c>
      <c r="F31" s="492">
        <v>60</v>
      </c>
      <c r="G31" s="492" t="b">
        <v>0</v>
      </c>
      <c r="H31" s="492" t="b">
        <v>0</v>
      </c>
      <c r="I31" s="492">
        <v>10</v>
      </c>
      <c r="J31" s="492" t="b">
        <v>0</v>
      </c>
      <c r="K31" s="492">
        <v>50</v>
      </c>
      <c r="L31" s="492" t="s">
        <v>1013</v>
      </c>
      <c r="M31" s="492" t="s">
        <v>1296</v>
      </c>
      <c r="N31" s="492" t="s">
        <v>2</v>
      </c>
      <c r="O31" s="492">
        <v>50</v>
      </c>
      <c r="P31" s="492" t="s">
        <v>109</v>
      </c>
      <c r="Q31" s="492">
        <v>3</v>
      </c>
      <c r="R31" s="492"/>
      <c r="S31" s="492"/>
      <c r="T31" s="492"/>
      <c r="U31" s="492"/>
      <c r="V31" s="495">
        <v>45840</v>
      </c>
      <c r="W31" s="492"/>
      <c r="X31" s="492"/>
      <c r="Y31" s="492">
        <v>391333</v>
      </c>
      <c r="Z31" s="492">
        <v>8186948</v>
      </c>
      <c r="AA31" s="492">
        <v>10015.4452334991</v>
      </c>
      <c r="AB31" s="492">
        <v>11959.9014397868</v>
      </c>
      <c r="AC31" s="492">
        <v>6</v>
      </c>
      <c r="AD31" s="492">
        <v>23443</v>
      </c>
      <c r="AE31" s="492" t="s">
        <v>1297</v>
      </c>
      <c r="AF31" s="492" t="s">
        <v>1298</v>
      </c>
      <c r="AG31" s="492" t="s">
        <v>1299</v>
      </c>
      <c r="AH31" s="492" t="s">
        <v>1300</v>
      </c>
      <c r="AI31" s="492">
        <v>1</v>
      </c>
      <c r="AJ31" s="492" t="s">
        <v>1301</v>
      </c>
      <c r="AK31" s="492" t="s">
        <v>1302</v>
      </c>
      <c r="AL31" s="492"/>
      <c r="AM31" s="492"/>
      <c r="AN31" s="492"/>
      <c r="AO31" s="492"/>
      <c r="AP31" s="492"/>
      <c r="AQ31" s="492"/>
      <c r="AR31" s="492"/>
      <c r="AS31" s="492"/>
      <c r="AT31" s="492"/>
      <c r="AU31" s="492"/>
      <c r="AV31" s="492"/>
      <c r="AW31" s="492"/>
      <c r="AX31" s="492"/>
      <c r="AY31" s="492"/>
      <c r="AZ31" s="492"/>
      <c r="BA31" s="492"/>
      <c r="BB31" s="493">
        <v>32303</v>
      </c>
      <c r="BC31" s="494">
        <v>0.375</v>
      </c>
      <c r="BD31" s="493">
        <v>47989</v>
      </c>
      <c r="BE31" s="494">
        <v>0.99998842592592596</v>
      </c>
      <c r="BF31" s="493">
        <v>32639</v>
      </c>
      <c r="BG31" s="494">
        <v>0</v>
      </c>
      <c r="BH31" s="492" t="s">
        <v>1303</v>
      </c>
      <c r="BI31" s="492">
        <v>597.20000000000005</v>
      </c>
      <c r="BJ31" s="492" t="s">
        <v>1304</v>
      </c>
      <c r="BK31" s="492"/>
      <c r="BL31" s="493">
        <v>45551</v>
      </c>
      <c r="BM31" s="492" t="s">
        <v>1305</v>
      </c>
      <c r="BN31" s="492" t="s">
        <v>1301</v>
      </c>
      <c r="BO31" s="492">
        <v>0.16432140619605901</v>
      </c>
      <c r="BP31" s="492">
        <v>5.0513892581900005E-4</v>
      </c>
    </row>
    <row r="32" spans="1:68" ht="75">
      <c r="A32" s="492" t="s">
        <v>682</v>
      </c>
      <c r="B32" s="492">
        <v>391352</v>
      </c>
      <c r="C32" s="492">
        <v>8186941</v>
      </c>
      <c r="D32" s="492">
        <v>178</v>
      </c>
      <c r="E32" s="492">
        <v>289</v>
      </c>
      <c r="F32" s="492">
        <v>60</v>
      </c>
      <c r="G32" s="492" t="b">
        <v>0</v>
      </c>
      <c r="H32" s="492" t="b">
        <v>0</v>
      </c>
      <c r="I32" s="492">
        <v>10</v>
      </c>
      <c r="J32" s="492" t="b">
        <v>0</v>
      </c>
      <c r="K32" s="492">
        <v>100</v>
      </c>
      <c r="L32" s="492" t="s">
        <v>1013</v>
      </c>
      <c r="M32" s="492" t="s">
        <v>1296</v>
      </c>
      <c r="N32" s="492" t="s">
        <v>2</v>
      </c>
      <c r="O32" s="492">
        <v>100</v>
      </c>
      <c r="P32" s="492" t="s">
        <v>109</v>
      </c>
      <c r="Q32" s="492">
        <v>3</v>
      </c>
      <c r="R32" s="492"/>
      <c r="S32" s="492"/>
      <c r="T32" s="492"/>
      <c r="U32" s="492"/>
      <c r="V32" s="495">
        <v>45840</v>
      </c>
      <c r="W32" s="492"/>
      <c r="X32" s="492"/>
      <c r="Y32" s="492">
        <v>391352</v>
      </c>
      <c r="Z32" s="492">
        <v>8186941</v>
      </c>
      <c r="AA32" s="492">
        <v>10035.6940957633</v>
      </c>
      <c r="AB32" s="492">
        <v>11959.4292336329</v>
      </c>
      <c r="AC32" s="492">
        <v>6</v>
      </c>
      <c r="AD32" s="492">
        <v>23443</v>
      </c>
      <c r="AE32" s="492" t="s">
        <v>1297</v>
      </c>
      <c r="AF32" s="492" t="s">
        <v>1298</v>
      </c>
      <c r="AG32" s="492" t="s">
        <v>1299</v>
      </c>
      <c r="AH32" s="492" t="s">
        <v>1300</v>
      </c>
      <c r="AI32" s="492">
        <v>1</v>
      </c>
      <c r="AJ32" s="492" t="s">
        <v>1301</v>
      </c>
      <c r="AK32" s="492" t="s">
        <v>1302</v>
      </c>
      <c r="AL32" s="492"/>
      <c r="AM32" s="492"/>
      <c r="AN32" s="492"/>
      <c r="AO32" s="492"/>
      <c r="AP32" s="492"/>
      <c r="AQ32" s="492"/>
      <c r="AR32" s="492"/>
      <c r="AS32" s="492"/>
      <c r="AT32" s="492"/>
      <c r="AU32" s="492"/>
      <c r="AV32" s="492"/>
      <c r="AW32" s="492"/>
      <c r="AX32" s="492"/>
      <c r="AY32" s="492"/>
      <c r="AZ32" s="492"/>
      <c r="BA32" s="492"/>
      <c r="BB32" s="493">
        <v>32303</v>
      </c>
      <c r="BC32" s="494">
        <v>0.375</v>
      </c>
      <c r="BD32" s="493">
        <v>47989</v>
      </c>
      <c r="BE32" s="494">
        <v>0.99998842592592596</v>
      </c>
      <c r="BF32" s="493">
        <v>32639</v>
      </c>
      <c r="BG32" s="494">
        <v>0</v>
      </c>
      <c r="BH32" s="492" t="s">
        <v>1303</v>
      </c>
      <c r="BI32" s="492">
        <v>597.20000000000005</v>
      </c>
      <c r="BJ32" s="492" t="s">
        <v>1304</v>
      </c>
      <c r="BK32" s="492"/>
      <c r="BL32" s="493">
        <v>45551</v>
      </c>
      <c r="BM32" s="492" t="s">
        <v>1305</v>
      </c>
      <c r="BN32" s="492" t="s">
        <v>1301</v>
      </c>
      <c r="BO32" s="492">
        <v>0.16432140619605901</v>
      </c>
      <c r="BP32" s="492">
        <v>5.0513892581900005E-4</v>
      </c>
    </row>
    <row r="33" spans="1:68" ht="75">
      <c r="A33" s="492" t="s">
        <v>1185</v>
      </c>
      <c r="B33" s="492">
        <v>390190</v>
      </c>
      <c r="C33" s="492">
        <v>8185279</v>
      </c>
      <c r="D33" s="492">
        <v>170</v>
      </c>
      <c r="E33" s="492">
        <v>0</v>
      </c>
      <c r="F33" s="492">
        <v>90</v>
      </c>
      <c r="G33" s="492" t="b">
        <v>0</v>
      </c>
      <c r="H33" s="492" t="b">
        <v>0</v>
      </c>
      <c r="I33" s="492">
        <v>10</v>
      </c>
      <c r="J33" s="492" t="b">
        <v>0</v>
      </c>
      <c r="K33" s="492">
        <v>100</v>
      </c>
      <c r="L33" s="492" t="s">
        <v>1309</v>
      </c>
      <c r="M33" s="492" t="s">
        <v>1296</v>
      </c>
      <c r="N33" s="492" t="s">
        <v>2</v>
      </c>
      <c r="O33" s="492">
        <v>100</v>
      </c>
      <c r="P33" s="492" t="s">
        <v>1310</v>
      </c>
      <c r="Q33" s="492">
        <v>3</v>
      </c>
      <c r="R33" s="492"/>
      <c r="S33" s="492"/>
      <c r="T33" s="492"/>
      <c r="U33" s="492"/>
      <c r="V33" s="492"/>
      <c r="W33" s="492"/>
      <c r="X33" s="492"/>
      <c r="Y33" s="492">
        <v>390190</v>
      </c>
      <c r="Z33" s="492">
        <v>8185279</v>
      </c>
      <c r="AA33" s="492">
        <v>9474.1541729350502</v>
      </c>
      <c r="AB33" s="492">
        <v>10010.1826553018</v>
      </c>
      <c r="AC33" s="492">
        <v>6</v>
      </c>
      <c r="AD33" s="492">
        <v>23443</v>
      </c>
      <c r="AE33" s="492" t="s">
        <v>1297</v>
      </c>
      <c r="AF33" s="492" t="s">
        <v>1298</v>
      </c>
      <c r="AG33" s="492" t="s">
        <v>1299</v>
      </c>
      <c r="AH33" s="492" t="s">
        <v>1300</v>
      </c>
      <c r="AI33" s="492">
        <v>1</v>
      </c>
      <c r="AJ33" s="492" t="s">
        <v>1301</v>
      </c>
      <c r="AK33" s="492" t="s">
        <v>1302</v>
      </c>
      <c r="AL33" s="492"/>
      <c r="AM33" s="492"/>
      <c r="AN33" s="492"/>
      <c r="AO33" s="492"/>
      <c r="AP33" s="492"/>
      <c r="AQ33" s="492"/>
      <c r="AR33" s="492"/>
      <c r="AS33" s="492"/>
      <c r="AT33" s="492"/>
      <c r="AU33" s="492"/>
      <c r="AV33" s="492"/>
      <c r="AW33" s="492"/>
      <c r="AX33" s="492"/>
      <c r="AY33" s="492"/>
      <c r="AZ33" s="492"/>
      <c r="BA33" s="492"/>
      <c r="BB33" s="493">
        <v>32303</v>
      </c>
      <c r="BC33" s="494">
        <v>0.375</v>
      </c>
      <c r="BD33" s="493">
        <v>47989</v>
      </c>
      <c r="BE33" s="494">
        <v>0.99998842592592596</v>
      </c>
      <c r="BF33" s="493">
        <v>32639</v>
      </c>
      <c r="BG33" s="494">
        <v>0</v>
      </c>
      <c r="BH33" s="492" t="s">
        <v>1303</v>
      </c>
      <c r="BI33" s="492">
        <v>597.20000000000005</v>
      </c>
      <c r="BJ33" s="492" t="s">
        <v>1304</v>
      </c>
      <c r="BK33" s="492"/>
      <c r="BL33" s="493">
        <v>45551</v>
      </c>
      <c r="BM33" s="492" t="s">
        <v>1305</v>
      </c>
      <c r="BN33" s="492" t="s">
        <v>1301</v>
      </c>
      <c r="BO33" s="492">
        <v>0.16432140619605901</v>
      </c>
      <c r="BP33" s="492">
        <v>5.0513892581900005E-4</v>
      </c>
    </row>
    <row r="34" spans="1:68" ht="75">
      <c r="A34" s="492" t="s">
        <v>1364</v>
      </c>
      <c r="B34" s="492"/>
      <c r="C34" s="492"/>
      <c r="D34" s="492"/>
      <c r="E34" s="492"/>
      <c r="F34" s="492"/>
      <c r="G34" s="492"/>
      <c r="H34" s="492"/>
      <c r="I34" s="492"/>
      <c r="J34" s="492"/>
      <c r="K34" s="492"/>
      <c r="L34" s="492"/>
      <c r="M34" s="492"/>
      <c r="N34" s="492"/>
      <c r="O34" s="492"/>
      <c r="P34" s="492"/>
      <c r="Q34" s="492"/>
      <c r="R34" s="492"/>
      <c r="S34" s="492"/>
      <c r="T34" s="492"/>
      <c r="U34" s="492"/>
      <c r="V34" s="492"/>
      <c r="W34" s="492"/>
      <c r="X34" s="492"/>
      <c r="Y34" s="492"/>
      <c r="Z34" s="492"/>
      <c r="AA34" s="492"/>
      <c r="AB34" s="492"/>
      <c r="AC34" s="492">
        <v>6</v>
      </c>
      <c r="AD34" s="492">
        <v>23443</v>
      </c>
      <c r="AE34" s="492" t="s">
        <v>1297</v>
      </c>
      <c r="AF34" s="492" t="s">
        <v>1298</v>
      </c>
      <c r="AG34" s="492" t="s">
        <v>1299</v>
      </c>
      <c r="AH34" s="492" t="s">
        <v>1300</v>
      </c>
      <c r="AI34" s="492">
        <v>1</v>
      </c>
      <c r="AJ34" s="492" t="s">
        <v>1301</v>
      </c>
      <c r="AK34" s="492" t="s">
        <v>1302</v>
      </c>
      <c r="AL34" s="492"/>
      <c r="AM34" s="492"/>
      <c r="AN34" s="492"/>
      <c r="AO34" s="492"/>
      <c r="AP34" s="492"/>
      <c r="AQ34" s="492"/>
      <c r="AR34" s="492"/>
      <c r="AS34" s="492"/>
      <c r="AT34" s="492"/>
      <c r="AU34" s="492"/>
      <c r="AV34" s="492"/>
      <c r="AW34" s="492"/>
      <c r="AX34" s="492"/>
      <c r="AY34" s="492"/>
      <c r="AZ34" s="492"/>
      <c r="BA34" s="492"/>
      <c r="BB34" s="493">
        <v>32303</v>
      </c>
      <c r="BC34" s="494">
        <v>0.375</v>
      </c>
      <c r="BD34" s="493">
        <v>47989</v>
      </c>
      <c r="BE34" s="494">
        <v>0.99998842592592596</v>
      </c>
      <c r="BF34" s="493">
        <v>32639</v>
      </c>
      <c r="BG34" s="494">
        <v>0</v>
      </c>
      <c r="BH34" s="492" t="s">
        <v>1303</v>
      </c>
      <c r="BI34" s="492">
        <v>597.20000000000005</v>
      </c>
      <c r="BJ34" s="492" t="s">
        <v>1304</v>
      </c>
      <c r="BK34" s="492"/>
      <c r="BL34" s="493">
        <v>45551</v>
      </c>
      <c r="BM34" s="492" t="s">
        <v>1305</v>
      </c>
      <c r="BN34" s="492" t="s">
        <v>1301</v>
      </c>
      <c r="BO34" s="492">
        <v>0.16432140619605901</v>
      </c>
      <c r="BP34" s="492">
        <v>5.0513892581900005E-4</v>
      </c>
    </row>
    <row r="35" spans="1:68" ht="75">
      <c r="A35" s="492" t="s">
        <v>769</v>
      </c>
      <c r="B35" s="492">
        <v>391433</v>
      </c>
      <c r="C35" s="492">
        <v>8186238</v>
      </c>
      <c r="D35" s="492">
        <v>175</v>
      </c>
      <c r="E35" s="492">
        <v>109</v>
      </c>
      <c r="F35" s="492">
        <v>55</v>
      </c>
      <c r="G35" s="492" t="b">
        <v>0</v>
      </c>
      <c r="H35" s="492" t="b">
        <v>0</v>
      </c>
      <c r="I35" s="492">
        <v>10</v>
      </c>
      <c r="J35" s="492" t="b">
        <v>0</v>
      </c>
      <c r="K35" s="492">
        <v>50</v>
      </c>
      <c r="L35" s="492" t="s">
        <v>1311</v>
      </c>
      <c r="M35" s="492" t="s">
        <v>1296</v>
      </c>
      <c r="N35" s="492" t="s">
        <v>2</v>
      </c>
      <c r="O35" s="492">
        <v>50</v>
      </c>
      <c r="P35" s="492" t="s">
        <v>109</v>
      </c>
      <c r="Q35" s="492">
        <v>3</v>
      </c>
      <c r="R35" s="492"/>
      <c r="S35" s="492"/>
      <c r="T35" s="492"/>
      <c r="U35" s="492"/>
      <c r="V35" s="492"/>
      <c r="W35" s="492"/>
      <c r="X35" s="492"/>
      <c r="Y35" s="492">
        <v>391433</v>
      </c>
      <c r="Z35" s="492">
        <v>8186238</v>
      </c>
      <c r="AA35" s="492">
        <v>10340.0066164704</v>
      </c>
      <c r="AB35" s="492">
        <v>11320.323379723301</v>
      </c>
      <c r="AC35" s="492">
        <v>6</v>
      </c>
      <c r="AD35" s="492">
        <v>23443</v>
      </c>
      <c r="AE35" s="492" t="s">
        <v>1297</v>
      </c>
      <c r="AF35" s="492" t="s">
        <v>1298</v>
      </c>
      <c r="AG35" s="492" t="s">
        <v>1299</v>
      </c>
      <c r="AH35" s="492" t="s">
        <v>1300</v>
      </c>
      <c r="AI35" s="492">
        <v>1</v>
      </c>
      <c r="AJ35" s="492" t="s">
        <v>1301</v>
      </c>
      <c r="AK35" s="492" t="s">
        <v>1302</v>
      </c>
      <c r="AL35" s="492"/>
      <c r="AM35" s="492"/>
      <c r="AN35" s="492"/>
      <c r="AO35" s="492"/>
      <c r="AP35" s="492"/>
      <c r="AQ35" s="492"/>
      <c r="AR35" s="492"/>
      <c r="AS35" s="492"/>
      <c r="AT35" s="492"/>
      <c r="AU35" s="492"/>
      <c r="AV35" s="492"/>
      <c r="AW35" s="492"/>
      <c r="AX35" s="492"/>
      <c r="AY35" s="492"/>
      <c r="AZ35" s="492"/>
      <c r="BA35" s="492"/>
      <c r="BB35" s="493">
        <v>32303</v>
      </c>
      <c r="BC35" s="494">
        <v>0.375</v>
      </c>
      <c r="BD35" s="493">
        <v>47989</v>
      </c>
      <c r="BE35" s="494">
        <v>0.99998842592592596</v>
      </c>
      <c r="BF35" s="493">
        <v>32639</v>
      </c>
      <c r="BG35" s="494">
        <v>0</v>
      </c>
      <c r="BH35" s="492" t="s">
        <v>1303</v>
      </c>
      <c r="BI35" s="492">
        <v>597.20000000000005</v>
      </c>
      <c r="BJ35" s="492" t="s">
        <v>1304</v>
      </c>
      <c r="BK35" s="492"/>
      <c r="BL35" s="493">
        <v>45551</v>
      </c>
      <c r="BM35" s="492" t="s">
        <v>1305</v>
      </c>
      <c r="BN35" s="492" t="s">
        <v>1301</v>
      </c>
      <c r="BO35" s="492">
        <v>0.16432140619605901</v>
      </c>
      <c r="BP35" s="492">
        <v>5.0513892581900005E-4</v>
      </c>
    </row>
    <row r="36" spans="1:68" ht="75">
      <c r="A36" s="492" t="s">
        <v>768</v>
      </c>
      <c r="B36" s="492">
        <v>391395</v>
      </c>
      <c r="C36" s="492">
        <v>8186251</v>
      </c>
      <c r="D36" s="492">
        <v>174</v>
      </c>
      <c r="E36" s="492">
        <v>109</v>
      </c>
      <c r="F36" s="492">
        <v>55</v>
      </c>
      <c r="G36" s="492" t="b">
        <v>0</v>
      </c>
      <c r="H36" s="492" t="b">
        <v>0</v>
      </c>
      <c r="I36" s="492">
        <v>10</v>
      </c>
      <c r="J36" s="492" t="b">
        <v>0</v>
      </c>
      <c r="K36" s="492">
        <v>114</v>
      </c>
      <c r="L36" s="492" t="s">
        <v>1311</v>
      </c>
      <c r="M36" s="492" t="s">
        <v>1296</v>
      </c>
      <c r="N36" s="492" t="s">
        <v>2</v>
      </c>
      <c r="O36" s="492">
        <v>114</v>
      </c>
      <c r="P36" s="492" t="s">
        <v>109</v>
      </c>
      <c r="Q36" s="492">
        <v>3</v>
      </c>
      <c r="R36" s="492"/>
      <c r="S36" s="492"/>
      <c r="T36" s="492"/>
      <c r="U36" s="492"/>
      <c r="V36" s="492"/>
      <c r="W36" s="492"/>
      <c r="X36" s="492"/>
      <c r="Y36" s="492">
        <v>391395</v>
      </c>
      <c r="Z36" s="492">
        <v>8186251</v>
      </c>
      <c r="AA36" s="492">
        <v>10299.8327214992</v>
      </c>
      <c r="AB36" s="492">
        <v>11320.321368065601</v>
      </c>
      <c r="AC36" s="492">
        <v>6</v>
      </c>
      <c r="AD36" s="492">
        <v>23443</v>
      </c>
      <c r="AE36" s="492" t="s">
        <v>1297</v>
      </c>
      <c r="AF36" s="492" t="s">
        <v>1298</v>
      </c>
      <c r="AG36" s="492" t="s">
        <v>1299</v>
      </c>
      <c r="AH36" s="492" t="s">
        <v>1300</v>
      </c>
      <c r="AI36" s="492">
        <v>1</v>
      </c>
      <c r="AJ36" s="492" t="s">
        <v>1301</v>
      </c>
      <c r="AK36" s="492" t="s">
        <v>1302</v>
      </c>
      <c r="AL36" s="492"/>
      <c r="AM36" s="492"/>
      <c r="AN36" s="492"/>
      <c r="AO36" s="492"/>
      <c r="AP36" s="492"/>
      <c r="AQ36" s="492"/>
      <c r="AR36" s="492"/>
      <c r="AS36" s="492"/>
      <c r="AT36" s="492"/>
      <c r="AU36" s="492"/>
      <c r="AV36" s="492"/>
      <c r="AW36" s="492"/>
      <c r="AX36" s="492"/>
      <c r="AY36" s="492"/>
      <c r="AZ36" s="492"/>
      <c r="BA36" s="492"/>
      <c r="BB36" s="493">
        <v>32303</v>
      </c>
      <c r="BC36" s="494">
        <v>0.375</v>
      </c>
      <c r="BD36" s="493">
        <v>47989</v>
      </c>
      <c r="BE36" s="494">
        <v>0.99998842592592596</v>
      </c>
      <c r="BF36" s="493">
        <v>32639</v>
      </c>
      <c r="BG36" s="494">
        <v>0</v>
      </c>
      <c r="BH36" s="492" t="s">
        <v>1303</v>
      </c>
      <c r="BI36" s="492">
        <v>597.20000000000005</v>
      </c>
      <c r="BJ36" s="492" t="s">
        <v>1304</v>
      </c>
      <c r="BK36" s="492"/>
      <c r="BL36" s="493">
        <v>45551</v>
      </c>
      <c r="BM36" s="492" t="s">
        <v>1305</v>
      </c>
      <c r="BN36" s="492" t="s">
        <v>1301</v>
      </c>
      <c r="BO36" s="492">
        <v>0.16432140619605901</v>
      </c>
      <c r="BP36" s="492">
        <v>5.0513892581900005E-4</v>
      </c>
    </row>
    <row r="37" spans="1:68" ht="75">
      <c r="A37" s="492" t="s">
        <v>766</v>
      </c>
      <c r="B37" s="492">
        <v>391357</v>
      </c>
      <c r="C37" s="492">
        <v>8186264</v>
      </c>
      <c r="D37" s="492">
        <v>175</v>
      </c>
      <c r="E37" s="492">
        <v>109</v>
      </c>
      <c r="F37" s="492">
        <v>57</v>
      </c>
      <c r="G37" s="492" t="b">
        <v>0</v>
      </c>
      <c r="H37" s="492" t="b">
        <v>0</v>
      </c>
      <c r="I37" s="492">
        <v>10</v>
      </c>
      <c r="J37" s="492" t="b">
        <v>0</v>
      </c>
      <c r="K37" s="492">
        <v>190</v>
      </c>
      <c r="L37" s="492" t="s">
        <v>1311</v>
      </c>
      <c r="M37" s="492" t="s">
        <v>1296</v>
      </c>
      <c r="N37" s="492" t="s">
        <v>2</v>
      </c>
      <c r="O37" s="492">
        <v>190</v>
      </c>
      <c r="P37" s="492" t="s">
        <v>109</v>
      </c>
      <c r="Q37" s="492">
        <v>3</v>
      </c>
      <c r="R37" s="492"/>
      <c r="S37" s="492"/>
      <c r="T37" s="492"/>
      <c r="U37" s="492"/>
      <c r="V37" s="492"/>
      <c r="W37" s="492"/>
      <c r="X37" s="492"/>
      <c r="Y37" s="492">
        <v>391357</v>
      </c>
      <c r="Z37" s="492">
        <v>8186264</v>
      </c>
      <c r="AA37" s="492">
        <v>10259.658826528999</v>
      </c>
      <c r="AB37" s="492">
        <v>11320.319356407899</v>
      </c>
      <c r="AC37" s="492">
        <v>6</v>
      </c>
      <c r="AD37" s="492">
        <v>23443</v>
      </c>
      <c r="AE37" s="492" t="s">
        <v>1297</v>
      </c>
      <c r="AF37" s="492" t="s">
        <v>1298</v>
      </c>
      <c r="AG37" s="492" t="s">
        <v>1299</v>
      </c>
      <c r="AH37" s="492" t="s">
        <v>1300</v>
      </c>
      <c r="AI37" s="492">
        <v>1</v>
      </c>
      <c r="AJ37" s="492" t="s">
        <v>1301</v>
      </c>
      <c r="AK37" s="492" t="s">
        <v>1302</v>
      </c>
      <c r="AL37" s="492"/>
      <c r="AM37" s="492"/>
      <c r="AN37" s="492"/>
      <c r="AO37" s="492"/>
      <c r="AP37" s="492"/>
      <c r="AQ37" s="492"/>
      <c r="AR37" s="492"/>
      <c r="AS37" s="492"/>
      <c r="AT37" s="492"/>
      <c r="AU37" s="492"/>
      <c r="AV37" s="492"/>
      <c r="AW37" s="492"/>
      <c r="AX37" s="492"/>
      <c r="AY37" s="492"/>
      <c r="AZ37" s="492"/>
      <c r="BA37" s="492"/>
      <c r="BB37" s="493">
        <v>32303</v>
      </c>
      <c r="BC37" s="494">
        <v>0.375</v>
      </c>
      <c r="BD37" s="493">
        <v>47989</v>
      </c>
      <c r="BE37" s="494">
        <v>0.99998842592592596</v>
      </c>
      <c r="BF37" s="493">
        <v>32639</v>
      </c>
      <c r="BG37" s="494">
        <v>0</v>
      </c>
      <c r="BH37" s="492" t="s">
        <v>1303</v>
      </c>
      <c r="BI37" s="492">
        <v>597.20000000000005</v>
      </c>
      <c r="BJ37" s="492" t="s">
        <v>1304</v>
      </c>
      <c r="BK37" s="492"/>
      <c r="BL37" s="493">
        <v>45551</v>
      </c>
      <c r="BM37" s="492" t="s">
        <v>1305</v>
      </c>
      <c r="BN37" s="492" t="s">
        <v>1301</v>
      </c>
      <c r="BO37" s="492">
        <v>0.16432140619605901</v>
      </c>
      <c r="BP37" s="492">
        <v>5.0513892581900005E-4</v>
      </c>
    </row>
    <row r="38" spans="1:68" ht="75">
      <c r="A38" s="492" t="s">
        <v>815</v>
      </c>
      <c r="B38" s="492">
        <v>391468</v>
      </c>
      <c r="C38" s="492">
        <v>8186310</v>
      </c>
      <c r="D38" s="492">
        <v>173</v>
      </c>
      <c r="E38" s="492">
        <v>109</v>
      </c>
      <c r="F38" s="492">
        <v>60</v>
      </c>
      <c r="G38" s="492" t="b">
        <v>0</v>
      </c>
      <c r="H38" s="492" t="b">
        <v>0</v>
      </c>
      <c r="I38" s="492">
        <v>10</v>
      </c>
      <c r="J38" s="492" t="b">
        <v>0</v>
      </c>
      <c r="K38" s="492">
        <v>42</v>
      </c>
      <c r="L38" s="492" t="s">
        <v>1311</v>
      </c>
      <c r="M38" s="492" t="s">
        <v>1296</v>
      </c>
      <c r="N38" s="492" t="s">
        <v>2</v>
      </c>
      <c r="O38" s="492">
        <v>42</v>
      </c>
      <c r="P38" s="492" t="s">
        <v>109</v>
      </c>
      <c r="Q38" s="492">
        <v>3</v>
      </c>
      <c r="R38" s="492"/>
      <c r="S38" s="492"/>
      <c r="T38" s="492"/>
      <c r="U38" s="492"/>
      <c r="V38" s="492"/>
      <c r="W38" s="492"/>
      <c r="X38" s="492"/>
      <c r="Y38" s="492">
        <v>391468</v>
      </c>
      <c r="Z38" s="492">
        <v>8186310</v>
      </c>
      <c r="AA38" s="492">
        <v>10349.8157270913</v>
      </c>
      <c r="AB38" s="492">
        <v>11399.799939816799</v>
      </c>
      <c r="AC38" s="492">
        <v>6</v>
      </c>
      <c r="AD38" s="492">
        <v>23443</v>
      </c>
      <c r="AE38" s="492" t="s">
        <v>1297</v>
      </c>
      <c r="AF38" s="492" t="s">
        <v>1298</v>
      </c>
      <c r="AG38" s="492" t="s">
        <v>1299</v>
      </c>
      <c r="AH38" s="492" t="s">
        <v>1300</v>
      </c>
      <c r="AI38" s="492">
        <v>1</v>
      </c>
      <c r="AJ38" s="492" t="s">
        <v>1301</v>
      </c>
      <c r="AK38" s="492" t="s">
        <v>1302</v>
      </c>
      <c r="AL38" s="492"/>
      <c r="AM38" s="492"/>
      <c r="AN38" s="492"/>
      <c r="AO38" s="492"/>
      <c r="AP38" s="492"/>
      <c r="AQ38" s="492"/>
      <c r="AR38" s="492"/>
      <c r="AS38" s="492"/>
      <c r="AT38" s="492"/>
      <c r="AU38" s="492"/>
      <c r="AV38" s="492"/>
      <c r="AW38" s="492"/>
      <c r="AX38" s="492"/>
      <c r="AY38" s="492"/>
      <c r="AZ38" s="492"/>
      <c r="BA38" s="492"/>
      <c r="BB38" s="493">
        <v>32303</v>
      </c>
      <c r="BC38" s="494">
        <v>0.375</v>
      </c>
      <c r="BD38" s="493">
        <v>47989</v>
      </c>
      <c r="BE38" s="494">
        <v>0.99998842592592596</v>
      </c>
      <c r="BF38" s="493">
        <v>32639</v>
      </c>
      <c r="BG38" s="494">
        <v>0</v>
      </c>
      <c r="BH38" s="492" t="s">
        <v>1303</v>
      </c>
      <c r="BI38" s="492">
        <v>597.20000000000005</v>
      </c>
      <c r="BJ38" s="492" t="s">
        <v>1304</v>
      </c>
      <c r="BK38" s="492"/>
      <c r="BL38" s="493">
        <v>45551</v>
      </c>
      <c r="BM38" s="492" t="s">
        <v>1305</v>
      </c>
      <c r="BN38" s="492" t="s">
        <v>1301</v>
      </c>
      <c r="BO38" s="492">
        <v>0.16432140619605901</v>
      </c>
      <c r="BP38" s="492">
        <v>5.0513892581900005E-4</v>
      </c>
    </row>
    <row r="39" spans="1:68" ht="75">
      <c r="A39" s="492" t="s">
        <v>816</v>
      </c>
      <c r="B39" s="492">
        <v>391430</v>
      </c>
      <c r="C39" s="492">
        <v>8186323</v>
      </c>
      <c r="D39" s="492">
        <v>173</v>
      </c>
      <c r="E39" s="492">
        <v>109</v>
      </c>
      <c r="F39" s="492">
        <v>60</v>
      </c>
      <c r="G39" s="492" t="b">
        <v>0</v>
      </c>
      <c r="H39" s="492" t="b">
        <v>0</v>
      </c>
      <c r="I39" s="492">
        <v>10</v>
      </c>
      <c r="J39" s="492" t="b">
        <v>0</v>
      </c>
      <c r="K39" s="492">
        <v>84</v>
      </c>
      <c r="L39" s="492" t="s">
        <v>1311</v>
      </c>
      <c r="M39" s="492" t="s">
        <v>1296</v>
      </c>
      <c r="N39" s="492" t="s">
        <v>2</v>
      </c>
      <c r="O39" s="492">
        <v>84</v>
      </c>
      <c r="P39" s="492" t="s">
        <v>109</v>
      </c>
      <c r="Q39" s="492">
        <v>3</v>
      </c>
      <c r="R39" s="492"/>
      <c r="S39" s="492"/>
      <c r="T39" s="492"/>
      <c r="U39" s="492"/>
      <c r="V39" s="492"/>
      <c r="W39" s="492"/>
      <c r="X39" s="492"/>
      <c r="Y39" s="492">
        <v>391430</v>
      </c>
      <c r="Z39" s="492">
        <v>8186323</v>
      </c>
      <c r="AA39" s="492">
        <v>10309.641832118299</v>
      </c>
      <c r="AB39" s="492">
        <v>11399.7979281609</v>
      </c>
      <c r="AC39" s="492">
        <v>6</v>
      </c>
      <c r="AD39" s="492">
        <v>23443</v>
      </c>
      <c r="AE39" s="492" t="s">
        <v>1297</v>
      </c>
      <c r="AF39" s="492" t="s">
        <v>1298</v>
      </c>
      <c r="AG39" s="492" t="s">
        <v>1299</v>
      </c>
      <c r="AH39" s="492" t="s">
        <v>1300</v>
      </c>
      <c r="AI39" s="492">
        <v>1</v>
      </c>
      <c r="AJ39" s="492" t="s">
        <v>1301</v>
      </c>
      <c r="AK39" s="492" t="s">
        <v>1302</v>
      </c>
      <c r="AL39" s="492"/>
      <c r="AM39" s="492"/>
      <c r="AN39" s="492"/>
      <c r="AO39" s="492"/>
      <c r="AP39" s="492"/>
      <c r="AQ39" s="492"/>
      <c r="AR39" s="492"/>
      <c r="AS39" s="492"/>
      <c r="AT39" s="492"/>
      <c r="AU39" s="492"/>
      <c r="AV39" s="492"/>
      <c r="AW39" s="492"/>
      <c r="AX39" s="492"/>
      <c r="AY39" s="492"/>
      <c r="AZ39" s="492"/>
      <c r="BA39" s="492"/>
      <c r="BB39" s="493">
        <v>32303</v>
      </c>
      <c r="BC39" s="494">
        <v>0.375</v>
      </c>
      <c r="BD39" s="493">
        <v>47989</v>
      </c>
      <c r="BE39" s="494">
        <v>0.99998842592592596</v>
      </c>
      <c r="BF39" s="493">
        <v>32639</v>
      </c>
      <c r="BG39" s="494">
        <v>0</v>
      </c>
      <c r="BH39" s="492" t="s">
        <v>1303</v>
      </c>
      <c r="BI39" s="492">
        <v>597.20000000000005</v>
      </c>
      <c r="BJ39" s="492" t="s">
        <v>1304</v>
      </c>
      <c r="BK39" s="492"/>
      <c r="BL39" s="493">
        <v>45551</v>
      </c>
      <c r="BM39" s="492" t="s">
        <v>1305</v>
      </c>
      <c r="BN39" s="492" t="s">
        <v>1301</v>
      </c>
      <c r="BO39" s="492">
        <v>0.16432140619605901</v>
      </c>
      <c r="BP39" s="492">
        <v>5.0513892581900005E-4</v>
      </c>
    </row>
    <row r="40" spans="1:68" ht="75">
      <c r="A40" s="492" t="s">
        <v>820</v>
      </c>
      <c r="B40" s="492">
        <v>391504</v>
      </c>
      <c r="C40" s="492">
        <v>8186383</v>
      </c>
      <c r="D40" s="492">
        <v>174</v>
      </c>
      <c r="E40" s="492">
        <v>109</v>
      </c>
      <c r="F40" s="492">
        <v>56</v>
      </c>
      <c r="G40" s="492" t="b">
        <v>0</v>
      </c>
      <c r="H40" s="492" t="b">
        <v>0</v>
      </c>
      <c r="I40" s="492">
        <v>10</v>
      </c>
      <c r="J40" s="492" t="b">
        <v>0</v>
      </c>
      <c r="K40" s="492">
        <v>133</v>
      </c>
      <c r="L40" s="492" t="s">
        <v>1311</v>
      </c>
      <c r="M40" s="492" t="s">
        <v>1296</v>
      </c>
      <c r="N40" s="492" t="s">
        <v>2</v>
      </c>
      <c r="O40" s="492">
        <v>133</v>
      </c>
      <c r="P40" s="492" t="s">
        <v>109</v>
      </c>
      <c r="Q40" s="492">
        <v>3</v>
      </c>
      <c r="R40" s="492"/>
      <c r="S40" s="492"/>
      <c r="T40" s="492"/>
      <c r="U40" s="492"/>
      <c r="V40" s="492"/>
      <c r="W40" s="492"/>
      <c r="X40" s="492"/>
      <c r="Y40" s="492">
        <v>391504</v>
      </c>
      <c r="Z40" s="492">
        <v>8186383</v>
      </c>
      <c r="AA40" s="492">
        <v>10360.2474321192</v>
      </c>
      <c r="AB40" s="492">
        <v>11480.5467534372</v>
      </c>
      <c r="AC40" s="492">
        <v>6</v>
      </c>
      <c r="AD40" s="492">
        <v>23443</v>
      </c>
      <c r="AE40" s="492" t="s">
        <v>1297</v>
      </c>
      <c r="AF40" s="492" t="s">
        <v>1298</v>
      </c>
      <c r="AG40" s="492" t="s">
        <v>1299</v>
      </c>
      <c r="AH40" s="492" t="s">
        <v>1300</v>
      </c>
      <c r="AI40" s="492">
        <v>1</v>
      </c>
      <c r="AJ40" s="492" t="s">
        <v>1301</v>
      </c>
      <c r="AK40" s="492" t="s">
        <v>1302</v>
      </c>
      <c r="AL40" s="492"/>
      <c r="AM40" s="492"/>
      <c r="AN40" s="492"/>
      <c r="AO40" s="492"/>
      <c r="AP40" s="492"/>
      <c r="AQ40" s="492"/>
      <c r="AR40" s="492"/>
      <c r="AS40" s="492"/>
      <c r="AT40" s="492"/>
      <c r="AU40" s="492"/>
      <c r="AV40" s="492"/>
      <c r="AW40" s="492"/>
      <c r="AX40" s="492"/>
      <c r="AY40" s="492"/>
      <c r="AZ40" s="492"/>
      <c r="BA40" s="492"/>
      <c r="BB40" s="493">
        <v>32303</v>
      </c>
      <c r="BC40" s="494">
        <v>0.375</v>
      </c>
      <c r="BD40" s="493">
        <v>47989</v>
      </c>
      <c r="BE40" s="494">
        <v>0.99998842592592596</v>
      </c>
      <c r="BF40" s="493">
        <v>32639</v>
      </c>
      <c r="BG40" s="494">
        <v>0</v>
      </c>
      <c r="BH40" s="492" t="s">
        <v>1303</v>
      </c>
      <c r="BI40" s="492">
        <v>597.20000000000005</v>
      </c>
      <c r="BJ40" s="492" t="s">
        <v>1304</v>
      </c>
      <c r="BK40" s="492"/>
      <c r="BL40" s="493">
        <v>45551</v>
      </c>
      <c r="BM40" s="492" t="s">
        <v>1305</v>
      </c>
      <c r="BN40" s="492" t="s">
        <v>1301</v>
      </c>
      <c r="BO40" s="492">
        <v>0.16432140619605901</v>
      </c>
      <c r="BP40" s="492">
        <v>5.0513892581900005E-4</v>
      </c>
    </row>
    <row r="41" spans="1:68" ht="75">
      <c r="A41" s="492" t="s">
        <v>1029</v>
      </c>
      <c r="B41" s="492">
        <v>391311</v>
      </c>
      <c r="C41" s="492">
        <v>8186786</v>
      </c>
      <c r="D41" s="492">
        <v>194</v>
      </c>
      <c r="E41" s="492">
        <v>279</v>
      </c>
      <c r="F41" s="492">
        <v>60</v>
      </c>
      <c r="G41" s="492" t="b">
        <v>0</v>
      </c>
      <c r="H41" s="492" t="b">
        <v>0</v>
      </c>
      <c r="I41" s="492">
        <v>10</v>
      </c>
      <c r="J41" s="492" t="b">
        <v>0</v>
      </c>
      <c r="K41" s="492">
        <v>85</v>
      </c>
      <c r="L41" s="492" t="s">
        <v>1013</v>
      </c>
      <c r="M41" s="492" t="s">
        <v>1312</v>
      </c>
      <c r="N41" s="492" t="s">
        <v>2</v>
      </c>
      <c r="O41" s="492">
        <v>80</v>
      </c>
      <c r="P41" s="492" t="s">
        <v>109</v>
      </c>
      <c r="Q41" s="492">
        <v>3</v>
      </c>
      <c r="R41" s="492" t="b">
        <v>1</v>
      </c>
      <c r="S41" s="492" t="b">
        <v>1</v>
      </c>
      <c r="T41" s="492"/>
      <c r="U41" s="492"/>
      <c r="V41" s="492"/>
      <c r="W41" s="492"/>
      <c r="X41" s="492"/>
      <c r="Y41" s="492">
        <v>391317.728633183</v>
      </c>
      <c r="Z41" s="492">
        <v>8186793.5217565401</v>
      </c>
      <c r="AA41" s="492">
        <v>10051.0166672864</v>
      </c>
      <c r="AB41" s="492">
        <v>11808.7542079752</v>
      </c>
      <c r="AC41" s="492">
        <v>6</v>
      </c>
      <c r="AD41" s="492">
        <v>23443</v>
      </c>
      <c r="AE41" s="492" t="s">
        <v>1297</v>
      </c>
      <c r="AF41" s="492" t="s">
        <v>1298</v>
      </c>
      <c r="AG41" s="492" t="s">
        <v>1299</v>
      </c>
      <c r="AH41" s="492" t="s">
        <v>1300</v>
      </c>
      <c r="AI41" s="492">
        <v>1</v>
      </c>
      <c r="AJ41" s="492" t="s">
        <v>1301</v>
      </c>
      <c r="AK41" s="492" t="s">
        <v>1302</v>
      </c>
      <c r="AL41" s="492"/>
      <c r="AM41" s="492"/>
      <c r="AN41" s="492"/>
      <c r="AO41" s="492"/>
      <c r="AP41" s="492"/>
      <c r="AQ41" s="492"/>
      <c r="AR41" s="492"/>
      <c r="AS41" s="492"/>
      <c r="AT41" s="492"/>
      <c r="AU41" s="492"/>
      <c r="AV41" s="492"/>
      <c r="AW41" s="492"/>
      <c r="AX41" s="492"/>
      <c r="AY41" s="492"/>
      <c r="AZ41" s="492"/>
      <c r="BA41" s="492"/>
      <c r="BB41" s="493">
        <v>32303</v>
      </c>
      <c r="BC41" s="494">
        <v>0.375</v>
      </c>
      <c r="BD41" s="493">
        <v>47989</v>
      </c>
      <c r="BE41" s="494">
        <v>0.99998842592592596</v>
      </c>
      <c r="BF41" s="493">
        <v>32639</v>
      </c>
      <c r="BG41" s="494">
        <v>0</v>
      </c>
      <c r="BH41" s="492" t="s">
        <v>1303</v>
      </c>
      <c r="BI41" s="492">
        <v>597.20000000000005</v>
      </c>
      <c r="BJ41" s="492" t="s">
        <v>1304</v>
      </c>
      <c r="BK41" s="492"/>
      <c r="BL41" s="493">
        <v>45551</v>
      </c>
      <c r="BM41" s="492" t="s">
        <v>1305</v>
      </c>
      <c r="BN41" s="492" t="s">
        <v>1301</v>
      </c>
      <c r="BO41" s="492">
        <v>0.16432140619605901</v>
      </c>
      <c r="BP41" s="492">
        <v>5.0513892581900005E-4</v>
      </c>
    </row>
    <row r="42" spans="1:68" ht="75">
      <c r="A42" s="492" t="s">
        <v>1030</v>
      </c>
      <c r="B42" s="492">
        <v>391227</v>
      </c>
      <c r="C42" s="492">
        <v>8186773</v>
      </c>
      <c r="D42" s="492">
        <v>188</v>
      </c>
      <c r="E42" s="492">
        <v>109</v>
      </c>
      <c r="F42" s="492">
        <v>60</v>
      </c>
      <c r="G42" s="492" t="b">
        <v>0</v>
      </c>
      <c r="H42" s="492" t="b">
        <v>0</v>
      </c>
      <c r="I42" s="492">
        <v>10</v>
      </c>
      <c r="J42" s="492" t="b">
        <v>0</v>
      </c>
      <c r="K42" s="492">
        <v>120</v>
      </c>
      <c r="L42" s="492" t="s">
        <v>1013</v>
      </c>
      <c r="M42" s="492" t="s">
        <v>1308</v>
      </c>
      <c r="N42" s="492" t="s">
        <v>2</v>
      </c>
      <c r="O42" s="492">
        <v>120</v>
      </c>
      <c r="P42" s="492" t="s">
        <v>109</v>
      </c>
      <c r="Q42" s="492">
        <v>3</v>
      </c>
      <c r="R42" s="492"/>
      <c r="S42" s="492"/>
      <c r="T42" s="492"/>
      <c r="U42" s="492"/>
      <c r="V42" s="492"/>
      <c r="W42" s="492"/>
      <c r="X42" s="492"/>
      <c r="Y42" s="492">
        <v>391227</v>
      </c>
      <c r="Z42" s="492">
        <v>8186773</v>
      </c>
      <c r="AA42" s="492">
        <v>9971.7944657797907</v>
      </c>
      <c r="AB42" s="492">
        <v>11759.9513125512</v>
      </c>
      <c r="AC42" s="492">
        <v>6</v>
      </c>
      <c r="AD42" s="492">
        <v>23443</v>
      </c>
      <c r="AE42" s="492" t="s">
        <v>1297</v>
      </c>
      <c r="AF42" s="492" t="s">
        <v>1298</v>
      </c>
      <c r="AG42" s="492" t="s">
        <v>1299</v>
      </c>
      <c r="AH42" s="492" t="s">
        <v>1300</v>
      </c>
      <c r="AI42" s="492">
        <v>1</v>
      </c>
      <c r="AJ42" s="492" t="s">
        <v>1301</v>
      </c>
      <c r="AK42" s="492" t="s">
        <v>1302</v>
      </c>
      <c r="AL42" s="492"/>
      <c r="AM42" s="492"/>
      <c r="AN42" s="492"/>
      <c r="AO42" s="492"/>
      <c r="AP42" s="492"/>
      <c r="AQ42" s="492"/>
      <c r="AR42" s="492"/>
      <c r="AS42" s="492"/>
      <c r="AT42" s="492"/>
      <c r="AU42" s="492"/>
      <c r="AV42" s="492"/>
      <c r="AW42" s="492"/>
      <c r="AX42" s="492"/>
      <c r="AY42" s="492"/>
      <c r="AZ42" s="492"/>
      <c r="BA42" s="492"/>
      <c r="BB42" s="493">
        <v>32303</v>
      </c>
      <c r="BC42" s="494">
        <v>0.375</v>
      </c>
      <c r="BD42" s="493">
        <v>47989</v>
      </c>
      <c r="BE42" s="494">
        <v>0.99998842592592596</v>
      </c>
      <c r="BF42" s="493">
        <v>32639</v>
      </c>
      <c r="BG42" s="494">
        <v>0</v>
      </c>
      <c r="BH42" s="492" t="s">
        <v>1303</v>
      </c>
      <c r="BI42" s="492">
        <v>597.20000000000005</v>
      </c>
      <c r="BJ42" s="492" t="s">
        <v>1304</v>
      </c>
      <c r="BK42" s="492"/>
      <c r="BL42" s="493">
        <v>45551</v>
      </c>
      <c r="BM42" s="492" t="s">
        <v>1305</v>
      </c>
      <c r="BN42" s="492" t="s">
        <v>1301</v>
      </c>
      <c r="BO42" s="492">
        <v>0.16432140619605901</v>
      </c>
      <c r="BP42" s="492">
        <v>5.0513892581900005E-4</v>
      </c>
    </row>
    <row r="43" spans="1:68" ht="75">
      <c r="A43" s="492" t="s">
        <v>1031</v>
      </c>
      <c r="B43" s="492">
        <v>391194</v>
      </c>
      <c r="C43" s="492">
        <v>8186742</v>
      </c>
      <c r="D43" s="492">
        <v>187</v>
      </c>
      <c r="E43" s="492">
        <v>104</v>
      </c>
      <c r="F43" s="492">
        <v>60</v>
      </c>
      <c r="G43" s="492" t="b">
        <v>0</v>
      </c>
      <c r="H43" s="492" t="b">
        <v>0</v>
      </c>
      <c r="I43" s="492">
        <v>10</v>
      </c>
      <c r="J43" s="492" t="b">
        <v>0</v>
      </c>
      <c r="K43" s="492">
        <v>160</v>
      </c>
      <c r="L43" s="492" t="s">
        <v>1013</v>
      </c>
      <c r="M43" s="492" t="s">
        <v>1308</v>
      </c>
      <c r="N43" s="492" t="s">
        <v>2</v>
      </c>
      <c r="O43" s="492">
        <v>160</v>
      </c>
      <c r="P43" s="492" t="s">
        <v>109</v>
      </c>
      <c r="Q43" s="492">
        <v>3</v>
      </c>
      <c r="R43" s="492" t="b">
        <v>1</v>
      </c>
      <c r="S43" s="492" t="b">
        <v>1</v>
      </c>
      <c r="T43" s="492"/>
      <c r="U43" s="492"/>
      <c r="V43" s="492"/>
      <c r="W43" s="492"/>
      <c r="X43" s="492"/>
      <c r="Y43" s="492">
        <v>391192.86779269902</v>
      </c>
      <c r="Z43" s="492">
        <v>8186731.8695660504</v>
      </c>
      <c r="AA43" s="492">
        <v>9952.8101770295707</v>
      </c>
      <c r="AB43" s="492">
        <v>11709.971466518</v>
      </c>
      <c r="AC43" s="492">
        <v>6</v>
      </c>
      <c r="AD43" s="492">
        <v>23443</v>
      </c>
      <c r="AE43" s="492" t="s">
        <v>1297</v>
      </c>
      <c r="AF43" s="492" t="s">
        <v>1298</v>
      </c>
      <c r="AG43" s="492" t="s">
        <v>1299</v>
      </c>
      <c r="AH43" s="492" t="s">
        <v>1300</v>
      </c>
      <c r="AI43" s="492">
        <v>1</v>
      </c>
      <c r="AJ43" s="492" t="s">
        <v>1301</v>
      </c>
      <c r="AK43" s="492" t="s">
        <v>1302</v>
      </c>
      <c r="AL43" s="492"/>
      <c r="AM43" s="492"/>
      <c r="AN43" s="492"/>
      <c r="AO43" s="492"/>
      <c r="AP43" s="492"/>
      <c r="AQ43" s="492"/>
      <c r="AR43" s="492"/>
      <c r="AS43" s="492"/>
      <c r="AT43" s="492"/>
      <c r="AU43" s="492"/>
      <c r="AV43" s="492"/>
      <c r="AW43" s="492"/>
      <c r="AX43" s="492"/>
      <c r="AY43" s="492"/>
      <c r="AZ43" s="492"/>
      <c r="BA43" s="492"/>
      <c r="BB43" s="493">
        <v>32303</v>
      </c>
      <c r="BC43" s="494">
        <v>0.375</v>
      </c>
      <c r="BD43" s="493">
        <v>47989</v>
      </c>
      <c r="BE43" s="494">
        <v>0.99998842592592596</v>
      </c>
      <c r="BF43" s="493">
        <v>32639</v>
      </c>
      <c r="BG43" s="494">
        <v>0</v>
      </c>
      <c r="BH43" s="492" t="s">
        <v>1303</v>
      </c>
      <c r="BI43" s="492">
        <v>597.20000000000005</v>
      </c>
      <c r="BJ43" s="492" t="s">
        <v>1304</v>
      </c>
      <c r="BK43" s="492"/>
      <c r="BL43" s="493">
        <v>45551</v>
      </c>
      <c r="BM43" s="492" t="s">
        <v>1305</v>
      </c>
      <c r="BN43" s="492" t="s">
        <v>1301</v>
      </c>
      <c r="BO43" s="492">
        <v>0.16432140619605901</v>
      </c>
      <c r="BP43" s="492">
        <v>5.0513892581900005E-4</v>
      </c>
    </row>
    <row r="44" spans="1:68" ht="75">
      <c r="A44" s="492" t="s">
        <v>189</v>
      </c>
      <c r="B44" s="492">
        <v>391325</v>
      </c>
      <c r="C44" s="492">
        <v>8186910</v>
      </c>
      <c r="D44" s="492">
        <v>183</v>
      </c>
      <c r="E44" s="492">
        <v>20</v>
      </c>
      <c r="F44" s="492">
        <v>65</v>
      </c>
      <c r="G44" s="492" t="b">
        <v>0</v>
      </c>
      <c r="H44" s="492" t="b">
        <v>0</v>
      </c>
      <c r="I44" s="492">
        <v>10</v>
      </c>
      <c r="J44" s="492" t="b">
        <v>0</v>
      </c>
      <c r="K44" s="492">
        <v>100</v>
      </c>
      <c r="L44" s="492" t="s">
        <v>1313</v>
      </c>
      <c r="M44" s="492" t="s">
        <v>1296</v>
      </c>
      <c r="N44" s="492" t="s">
        <v>1</v>
      </c>
      <c r="O44" s="492">
        <v>100</v>
      </c>
      <c r="P44" s="492" t="s">
        <v>9</v>
      </c>
      <c r="Q44" s="492">
        <v>1</v>
      </c>
      <c r="R44" s="492"/>
      <c r="S44" s="492"/>
      <c r="T44" s="492"/>
      <c r="U44" s="492"/>
      <c r="V44" s="492"/>
      <c r="W44" s="492"/>
      <c r="X44" s="492"/>
      <c r="Y44" s="492">
        <v>391325</v>
      </c>
      <c r="Z44" s="492">
        <v>8186910</v>
      </c>
      <c r="AA44" s="492">
        <v>10020.1793649829</v>
      </c>
      <c r="AB44" s="492">
        <v>11921.3466926114</v>
      </c>
      <c r="AC44" s="492">
        <v>6</v>
      </c>
      <c r="AD44" s="492">
        <v>23443</v>
      </c>
      <c r="AE44" s="492" t="s">
        <v>1297</v>
      </c>
      <c r="AF44" s="492" t="s">
        <v>1298</v>
      </c>
      <c r="AG44" s="492" t="s">
        <v>1299</v>
      </c>
      <c r="AH44" s="492" t="s">
        <v>1300</v>
      </c>
      <c r="AI44" s="492">
        <v>1</v>
      </c>
      <c r="AJ44" s="492" t="s">
        <v>1301</v>
      </c>
      <c r="AK44" s="492" t="s">
        <v>1302</v>
      </c>
      <c r="AL44" s="492"/>
      <c r="AM44" s="492"/>
      <c r="AN44" s="492"/>
      <c r="AO44" s="492"/>
      <c r="AP44" s="492"/>
      <c r="AQ44" s="492"/>
      <c r="AR44" s="492"/>
      <c r="AS44" s="492"/>
      <c r="AT44" s="492"/>
      <c r="AU44" s="492"/>
      <c r="AV44" s="492"/>
      <c r="AW44" s="492"/>
      <c r="AX44" s="492"/>
      <c r="AY44" s="492"/>
      <c r="AZ44" s="492"/>
      <c r="BA44" s="492"/>
      <c r="BB44" s="493">
        <v>32303</v>
      </c>
      <c r="BC44" s="494">
        <v>0.375</v>
      </c>
      <c r="BD44" s="493">
        <v>47989</v>
      </c>
      <c r="BE44" s="494">
        <v>0.99998842592592596</v>
      </c>
      <c r="BF44" s="493">
        <v>32639</v>
      </c>
      <c r="BG44" s="494">
        <v>0</v>
      </c>
      <c r="BH44" s="492" t="s">
        <v>1303</v>
      </c>
      <c r="BI44" s="492">
        <v>597.20000000000005</v>
      </c>
      <c r="BJ44" s="492" t="s">
        <v>1304</v>
      </c>
      <c r="BK44" s="492"/>
      <c r="BL44" s="493">
        <v>45551</v>
      </c>
      <c r="BM44" s="492" t="s">
        <v>1305</v>
      </c>
      <c r="BN44" s="492" t="s">
        <v>1301</v>
      </c>
      <c r="BO44" s="492">
        <v>0.16432140619605901</v>
      </c>
      <c r="BP44" s="492">
        <v>5.0513892581900005E-4</v>
      </c>
    </row>
    <row r="45" spans="1:68" ht="75">
      <c r="A45" s="492" t="s">
        <v>1165</v>
      </c>
      <c r="B45" s="492">
        <v>391168</v>
      </c>
      <c r="C45" s="492">
        <v>8186979</v>
      </c>
      <c r="D45" s="492">
        <v>170</v>
      </c>
      <c r="E45" s="492">
        <v>0</v>
      </c>
      <c r="F45" s="492">
        <v>90</v>
      </c>
      <c r="G45" s="492" t="b">
        <v>0</v>
      </c>
      <c r="H45" s="492" t="b">
        <v>0</v>
      </c>
      <c r="I45" s="492">
        <v>10</v>
      </c>
      <c r="J45" s="492" t="b">
        <v>1</v>
      </c>
      <c r="K45" s="492">
        <v>120</v>
      </c>
      <c r="L45" s="492" t="s">
        <v>1314</v>
      </c>
      <c r="M45" s="492" t="s">
        <v>1296</v>
      </c>
      <c r="N45" s="492" t="s">
        <v>2</v>
      </c>
      <c r="O45" s="492">
        <v>120</v>
      </c>
      <c r="P45" s="492" t="s">
        <v>1310</v>
      </c>
      <c r="Q45" s="492">
        <v>1</v>
      </c>
      <c r="R45" s="492"/>
      <c r="S45" s="492"/>
      <c r="T45" s="492"/>
      <c r="U45" s="492"/>
      <c r="V45" s="492"/>
      <c r="W45" s="492"/>
      <c r="X45" s="492"/>
      <c r="Y45" s="492">
        <v>391168</v>
      </c>
      <c r="Z45" s="492">
        <v>8186979</v>
      </c>
      <c r="AA45" s="492">
        <v>9849.2465627789497</v>
      </c>
      <c r="AB45" s="492">
        <v>11935.8087056195</v>
      </c>
      <c r="AC45" s="492">
        <v>6</v>
      </c>
      <c r="AD45" s="492">
        <v>23443</v>
      </c>
      <c r="AE45" s="492" t="s">
        <v>1297</v>
      </c>
      <c r="AF45" s="492" t="s">
        <v>1298</v>
      </c>
      <c r="AG45" s="492" t="s">
        <v>1299</v>
      </c>
      <c r="AH45" s="492" t="s">
        <v>1300</v>
      </c>
      <c r="AI45" s="492">
        <v>1</v>
      </c>
      <c r="AJ45" s="492" t="s">
        <v>1301</v>
      </c>
      <c r="AK45" s="492" t="s">
        <v>1302</v>
      </c>
      <c r="AL45" s="492"/>
      <c r="AM45" s="492"/>
      <c r="AN45" s="492"/>
      <c r="AO45" s="492"/>
      <c r="AP45" s="492"/>
      <c r="AQ45" s="492"/>
      <c r="AR45" s="492"/>
      <c r="AS45" s="492"/>
      <c r="AT45" s="492"/>
      <c r="AU45" s="492"/>
      <c r="AV45" s="492"/>
      <c r="AW45" s="492"/>
      <c r="AX45" s="492"/>
      <c r="AY45" s="492"/>
      <c r="AZ45" s="492"/>
      <c r="BA45" s="492"/>
      <c r="BB45" s="493">
        <v>32303</v>
      </c>
      <c r="BC45" s="494">
        <v>0.375</v>
      </c>
      <c r="BD45" s="493">
        <v>47989</v>
      </c>
      <c r="BE45" s="494">
        <v>0.99998842592592596</v>
      </c>
      <c r="BF45" s="493">
        <v>32639</v>
      </c>
      <c r="BG45" s="494">
        <v>0</v>
      </c>
      <c r="BH45" s="492" t="s">
        <v>1303</v>
      </c>
      <c r="BI45" s="492">
        <v>597.20000000000005</v>
      </c>
      <c r="BJ45" s="492" t="s">
        <v>1304</v>
      </c>
      <c r="BK45" s="492"/>
      <c r="BL45" s="493">
        <v>45551</v>
      </c>
      <c r="BM45" s="492" t="s">
        <v>1305</v>
      </c>
      <c r="BN45" s="492" t="s">
        <v>1301</v>
      </c>
      <c r="BO45" s="492">
        <v>0.16432140619605901</v>
      </c>
      <c r="BP45" s="492">
        <v>5.0513892581900005E-4</v>
      </c>
    </row>
    <row r="46" spans="1:68" ht="75">
      <c r="A46" s="492" t="s">
        <v>1166</v>
      </c>
      <c r="B46" s="492">
        <v>391184</v>
      </c>
      <c r="C46" s="492">
        <v>8186957</v>
      </c>
      <c r="D46" s="492">
        <v>170</v>
      </c>
      <c r="E46" s="492">
        <v>0</v>
      </c>
      <c r="F46" s="492">
        <v>90</v>
      </c>
      <c r="G46" s="492" t="b">
        <v>0</v>
      </c>
      <c r="H46" s="492" t="b">
        <v>0</v>
      </c>
      <c r="I46" s="492">
        <v>10</v>
      </c>
      <c r="J46" s="492" t="b">
        <v>0</v>
      </c>
      <c r="K46" s="492">
        <v>120</v>
      </c>
      <c r="L46" s="492" t="s">
        <v>1315</v>
      </c>
      <c r="M46" s="492" t="s">
        <v>1296</v>
      </c>
      <c r="N46" s="492" t="s">
        <v>2</v>
      </c>
      <c r="O46" s="492">
        <v>120</v>
      </c>
      <c r="P46" s="492" t="s">
        <v>1310</v>
      </c>
      <c r="Q46" s="492">
        <v>1</v>
      </c>
      <c r="R46" s="492" t="b">
        <v>1</v>
      </c>
      <c r="S46" s="492" t="b">
        <v>1</v>
      </c>
      <c r="T46" s="492"/>
      <c r="U46" s="492"/>
      <c r="V46" s="492"/>
      <c r="W46" s="492"/>
      <c r="X46" s="492"/>
      <c r="Y46" s="492">
        <v>391189.834133172</v>
      </c>
      <c r="Z46" s="492">
        <v>8186967.0914735897</v>
      </c>
      <c r="AA46" s="492">
        <v>9873.7672425396704</v>
      </c>
      <c r="AB46" s="492">
        <v>11931.6087285298</v>
      </c>
      <c r="AC46" s="492">
        <v>6</v>
      </c>
      <c r="AD46" s="492">
        <v>23443</v>
      </c>
      <c r="AE46" s="492" t="s">
        <v>1297</v>
      </c>
      <c r="AF46" s="492" t="s">
        <v>1298</v>
      </c>
      <c r="AG46" s="492" t="s">
        <v>1299</v>
      </c>
      <c r="AH46" s="492" t="s">
        <v>1300</v>
      </c>
      <c r="AI46" s="492">
        <v>1</v>
      </c>
      <c r="AJ46" s="492" t="s">
        <v>1301</v>
      </c>
      <c r="AK46" s="492" t="s">
        <v>1302</v>
      </c>
      <c r="AL46" s="492"/>
      <c r="AM46" s="492"/>
      <c r="AN46" s="492"/>
      <c r="AO46" s="492"/>
      <c r="AP46" s="492"/>
      <c r="AQ46" s="492"/>
      <c r="AR46" s="492"/>
      <c r="AS46" s="492"/>
      <c r="AT46" s="492"/>
      <c r="AU46" s="492"/>
      <c r="AV46" s="492"/>
      <c r="AW46" s="492"/>
      <c r="AX46" s="492"/>
      <c r="AY46" s="492"/>
      <c r="AZ46" s="492"/>
      <c r="BA46" s="492"/>
      <c r="BB46" s="493">
        <v>32303</v>
      </c>
      <c r="BC46" s="494">
        <v>0.375</v>
      </c>
      <c r="BD46" s="493">
        <v>47989</v>
      </c>
      <c r="BE46" s="494">
        <v>0.99998842592592596</v>
      </c>
      <c r="BF46" s="493">
        <v>32639</v>
      </c>
      <c r="BG46" s="494">
        <v>0</v>
      </c>
      <c r="BH46" s="492" t="s">
        <v>1303</v>
      </c>
      <c r="BI46" s="492">
        <v>597.20000000000005</v>
      </c>
      <c r="BJ46" s="492" t="s">
        <v>1304</v>
      </c>
      <c r="BK46" s="492"/>
      <c r="BL46" s="493">
        <v>45551</v>
      </c>
      <c r="BM46" s="492" t="s">
        <v>1305</v>
      </c>
      <c r="BN46" s="492" t="s">
        <v>1301</v>
      </c>
      <c r="BO46" s="492">
        <v>0.16432140619605901</v>
      </c>
      <c r="BP46" s="492">
        <v>5.0513892581900005E-4</v>
      </c>
    </row>
    <row r="47" spans="1:68" ht="75">
      <c r="A47" s="492" t="s">
        <v>1167</v>
      </c>
      <c r="B47" s="492">
        <v>391160</v>
      </c>
      <c r="C47" s="492">
        <v>8186956</v>
      </c>
      <c r="D47" s="492">
        <v>170</v>
      </c>
      <c r="E47" s="492">
        <v>0</v>
      </c>
      <c r="F47" s="492">
        <v>90</v>
      </c>
      <c r="G47" s="492" t="b">
        <v>0</v>
      </c>
      <c r="H47" s="492" t="b">
        <v>0</v>
      </c>
      <c r="I47" s="492">
        <v>10</v>
      </c>
      <c r="J47" s="492" t="b">
        <v>0</v>
      </c>
      <c r="K47" s="492">
        <v>120</v>
      </c>
      <c r="L47" s="492" t="s">
        <v>1316</v>
      </c>
      <c r="M47" s="492" t="s">
        <v>1296</v>
      </c>
      <c r="N47" s="492" t="s">
        <v>1317</v>
      </c>
      <c r="O47" s="492">
        <v>120</v>
      </c>
      <c r="P47" s="492" t="s">
        <v>1310</v>
      </c>
      <c r="Q47" s="492">
        <v>1</v>
      </c>
      <c r="R47" s="492" t="b">
        <v>1</v>
      </c>
      <c r="S47" s="492" t="b">
        <v>1</v>
      </c>
      <c r="T47" s="492"/>
      <c r="U47" s="492"/>
      <c r="V47" s="492"/>
      <c r="W47" s="492"/>
      <c r="X47" s="492"/>
      <c r="Y47" s="492">
        <v>391158.02900906297</v>
      </c>
      <c r="Z47" s="492">
        <v>8186957.26143419</v>
      </c>
      <c r="AA47" s="492">
        <v>9846.8493681536002</v>
      </c>
      <c r="AB47" s="492">
        <v>11912.005904368099</v>
      </c>
      <c r="AC47" s="492">
        <v>6</v>
      </c>
      <c r="AD47" s="492">
        <v>23443</v>
      </c>
      <c r="AE47" s="492" t="s">
        <v>1297</v>
      </c>
      <c r="AF47" s="492" t="s">
        <v>1298</v>
      </c>
      <c r="AG47" s="492" t="s">
        <v>1299</v>
      </c>
      <c r="AH47" s="492" t="s">
        <v>1300</v>
      </c>
      <c r="AI47" s="492">
        <v>1</v>
      </c>
      <c r="AJ47" s="492" t="s">
        <v>1301</v>
      </c>
      <c r="AK47" s="492" t="s">
        <v>1302</v>
      </c>
      <c r="AL47" s="492"/>
      <c r="AM47" s="492"/>
      <c r="AN47" s="492"/>
      <c r="AO47" s="492"/>
      <c r="AP47" s="492"/>
      <c r="AQ47" s="492"/>
      <c r="AR47" s="492"/>
      <c r="AS47" s="492"/>
      <c r="AT47" s="492"/>
      <c r="AU47" s="492"/>
      <c r="AV47" s="492"/>
      <c r="AW47" s="492"/>
      <c r="AX47" s="492"/>
      <c r="AY47" s="492"/>
      <c r="AZ47" s="492"/>
      <c r="BA47" s="492"/>
      <c r="BB47" s="493">
        <v>32303</v>
      </c>
      <c r="BC47" s="494">
        <v>0.375</v>
      </c>
      <c r="BD47" s="493">
        <v>47989</v>
      </c>
      <c r="BE47" s="494">
        <v>0.99998842592592596</v>
      </c>
      <c r="BF47" s="493">
        <v>32639</v>
      </c>
      <c r="BG47" s="494">
        <v>0</v>
      </c>
      <c r="BH47" s="492" t="s">
        <v>1303</v>
      </c>
      <c r="BI47" s="492">
        <v>597.20000000000005</v>
      </c>
      <c r="BJ47" s="492" t="s">
        <v>1304</v>
      </c>
      <c r="BK47" s="492"/>
      <c r="BL47" s="493">
        <v>45551</v>
      </c>
      <c r="BM47" s="492" t="s">
        <v>1305</v>
      </c>
      <c r="BN47" s="492" t="s">
        <v>1301</v>
      </c>
      <c r="BO47" s="492">
        <v>0.16432140619605901</v>
      </c>
      <c r="BP47" s="492">
        <v>5.0513892581900005E-4</v>
      </c>
    </row>
    <row r="48" spans="1:68" ht="75">
      <c r="A48" s="492" t="s">
        <v>824</v>
      </c>
      <c r="B48" s="492">
        <v>391454</v>
      </c>
      <c r="C48" s="492">
        <v>8186484</v>
      </c>
      <c r="D48" s="492">
        <v>176</v>
      </c>
      <c r="E48" s="492">
        <v>109</v>
      </c>
      <c r="F48" s="492">
        <v>60</v>
      </c>
      <c r="G48" s="492" t="b">
        <v>0</v>
      </c>
      <c r="H48" s="492" t="b">
        <v>0</v>
      </c>
      <c r="I48" s="492">
        <v>10</v>
      </c>
      <c r="J48" s="492" t="b">
        <v>0</v>
      </c>
      <c r="K48" s="492">
        <v>210</v>
      </c>
      <c r="L48" s="492" t="s">
        <v>1311</v>
      </c>
      <c r="M48" s="492" t="s">
        <v>1296</v>
      </c>
      <c r="N48" s="492" t="s">
        <v>2</v>
      </c>
      <c r="O48" s="492">
        <v>210</v>
      </c>
      <c r="P48" s="492" t="s">
        <v>109</v>
      </c>
      <c r="Q48" s="492">
        <v>3</v>
      </c>
      <c r="R48" s="492"/>
      <c r="S48" s="492"/>
      <c r="T48" s="492"/>
      <c r="U48" s="492"/>
      <c r="V48" s="492"/>
      <c r="W48" s="492"/>
      <c r="X48" s="492"/>
      <c r="Y48" s="492">
        <v>391454</v>
      </c>
      <c r="Z48" s="492">
        <v>8186484</v>
      </c>
      <c r="AA48" s="492">
        <v>10280.219448428101</v>
      </c>
      <c r="AB48" s="492">
        <v>11559.9440960921</v>
      </c>
      <c r="AC48" s="492">
        <v>6</v>
      </c>
      <c r="AD48" s="492">
        <v>23443</v>
      </c>
      <c r="AE48" s="492" t="s">
        <v>1297</v>
      </c>
      <c r="AF48" s="492" t="s">
        <v>1298</v>
      </c>
      <c r="AG48" s="492" t="s">
        <v>1299</v>
      </c>
      <c r="AH48" s="492" t="s">
        <v>1300</v>
      </c>
      <c r="AI48" s="492">
        <v>1</v>
      </c>
      <c r="AJ48" s="492" t="s">
        <v>1301</v>
      </c>
      <c r="AK48" s="492" t="s">
        <v>1302</v>
      </c>
      <c r="AL48" s="492"/>
      <c r="AM48" s="492"/>
      <c r="AN48" s="492"/>
      <c r="AO48" s="492"/>
      <c r="AP48" s="492"/>
      <c r="AQ48" s="492"/>
      <c r="AR48" s="492"/>
      <c r="AS48" s="492"/>
      <c r="AT48" s="492"/>
      <c r="AU48" s="492"/>
      <c r="AV48" s="492"/>
      <c r="AW48" s="492"/>
      <c r="AX48" s="492"/>
      <c r="AY48" s="492"/>
      <c r="AZ48" s="492"/>
      <c r="BA48" s="492"/>
      <c r="BB48" s="493">
        <v>32303</v>
      </c>
      <c r="BC48" s="494">
        <v>0.375</v>
      </c>
      <c r="BD48" s="493">
        <v>47989</v>
      </c>
      <c r="BE48" s="494">
        <v>0.99998842592592596</v>
      </c>
      <c r="BF48" s="493">
        <v>32639</v>
      </c>
      <c r="BG48" s="494">
        <v>0</v>
      </c>
      <c r="BH48" s="492" t="s">
        <v>1303</v>
      </c>
      <c r="BI48" s="492">
        <v>597.20000000000005</v>
      </c>
      <c r="BJ48" s="492" t="s">
        <v>1304</v>
      </c>
      <c r="BK48" s="492"/>
      <c r="BL48" s="493">
        <v>45551</v>
      </c>
      <c r="BM48" s="492" t="s">
        <v>1305</v>
      </c>
      <c r="BN48" s="492" t="s">
        <v>1301</v>
      </c>
      <c r="BO48" s="492">
        <v>0.16432140619605901</v>
      </c>
      <c r="BP48" s="492">
        <v>5.0513892581900005E-4</v>
      </c>
    </row>
    <row r="49" spans="1:68" ht="75">
      <c r="A49" s="492" t="s">
        <v>1044</v>
      </c>
      <c r="B49" s="492">
        <v>391322</v>
      </c>
      <c r="C49" s="492">
        <v>8186487</v>
      </c>
      <c r="D49" s="492">
        <v>187</v>
      </c>
      <c r="E49" s="492">
        <v>289</v>
      </c>
      <c r="F49" s="492">
        <v>60</v>
      </c>
      <c r="G49" s="492" t="b">
        <v>0</v>
      </c>
      <c r="H49" s="492" t="b">
        <v>0</v>
      </c>
      <c r="I49" s="492">
        <v>10</v>
      </c>
      <c r="J49" s="492" t="b">
        <v>0</v>
      </c>
      <c r="K49" s="492">
        <v>140</v>
      </c>
      <c r="L49" s="492" t="s">
        <v>1013</v>
      </c>
      <c r="M49" s="492" t="s">
        <v>1308</v>
      </c>
      <c r="N49" s="492" t="s">
        <v>2</v>
      </c>
      <c r="O49" s="492">
        <v>140</v>
      </c>
      <c r="P49" s="492" t="s">
        <v>109</v>
      </c>
      <c r="Q49" s="492">
        <v>3</v>
      </c>
      <c r="R49" s="492"/>
      <c r="S49" s="492"/>
      <c r="T49" s="492"/>
      <c r="U49" s="492"/>
      <c r="V49" s="492"/>
      <c r="W49" s="492"/>
      <c r="X49" s="492"/>
      <c r="Y49" s="492">
        <v>391322</v>
      </c>
      <c r="Z49" s="492">
        <v>8186487</v>
      </c>
      <c r="AA49" s="492">
        <v>10154.319996221901</v>
      </c>
      <c r="AB49" s="492">
        <v>11520.037866296199</v>
      </c>
      <c r="AC49" s="492">
        <v>6</v>
      </c>
      <c r="AD49" s="492">
        <v>23443</v>
      </c>
      <c r="AE49" s="492" t="s">
        <v>1297</v>
      </c>
      <c r="AF49" s="492" t="s">
        <v>1298</v>
      </c>
      <c r="AG49" s="492" t="s">
        <v>1299</v>
      </c>
      <c r="AH49" s="492" t="s">
        <v>1300</v>
      </c>
      <c r="AI49" s="492">
        <v>1</v>
      </c>
      <c r="AJ49" s="492" t="s">
        <v>1301</v>
      </c>
      <c r="AK49" s="492" t="s">
        <v>1302</v>
      </c>
      <c r="AL49" s="492"/>
      <c r="AM49" s="492"/>
      <c r="AN49" s="492"/>
      <c r="AO49" s="492"/>
      <c r="AP49" s="492"/>
      <c r="AQ49" s="492"/>
      <c r="AR49" s="492"/>
      <c r="AS49" s="492"/>
      <c r="AT49" s="492"/>
      <c r="AU49" s="492"/>
      <c r="AV49" s="492"/>
      <c r="AW49" s="492"/>
      <c r="AX49" s="492"/>
      <c r="AY49" s="492"/>
      <c r="AZ49" s="492"/>
      <c r="BA49" s="492"/>
      <c r="BB49" s="493">
        <v>32303</v>
      </c>
      <c r="BC49" s="494">
        <v>0.375</v>
      </c>
      <c r="BD49" s="493">
        <v>47989</v>
      </c>
      <c r="BE49" s="494">
        <v>0.99998842592592596</v>
      </c>
      <c r="BF49" s="493">
        <v>32639</v>
      </c>
      <c r="BG49" s="494">
        <v>0</v>
      </c>
      <c r="BH49" s="492" t="s">
        <v>1303</v>
      </c>
      <c r="BI49" s="492">
        <v>597.20000000000005</v>
      </c>
      <c r="BJ49" s="492" t="s">
        <v>1304</v>
      </c>
      <c r="BK49" s="492"/>
      <c r="BL49" s="493">
        <v>45551</v>
      </c>
      <c r="BM49" s="492" t="s">
        <v>1305</v>
      </c>
      <c r="BN49" s="492" t="s">
        <v>1301</v>
      </c>
      <c r="BO49" s="492">
        <v>0.16432140619605901</v>
      </c>
      <c r="BP49" s="492">
        <v>5.0513892581900005E-4</v>
      </c>
    </row>
    <row r="50" spans="1:68" ht="75">
      <c r="A50" s="492" t="s">
        <v>1043</v>
      </c>
      <c r="B50" s="492">
        <v>391355</v>
      </c>
      <c r="C50" s="492">
        <v>8186518</v>
      </c>
      <c r="D50" s="492">
        <v>203</v>
      </c>
      <c r="E50" s="492">
        <v>329</v>
      </c>
      <c r="F50" s="492">
        <v>55</v>
      </c>
      <c r="G50" s="492" t="b">
        <v>0</v>
      </c>
      <c r="H50" s="492" t="b">
        <v>0</v>
      </c>
      <c r="I50" s="492">
        <v>10</v>
      </c>
      <c r="J50" s="492" t="b">
        <v>0</v>
      </c>
      <c r="K50" s="492">
        <v>55</v>
      </c>
      <c r="L50" s="492" t="s">
        <v>1013</v>
      </c>
      <c r="M50" s="492" t="s">
        <v>1308</v>
      </c>
      <c r="N50" s="492" t="s">
        <v>2</v>
      </c>
      <c r="O50" s="492">
        <v>50</v>
      </c>
      <c r="P50" s="492" t="s">
        <v>109</v>
      </c>
      <c r="Q50" s="492">
        <v>3</v>
      </c>
      <c r="R50" s="492" t="b">
        <v>1</v>
      </c>
      <c r="S50" s="492" t="b">
        <v>1</v>
      </c>
      <c r="T50" s="492"/>
      <c r="U50" s="492"/>
      <c r="V50" s="492"/>
      <c r="W50" s="492"/>
      <c r="X50" s="492"/>
      <c r="Y50" s="492">
        <v>391350.153503904</v>
      </c>
      <c r="Z50" s="492">
        <v>8186496.7014808804</v>
      </c>
      <c r="AA50" s="492">
        <v>10177.8235207833</v>
      </c>
      <c r="AB50" s="492">
        <v>11538.3365170452</v>
      </c>
      <c r="AC50" s="492">
        <v>6</v>
      </c>
      <c r="AD50" s="492">
        <v>23443</v>
      </c>
      <c r="AE50" s="492" t="s">
        <v>1297</v>
      </c>
      <c r="AF50" s="492" t="s">
        <v>1298</v>
      </c>
      <c r="AG50" s="492" t="s">
        <v>1299</v>
      </c>
      <c r="AH50" s="492" t="s">
        <v>1300</v>
      </c>
      <c r="AI50" s="492">
        <v>1</v>
      </c>
      <c r="AJ50" s="492" t="s">
        <v>1301</v>
      </c>
      <c r="AK50" s="492" t="s">
        <v>1302</v>
      </c>
      <c r="AL50" s="492"/>
      <c r="AM50" s="492"/>
      <c r="AN50" s="492"/>
      <c r="AO50" s="492"/>
      <c r="AP50" s="492"/>
      <c r="AQ50" s="492"/>
      <c r="AR50" s="492"/>
      <c r="AS50" s="492"/>
      <c r="AT50" s="492"/>
      <c r="AU50" s="492"/>
      <c r="AV50" s="492"/>
      <c r="AW50" s="492"/>
      <c r="AX50" s="492"/>
      <c r="AY50" s="492"/>
      <c r="AZ50" s="492"/>
      <c r="BA50" s="492"/>
      <c r="BB50" s="493">
        <v>32303</v>
      </c>
      <c r="BC50" s="494">
        <v>0.375</v>
      </c>
      <c r="BD50" s="493">
        <v>47989</v>
      </c>
      <c r="BE50" s="494">
        <v>0.99998842592592596</v>
      </c>
      <c r="BF50" s="493">
        <v>32639</v>
      </c>
      <c r="BG50" s="494">
        <v>0</v>
      </c>
      <c r="BH50" s="492" t="s">
        <v>1303</v>
      </c>
      <c r="BI50" s="492">
        <v>597.20000000000005</v>
      </c>
      <c r="BJ50" s="492" t="s">
        <v>1304</v>
      </c>
      <c r="BK50" s="492"/>
      <c r="BL50" s="493">
        <v>45551</v>
      </c>
      <c r="BM50" s="492" t="s">
        <v>1305</v>
      </c>
      <c r="BN50" s="492" t="s">
        <v>1301</v>
      </c>
      <c r="BO50" s="492">
        <v>0.16432140619605901</v>
      </c>
      <c r="BP50" s="492">
        <v>5.0513892581900005E-4</v>
      </c>
    </row>
    <row r="51" spans="1:68" ht="75">
      <c r="A51" s="492" t="s">
        <v>303</v>
      </c>
      <c r="B51" s="492">
        <v>391272</v>
      </c>
      <c r="C51" s="492">
        <v>8186503</v>
      </c>
      <c r="D51" s="492">
        <v>184</v>
      </c>
      <c r="E51" s="492">
        <v>289</v>
      </c>
      <c r="F51" s="492">
        <v>60</v>
      </c>
      <c r="G51" s="492" t="b">
        <v>0</v>
      </c>
      <c r="H51" s="492" t="b">
        <v>0</v>
      </c>
      <c r="I51" s="492">
        <v>10</v>
      </c>
      <c r="J51" s="492" t="b">
        <v>0</v>
      </c>
      <c r="K51" s="492">
        <v>180</v>
      </c>
      <c r="L51" s="492" t="s">
        <v>1013</v>
      </c>
      <c r="M51" s="492" t="s">
        <v>1296</v>
      </c>
      <c r="N51" s="492" t="s">
        <v>1</v>
      </c>
      <c r="O51" s="492">
        <v>180</v>
      </c>
      <c r="P51" s="492" t="s">
        <v>109</v>
      </c>
      <c r="Q51" s="492">
        <v>3</v>
      </c>
      <c r="R51" s="492"/>
      <c r="S51" s="492"/>
      <c r="T51" s="492"/>
      <c r="U51" s="492"/>
      <c r="V51" s="492"/>
      <c r="W51" s="492"/>
      <c r="X51" s="492"/>
      <c r="Y51" s="492">
        <v>391272</v>
      </c>
      <c r="Z51" s="492">
        <v>8186503</v>
      </c>
      <c r="AA51" s="492">
        <v>10101.817524984899</v>
      </c>
      <c r="AB51" s="492">
        <v>11518.9891718411</v>
      </c>
      <c r="AC51" s="492">
        <v>6</v>
      </c>
      <c r="AD51" s="492">
        <v>23443</v>
      </c>
      <c r="AE51" s="492" t="s">
        <v>1297</v>
      </c>
      <c r="AF51" s="492" t="s">
        <v>1298</v>
      </c>
      <c r="AG51" s="492" t="s">
        <v>1299</v>
      </c>
      <c r="AH51" s="492" t="s">
        <v>1300</v>
      </c>
      <c r="AI51" s="492">
        <v>1</v>
      </c>
      <c r="AJ51" s="492" t="s">
        <v>1301</v>
      </c>
      <c r="AK51" s="492" t="s">
        <v>1302</v>
      </c>
      <c r="AL51" s="492"/>
      <c r="AM51" s="492"/>
      <c r="AN51" s="492"/>
      <c r="AO51" s="492"/>
      <c r="AP51" s="492"/>
      <c r="AQ51" s="492"/>
      <c r="AR51" s="492"/>
      <c r="AS51" s="492"/>
      <c r="AT51" s="492"/>
      <c r="AU51" s="492"/>
      <c r="AV51" s="492"/>
      <c r="AW51" s="492"/>
      <c r="AX51" s="492"/>
      <c r="AY51" s="492"/>
      <c r="AZ51" s="492"/>
      <c r="BA51" s="492"/>
      <c r="BB51" s="493">
        <v>32303</v>
      </c>
      <c r="BC51" s="494">
        <v>0.375</v>
      </c>
      <c r="BD51" s="493">
        <v>47989</v>
      </c>
      <c r="BE51" s="494">
        <v>0.99998842592592596</v>
      </c>
      <c r="BF51" s="493">
        <v>32639</v>
      </c>
      <c r="BG51" s="494">
        <v>0</v>
      </c>
      <c r="BH51" s="492" t="s">
        <v>1303</v>
      </c>
      <c r="BI51" s="492">
        <v>597.20000000000005</v>
      </c>
      <c r="BJ51" s="492" t="s">
        <v>1304</v>
      </c>
      <c r="BK51" s="492"/>
      <c r="BL51" s="493">
        <v>45551</v>
      </c>
      <c r="BM51" s="492" t="s">
        <v>1305</v>
      </c>
      <c r="BN51" s="492" t="s">
        <v>1301</v>
      </c>
      <c r="BO51" s="492">
        <v>0.16432140619605901</v>
      </c>
      <c r="BP51" s="492">
        <v>5.0513892581900005E-4</v>
      </c>
    </row>
    <row r="52" spans="1:68" ht="75">
      <c r="A52" s="492" t="s">
        <v>371</v>
      </c>
      <c r="B52" s="492">
        <v>391250</v>
      </c>
      <c r="C52" s="492">
        <v>8186515</v>
      </c>
      <c r="D52" s="492">
        <v>188</v>
      </c>
      <c r="E52" s="492">
        <v>289</v>
      </c>
      <c r="F52" s="492">
        <v>56</v>
      </c>
      <c r="G52" s="492" t="b">
        <v>0</v>
      </c>
      <c r="H52" s="492" t="b">
        <v>0</v>
      </c>
      <c r="I52" s="492">
        <v>10</v>
      </c>
      <c r="J52" s="492" t="b">
        <v>0</v>
      </c>
      <c r="K52" s="492">
        <v>120</v>
      </c>
      <c r="L52" s="492" t="s">
        <v>1306</v>
      </c>
      <c r="M52" s="492" t="s">
        <v>1296</v>
      </c>
      <c r="N52" s="492" t="s">
        <v>1</v>
      </c>
      <c r="O52" s="492">
        <v>120</v>
      </c>
      <c r="P52" s="492" t="s">
        <v>11</v>
      </c>
      <c r="Q52" s="492">
        <v>1</v>
      </c>
      <c r="R52" s="492"/>
      <c r="S52" s="492"/>
      <c r="T52" s="492"/>
      <c r="U52" s="492"/>
      <c r="V52" s="495">
        <v>45839</v>
      </c>
      <c r="W52" s="492"/>
      <c r="X52" s="492"/>
      <c r="Y52" s="492">
        <v>391250</v>
      </c>
      <c r="Z52" s="492">
        <v>8186515</v>
      </c>
      <c r="AA52" s="492">
        <v>10077.110243029399</v>
      </c>
      <c r="AB52" s="492">
        <v>11523.2220091503</v>
      </c>
      <c r="AC52" s="492">
        <v>6</v>
      </c>
      <c r="AD52" s="492">
        <v>23443</v>
      </c>
      <c r="AE52" s="492" t="s">
        <v>1297</v>
      </c>
      <c r="AF52" s="492" t="s">
        <v>1298</v>
      </c>
      <c r="AG52" s="492" t="s">
        <v>1299</v>
      </c>
      <c r="AH52" s="492" t="s">
        <v>1300</v>
      </c>
      <c r="AI52" s="492">
        <v>1</v>
      </c>
      <c r="AJ52" s="492" t="s">
        <v>1301</v>
      </c>
      <c r="AK52" s="492" t="s">
        <v>1302</v>
      </c>
      <c r="AL52" s="492"/>
      <c r="AM52" s="492"/>
      <c r="AN52" s="492"/>
      <c r="AO52" s="492"/>
      <c r="AP52" s="492"/>
      <c r="AQ52" s="492"/>
      <c r="AR52" s="492"/>
      <c r="AS52" s="492"/>
      <c r="AT52" s="492"/>
      <c r="AU52" s="492"/>
      <c r="AV52" s="492"/>
      <c r="AW52" s="492"/>
      <c r="AX52" s="492"/>
      <c r="AY52" s="492"/>
      <c r="AZ52" s="492"/>
      <c r="BA52" s="492"/>
      <c r="BB52" s="493">
        <v>32303</v>
      </c>
      <c r="BC52" s="494">
        <v>0.375</v>
      </c>
      <c r="BD52" s="493">
        <v>47989</v>
      </c>
      <c r="BE52" s="494">
        <v>0.99998842592592596</v>
      </c>
      <c r="BF52" s="493">
        <v>32639</v>
      </c>
      <c r="BG52" s="494">
        <v>0</v>
      </c>
      <c r="BH52" s="492" t="s">
        <v>1303</v>
      </c>
      <c r="BI52" s="492">
        <v>597.20000000000005</v>
      </c>
      <c r="BJ52" s="492" t="s">
        <v>1304</v>
      </c>
      <c r="BK52" s="492"/>
      <c r="BL52" s="493">
        <v>45551</v>
      </c>
      <c r="BM52" s="492" t="s">
        <v>1305</v>
      </c>
      <c r="BN52" s="492" t="s">
        <v>1301</v>
      </c>
      <c r="BO52" s="492">
        <v>0.16432140619605901</v>
      </c>
      <c r="BP52" s="492">
        <v>5.0513892581900005E-4</v>
      </c>
    </row>
    <row r="53" spans="1:68" ht="75">
      <c r="A53" s="492" t="s">
        <v>403</v>
      </c>
      <c r="B53" s="492">
        <v>391251</v>
      </c>
      <c r="C53" s="492">
        <v>8186515</v>
      </c>
      <c r="D53" s="492">
        <v>188</v>
      </c>
      <c r="E53" s="492">
        <v>289</v>
      </c>
      <c r="F53" s="492">
        <v>58</v>
      </c>
      <c r="G53" s="492" t="b">
        <v>0</v>
      </c>
      <c r="H53" s="492" t="b">
        <v>0</v>
      </c>
      <c r="I53" s="492">
        <v>10</v>
      </c>
      <c r="J53" s="492" t="b">
        <v>0</v>
      </c>
      <c r="K53" s="492">
        <v>120</v>
      </c>
      <c r="L53" s="492" t="s">
        <v>1306</v>
      </c>
      <c r="M53" s="492" t="s">
        <v>1296</v>
      </c>
      <c r="N53" s="492" t="s">
        <v>1</v>
      </c>
      <c r="O53" s="492">
        <v>120</v>
      </c>
      <c r="P53" s="492" t="s">
        <v>11</v>
      </c>
      <c r="Q53" s="492">
        <v>1</v>
      </c>
      <c r="R53" s="492"/>
      <c r="S53" s="492"/>
      <c r="T53" s="492"/>
      <c r="U53" s="492"/>
      <c r="V53" s="492"/>
      <c r="W53" s="492"/>
      <c r="X53" s="492"/>
      <c r="Y53" s="492">
        <v>391251</v>
      </c>
      <c r="Z53" s="492">
        <v>8186515</v>
      </c>
      <c r="AA53" s="492">
        <v>10078.056666997199</v>
      </c>
      <c r="AB53" s="492">
        <v>11523.545838708</v>
      </c>
      <c r="AC53" s="492">
        <v>6</v>
      </c>
      <c r="AD53" s="492">
        <v>23443</v>
      </c>
      <c r="AE53" s="492" t="s">
        <v>1297</v>
      </c>
      <c r="AF53" s="492" t="s">
        <v>1298</v>
      </c>
      <c r="AG53" s="492" t="s">
        <v>1299</v>
      </c>
      <c r="AH53" s="492" t="s">
        <v>1300</v>
      </c>
      <c r="AI53" s="492">
        <v>1</v>
      </c>
      <c r="AJ53" s="492" t="s">
        <v>1301</v>
      </c>
      <c r="AK53" s="492" t="s">
        <v>1302</v>
      </c>
      <c r="AL53" s="492"/>
      <c r="AM53" s="492"/>
      <c r="AN53" s="492"/>
      <c r="AO53" s="492"/>
      <c r="AP53" s="492"/>
      <c r="AQ53" s="492"/>
      <c r="AR53" s="492"/>
      <c r="AS53" s="492"/>
      <c r="AT53" s="492"/>
      <c r="AU53" s="492"/>
      <c r="AV53" s="492"/>
      <c r="AW53" s="492"/>
      <c r="AX53" s="492"/>
      <c r="AY53" s="492"/>
      <c r="AZ53" s="492"/>
      <c r="BA53" s="492"/>
      <c r="BB53" s="493">
        <v>32303</v>
      </c>
      <c r="BC53" s="494">
        <v>0.375</v>
      </c>
      <c r="BD53" s="493">
        <v>47989</v>
      </c>
      <c r="BE53" s="494">
        <v>0.99998842592592596</v>
      </c>
      <c r="BF53" s="493">
        <v>32639</v>
      </c>
      <c r="BG53" s="494">
        <v>0</v>
      </c>
      <c r="BH53" s="492" t="s">
        <v>1303</v>
      </c>
      <c r="BI53" s="492">
        <v>597.20000000000005</v>
      </c>
      <c r="BJ53" s="492" t="s">
        <v>1304</v>
      </c>
      <c r="BK53" s="492"/>
      <c r="BL53" s="493">
        <v>45551</v>
      </c>
      <c r="BM53" s="492" t="s">
        <v>1305</v>
      </c>
      <c r="BN53" s="492" t="s">
        <v>1301</v>
      </c>
      <c r="BO53" s="492">
        <v>0.16432140619605901</v>
      </c>
      <c r="BP53" s="492">
        <v>5.0513892581900005E-4</v>
      </c>
    </row>
    <row r="54" spans="1:68" ht="75">
      <c r="A54" s="492" t="s">
        <v>414</v>
      </c>
      <c r="B54" s="492">
        <v>391251</v>
      </c>
      <c r="C54" s="492">
        <v>8186516</v>
      </c>
      <c r="D54" s="492">
        <v>188</v>
      </c>
      <c r="E54" s="492">
        <v>110</v>
      </c>
      <c r="F54" s="492">
        <v>80</v>
      </c>
      <c r="G54" s="492" t="b">
        <v>0</v>
      </c>
      <c r="H54" s="492" t="b">
        <v>0</v>
      </c>
      <c r="I54" s="492">
        <v>10</v>
      </c>
      <c r="J54" s="492" t="b">
        <v>0</v>
      </c>
      <c r="K54" s="492">
        <v>110</v>
      </c>
      <c r="L54" s="492" t="s">
        <v>1313</v>
      </c>
      <c r="M54" s="492" t="s">
        <v>1296</v>
      </c>
      <c r="N54" s="492" t="s">
        <v>1</v>
      </c>
      <c r="O54" s="492">
        <v>110</v>
      </c>
      <c r="P54" s="492" t="s">
        <v>9</v>
      </c>
      <c r="Q54" s="492">
        <v>1</v>
      </c>
      <c r="R54" s="492"/>
      <c r="S54" s="492"/>
      <c r="T54" s="492"/>
      <c r="U54" s="492"/>
      <c r="V54" s="492"/>
      <c r="W54" s="492"/>
      <c r="X54" s="492"/>
      <c r="Y54" s="492">
        <v>391251</v>
      </c>
      <c r="Z54" s="492">
        <v>8186516</v>
      </c>
      <c r="AA54" s="492">
        <v>10077.7328374385</v>
      </c>
      <c r="AB54" s="492">
        <v>11524.492262674399</v>
      </c>
      <c r="AC54" s="492">
        <v>6</v>
      </c>
      <c r="AD54" s="492">
        <v>23443</v>
      </c>
      <c r="AE54" s="492" t="s">
        <v>1297</v>
      </c>
      <c r="AF54" s="492" t="s">
        <v>1298</v>
      </c>
      <c r="AG54" s="492" t="s">
        <v>1299</v>
      </c>
      <c r="AH54" s="492" t="s">
        <v>1300</v>
      </c>
      <c r="AI54" s="492">
        <v>1</v>
      </c>
      <c r="AJ54" s="492" t="s">
        <v>1301</v>
      </c>
      <c r="AK54" s="492" t="s">
        <v>1302</v>
      </c>
      <c r="AL54" s="492"/>
      <c r="AM54" s="492"/>
      <c r="AN54" s="492"/>
      <c r="AO54" s="492"/>
      <c r="AP54" s="492"/>
      <c r="AQ54" s="492"/>
      <c r="AR54" s="492"/>
      <c r="AS54" s="492"/>
      <c r="AT54" s="492"/>
      <c r="AU54" s="492"/>
      <c r="AV54" s="492"/>
      <c r="AW54" s="492"/>
      <c r="AX54" s="492"/>
      <c r="AY54" s="492"/>
      <c r="AZ54" s="492"/>
      <c r="BA54" s="492"/>
      <c r="BB54" s="493">
        <v>32303</v>
      </c>
      <c r="BC54" s="494">
        <v>0.375</v>
      </c>
      <c r="BD54" s="493">
        <v>47989</v>
      </c>
      <c r="BE54" s="494">
        <v>0.99998842592592596</v>
      </c>
      <c r="BF54" s="493">
        <v>32639</v>
      </c>
      <c r="BG54" s="494">
        <v>0</v>
      </c>
      <c r="BH54" s="492" t="s">
        <v>1303</v>
      </c>
      <c r="BI54" s="492">
        <v>597.20000000000005</v>
      </c>
      <c r="BJ54" s="492" t="s">
        <v>1304</v>
      </c>
      <c r="BK54" s="492"/>
      <c r="BL54" s="493">
        <v>45551</v>
      </c>
      <c r="BM54" s="492" t="s">
        <v>1305</v>
      </c>
      <c r="BN54" s="492" t="s">
        <v>1301</v>
      </c>
      <c r="BO54" s="492">
        <v>0.16432140619605901</v>
      </c>
      <c r="BP54" s="492">
        <v>5.0513892581900005E-4</v>
      </c>
    </row>
    <row r="55" spans="1:68" ht="75">
      <c r="A55" s="492" t="s">
        <v>1123</v>
      </c>
      <c r="B55" s="492">
        <v>391496</v>
      </c>
      <c r="C55" s="492">
        <v>8186512</v>
      </c>
      <c r="D55" s="492">
        <v>177</v>
      </c>
      <c r="E55" s="492">
        <v>289</v>
      </c>
      <c r="F55" s="492">
        <v>60</v>
      </c>
      <c r="G55" s="492" t="b">
        <v>0</v>
      </c>
      <c r="H55" s="492" t="b">
        <v>0</v>
      </c>
      <c r="I55" s="492">
        <v>10</v>
      </c>
      <c r="J55" s="492" t="b">
        <v>0</v>
      </c>
      <c r="K55" s="492">
        <v>60</v>
      </c>
      <c r="L55" s="492" t="s">
        <v>1013</v>
      </c>
      <c r="M55" s="492" t="s">
        <v>1308</v>
      </c>
      <c r="N55" s="492" t="s">
        <v>2</v>
      </c>
      <c r="O55" s="492">
        <v>60</v>
      </c>
      <c r="P55" s="492" t="s">
        <v>109</v>
      </c>
      <c r="Q55" s="492">
        <v>3</v>
      </c>
      <c r="R55" s="492"/>
      <c r="S55" s="492"/>
      <c r="T55" s="492"/>
      <c r="U55" s="492"/>
      <c r="V55" s="492"/>
      <c r="W55" s="492"/>
      <c r="X55" s="492"/>
      <c r="Y55" s="492">
        <v>391496</v>
      </c>
      <c r="Z55" s="492">
        <v>8186512</v>
      </c>
      <c r="AA55" s="492">
        <v>10310.902027378301</v>
      </c>
      <c r="AB55" s="492">
        <v>11600.0448085917</v>
      </c>
      <c r="AC55" s="492">
        <v>6</v>
      </c>
      <c r="AD55" s="492">
        <v>23443</v>
      </c>
      <c r="AE55" s="492" t="s">
        <v>1297</v>
      </c>
      <c r="AF55" s="492" t="s">
        <v>1298</v>
      </c>
      <c r="AG55" s="492" t="s">
        <v>1299</v>
      </c>
      <c r="AH55" s="492" t="s">
        <v>1300</v>
      </c>
      <c r="AI55" s="492">
        <v>1</v>
      </c>
      <c r="AJ55" s="492" t="s">
        <v>1301</v>
      </c>
      <c r="AK55" s="492" t="s">
        <v>1302</v>
      </c>
      <c r="AL55" s="492"/>
      <c r="AM55" s="492"/>
      <c r="AN55" s="492"/>
      <c r="AO55" s="492"/>
      <c r="AP55" s="492"/>
      <c r="AQ55" s="492"/>
      <c r="AR55" s="492"/>
      <c r="AS55" s="492"/>
      <c r="AT55" s="492"/>
      <c r="AU55" s="492"/>
      <c r="AV55" s="492"/>
      <c r="AW55" s="492"/>
      <c r="AX55" s="492"/>
      <c r="AY55" s="492"/>
      <c r="AZ55" s="492"/>
      <c r="BA55" s="492"/>
      <c r="BB55" s="493">
        <v>32303</v>
      </c>
      <c r="BC55" s="494">
        <v>0.375</v>
      </c>
      <c r="BD55" s="493">
        <v>47989</v>
      </c>
      <c r="BE55" s="494">
        <v>0.99998842592592596</v>
      </c>
      <c r="BF55" s="493">
        <v>32639</v>
      </c>
      <c r="BG55" s="494">
        <v>0</v>
      </c>
      <c r="BH55" s="492" t="s">
        <v>1303</v>
      </c>
      <c r="BI55" s="492">
        <v>597.20000000000005</v>
      </c>
      <c r="BJ55" s="492" t="s">
        <v>1304</v>
      </c>
      <c r="BK55" s="492"/>
      <c r="BL55" s="493">
        <v>45551</v>
      </c>
      <c r="BM55" s="492" t="s">
        <v>1305</v>
      </c>
      <c r="BN55" s="492" t="s">
        <v>1301</v>
      </c>
      <c r="BO55" s="492">
        <v>0.16432140619605901</v>
      </c>
      <c r="BP55" s="492">
        <v>5.0513892581900005E-4</v>
      </c>
    </row>
    <row r="56" spans="1:68" ht="75">
      <c r="A56" s="492" t="s">
        <v>298</v>
      </c>
      <c r="B56" s="492">
        <v>391466</v>
      </c>
      <c r="C56" s="492">
        <v>8186396</v>
      </c>
      <c r="D56" s="492">
        <v>174</v>
      </c>
      <c r="E56" s="492">
        <v>109</v>
      </c>
      <c r="F56" s="492">
        <v>60</v>
      </c>
      <c r="G56" s="492" t="b">
        <v>0</v>
      </c>
      <c r="H56" s="492" t="b">
        <v>0</v>
      </c>
      <c r="I56" s="492">
        <v>10</v>
      </c>
      <c r="J56" s="492" t="b">
        <v>0</v>
      </c>
      <c r="K56" s="492">
        <v>133</v>
      </c>
      <c r="L56" s="492" t="s">
        <v>1311</v>
      </c>
      <c r="M56" s="492" t="s">
        <v>1296</v>
      </c>
      <c r="N56" s="492" t="s">
        <v>1</v>
      </c>
      <c r="O56" s="492">
        <v>133</v>
      </c>
      <c r="P56" s="492" t="s">
        <v>109</v>
      </c>
      <c r="Q56" s="492">
        <v>3</v>
      </c>
      <c r="R56" s="492"/>
      <c r="S56" s="492"/>
      <c r="T56" s="492"/>
      <c r="U56" s="492"/>
      <c r="V56" s="492"/>
      <c r="W56" s="492"/>
      <c r="X56" s="492"/>
      <c r="Y56" s="492">
        <v>391466</v>
      </c>
      <c r="Z56" s="492">
        <v>8186396</v>
      </c>
      <c r="AA56" s="492">
        <v>10320.073537148999</v>
      </c>
      <c r="AB56" s="492">
        <v>11480.544741780401</v>
      </c>
      <c r="AC56" s="492">
        <v>6</v>
      </c>
      <c r="AD56" s="492">
        <v>23443</v>
      </c>
      <c r="AE56" s="492" t="s">
        <v>1297</v>
      </c>
      <c r="AF56" s="492" t="s">
        <v>1298</v>
      </c>
      <c r="AG56" s="492" t="s">
        <v>1299</v>
      </c>
      <c r="AH56" s="492" t="s">
        <v>1300</v>
      </c>
      <c r="AI56" s="492">
        <v>1</v>
      </c>
      <c r="AJ56" s="492" t="s">
        <v>1301</v>
      </c>
      <c r="AK56" s="492" t="s">
        <v>1302</v>
      </c>
      <c r="AL56" s="492"/>
      <c r="AM56" s="492"/>
      <c r="AN56" s="492"/>
      <c r="AO56" s="492"/>
      <c r="AP56" s="492"/>
      <c r="AQ56" s="492"/>
      <c r="AR56" s="492"/>
      <c r="AS56" s="492"/>
      <c r="AT56" s="492"/>
      <c r="AU56" s="492"/>
      <c r="AV56" s="492"/>
      <c r="AW56" s="492"/>
      <c r="AX56" s="492"/>
      <c r="AY56" s="492"/>
      <c r="AZ56" s="492"/>
      <c r="BA56" s="492"/>
      <c r="BB56" s="493">
        <v>32303</v>
      </c>
      <c r="BC56" s="494">
        <v>0.375</v>
      </c>
      <c r="BD56" s="493">
        <v>47989</v>
      </c>
      <c r="BE56" s="494">
        <v>0.99998842592592596</v>
      </c>
      <c r="BF56" s="493">
        <v>32639</v>
      </c>
      <c r="BG56" s="494">
        <v>0</v>
      </c>
      <c r="BH56" s="492" t="s">
        <v>1303</v>
      </c>
      <c r="BI56" s="492">
        <v>597.20000000000005</v>
      </c>
      <c r="BJ56" s="492" t="s">
        <v>1304</v>
      </c>
      <c r="BK56" s="492"/>
      <c r="BL56" s="493">
        <v>45551</v>
      </c>
      <c r="BM56" s="492" t="s">
        <v>1305</v>
      </c>
      <c r="BN56" s="492" t="s">
        <v>1301</v>
      </c>
      <c r="BO56" s="492">
        <v>0.16432140619605901</v>
      </c>
      <c r="BP56" s="492">
        <v>5.0513892581900005E-4</v>
      </c>
    </row>
    <row r="57" spans="1:68" ht="75">
      <c r="A57" s="492" t="s">
        <v>818</v>
      </c>
      <c r="B57" s="492">
        <v>391418</v>
      </c>
      <c r="C57" s="492">
        <v>8186412</v>
      </c>
      <c r="D57" s="492">
        <v>176</v>
      </c>
      <c r="E57" s="492">
        <v>109</v>
      </c>
      <c r="F57" s="492">
        <v>58</v>
      </c>
      <c r="G57" s="492" t="b">
        <v>0</v>
      </c>
      <c r="H57" s="492" t="b">
        <v>0</v>
      </c>
      <c r="I57" s="492">
        <v>10</v>
      </c>
      <c r="J57" s="492" t="b">
        <v>0</v>
      </c>
      <c r="K57" s="492">
        <v>220</v>
      </c>
      <c r="L57" s="492" t="s">
        <v>1311</v>
      </c>
      <c r="M57" s="492" t="s">
        <v>1296</v>
      </c>
      <c r="N57" s="492" t="s">
        <v>2</v>
      </c>
      <c r="O57" s="492">
        <v>220</v>
      </c>
      <c r="P57" s="492" t="s">
        <v>109</v>
      </c>
      <c r="Q57" s="492">
        <v>3</v>
      </c>
      <c r="R57" s="492"/>
      <c r="S57" s="492"/>
      <c r="T57" s="492"/>
      <c r="U57" s="492"/>
      <c r="V57" s="492"/>
      <c r="W57" s="492"/>
      <c r="X57" s="492"/>
      <c r="Y57" s="492">
        <v>391418</v>
      </c>
      <c r="Z57" s="492">
        <v>8186412</v>
      </c>
      <c r="AA57" s="492">
        <v>10269.4639138439</v>
      </c>
      <c r="AB57" s="492">
        <v>11480.1437064399</v>
      </c>
      <c r="AC57" s="492">
        <v>6</v>
      </c>
      <c r="AD57" s="492">
        <v>23443</v>
      </c>
      <c r="AE57" s="492" t="s">
        <v>1297</v>
      </c>
      <c r="AF57" s="492" t="s">
        <v>1298</v>
      </c>
      <c r="AG57" s="492" t="s">
        <v>1299</v>
      </c>
      <c r="AH57" s="492" t="s">
        <v>1300</v>
      </c>
      <c r="AI57" s="492">
        <v>1</v>
      </c>
      <c r="AJ57" s="492" t="s">
        <v>1301</v>
      </c>
      <c r="AK57" s="492" t="s">
        <v>1302</v>
      </c>
      <c r="AL57" s="492"/>
      <c r="AM57" s="492"/>
      <c r="AN57" s="492"/>
      <c r="AO57" s="492"/>
      <c r="AP57" s="492"/>
      <c r="AQ57" s="492"/>
      <c r="AR57" s="492"/>
      <c r="AS57" s="492"/>
      <c r="AT57" s="492"/>
      <c r="AU57" s="492"/>
      <c r="AV57" s="492"/>
      <c r="AW57" s="492"/>
      <c r="AX57" s="492"/>
      <c r="AY57" s="492"/>
      <c r="AZ57" s="492"/>
      <c r="BA57" s="492"/>
      <c r="BB57" s="493">
        <v>32303</v>
      </c>
      <c r="BC57" s="494">
        <v>0.375</v>
      </c>
      <c r="BD57" s="493">
        <v>47989</v>
      </c>
      <c r="BE57" s="494">
        <v>0.99998842592592596</v>
      </c>
      <c r="BF57" s="493">
        <v>32639</v>
      </c>
      <c r="BG57" s="494">
        <v>0</v>
      </c>
      <c r="BH57" s="492" t="s">
        <v>1303</v>
      </c>
      <c r="BI57" s="492">
        <v>597.20000000000005</v>
      </c>
      <c r="BJ57" s="492" t="s">
        <v>1304</v>
      </c>
      <c r="BK57" s="492"/>
      <c r="BL57" s="493">
        <v>45551</v>
      </c>
      <c r="BM57" s="492" t="s">
        <v>1305</v>
      </c>
      <c r="BN57" s="492" t="s">
        <v>1301</v>
      </c>
      <c r="BO57" s="492">
        <v>0.16432140619605901</v>
      </c>
      <c r="BP57" s="492">
        <v>5.0513892581900005E-4</v>
      </c>
    </row>
    <row r="58" spans="1:68" ht="75">
      <c r="A58" s="492" t="s">
        <v>291</v>
      </c>
      <c r="B58" s="492">
        <v>391521</v>
      </c>
      <c r="C58" s="492">
        <v>8186419</v>
      </c>
      <c r="D58" s="492">
        <v>175</v>
      </c>
      <c r="E58" s="492">
        <v>289</v>
      </c>
      <c r="F58" s="492">
        <v>60</v>
      </c>
      <c r="G58" s="492" t="b">
        <v>0</v>
      </c>
      <c r="H58" s="492" t="b">
        <v>0</v>
      </c>
      <c r="I58" s="492">
        <v>10</v>
      </c>
      <c r="J58" s="492" t="b">
        <v>0</v>
      </c>
      <c r="K58" s="492">
        <v>110</v>
      </c>
      <c r="L58" s="492" t="s">
        <v>1013</v>
      </c>
      <c r="M58" s="492" t="s">
        <v>1296</v>
      </c>
      <c r="N58" s="492" t="s">
        <v>1</v>
      </c>
      <c r="O58" s="492">
        <v>110</v>
      </c>
      <c r="P58" s="492" t="s">
        <v>109</v>
      </c>
      <c r="Q58" s="492">
        <v>3</v>
      </c>
      <c r="R58" s="492"/>
      <c r="S58" s="492"/>
      <c r="T58" s="492"/>
      <c r="U58" s="492"/>
      <c r="V58" s="492"/>
      <c r="W58" s="492"/>
      <c r="X58" s="492"/>
      <c r="Y58" s="492">
        <v>391521</v>
      </c>
      <c r="Z58" s="492">
        <v>8186419</v>
      </c>
      <c r="AA58" s="492">
        <v>10364.6787754446</v>
      </c>
      <c r="AB58" s="492">
        <v>11520.123118703201</v>
      </c>
      <c r="AC58" s="492">
        <v>6</v>
      </c>
      <c r="AD58" s="492">
        <v>23443</v>
      </c>
      <c r="AE58" s="492" t="s">
        <v>1297</v>
      </c>
      <c r="AF58" s="492" t="s">
        <v>1298</v>
      </c>
      <c r="AG58" s="492" t="s">
        <v>1299</v>
      </c>
      <c r="AH58" s="492" t="s">
        <v>1300</v>
      </c>
      <c r="AI58" s="492">
        <v>1</v>
      </c>
      <c r="AJ58" s="492" t="s">
        <v>1301</v>
      </c>
      <c r="AK58" s="492" t="s">
        <v>1302</v>
      </c>
      <c r="AL58" s="492"/>
      <c r="AM58" s="492"/>
      <c r="AN58" s="492"/>
      <c r="AO58" s="492"/>
      <c r="AP58" s="492"/>
      <c r="AQ58" s="492"/>
      <c r="AR58" s="492"/>
      <c r="AS58" s="492"/>
      <c r="AT58" s="492"/>
      <c r="AU58" s="492"/>
      <c r="AV58" s="492"/>
      <c r="AW58" s="492"/>
      <c r="AX58" s="492"/>
      <c r="AY58" s="492"/>
      <c r="AZ58" s="492"/>
      <c r="BA58" s="492"/>
      <c r="BB58" s="493">
        <v>32303</v>
      </c>
      <c r="BC58" s="494">
        <v>0.375</v>
      </c>
      <c r="BD58" s="493">
        <v>47989</v>
      </c>
      <c r="BE58" s="494">
        <v>0.99998842592592596</v>
      </c>
      <c r="BF58" s="493">
        <v>32639</v>
      </c>
      <c r="BG58" s="494">
        <v>0</v>
      </c>
      <c r="BH58" s="492" t="s">
        <v>1303</v>
      </c>
      <c r="BI58" s="492">
        <v>597.20000000000005</v>
      </c>
      <c r="BJ58" s="492" t="s">
        <v>1304</v>
      </c>
      <c r="BK58" s="492"/>
      <c r="BL58" s="493">
        <v>45551</v>
      </c>
      <c r="BM58" s="492" t="s">
        <v>1305</v>
      </c>
      <c r="BN58" s="492" t="s">
        <v>1301</v>
      </c>
      <c r="BO58" s="492">
        <v>0.16432140619605901</v>
      </c>
      <c r="BP58" s="492">
        <v>5.0513892581900005E-4</v>
      </c>
    </row>
    <row r="59" spans="1:68" ht="75">
      <c r="A59" s="492" t="s">
        <v>833</v>
      </c>
      <c r="B59" s="492">
        <v>391507</v>
      </c>
      <c r="C59" s="492">
        <v>8186424</v>
      </c>
      <c r="D59" s="492">
        <v>176</v>
      </c>
      <c r="E59" s="492">
        <v>109</v>
      </c>
      <c r="F59" s="492">
        <v>60</v>
      </c>
      <c r="G59" s="492" t="b">
        <v>0</v>
      </c>
      <c r="H59" s="492" t="b">
        <v>0</v>
      </c>
      <c r="I59" s="492">
        <v>10</v>
      </c>
      <c r="J59" s="492" t="b">
        <v>0</v>
      </c>
      <c r="K59" s="492">
        <v>90</v>
      </c>
      <c r="L59" s="492" t="s">
        <v>1013</v>
      </c>
      <c r="M59" s="492" t="s">
        <v>1296</v>
      </c>
      <c r="N59" s="492" t="s">
        <v>2</v>
      </c>
      <c r="O59" s="492">
        <v>90</v>
      </c>
      <c r="P59" s="492" t="s">
        <v>109</v>
      </c>
      <c r="Q59" s="492">
        <v>3</v>
      </c>
      <c r="R59" s="492"/>
      <c r="S59" s="492"/>
      <c r="T59" s="492"/>
      <c r="U59" s="492"/>
      <c r="V59" s="492"/>
      <c r="W59" s="492" t="s">
        <v>1307</v>
      </c>
      <c r="X59" s="492"/>
      <c r="Y59" s="492">
        <v>391507</v>
      </c>
      <c r="Z59" s="492">
        <v>8186424</v>
      </c>
      <c r="AA59" s="492">
        <v>10349.8096921285</v>
      </c>
      <c r="AB59" s="492">
        <v>11520.3216247195</v>
      </c>
      <c r="AC59" s="492">
        <v>6</v>
      </c>
      <c r="AD59" s="492">
        <v>23443</v>
      </c>
      <c r="AE59" s="492" t="s">
        <v>1297</v>
      </c>
      <c r="AF59" s="492" t="s">
        <v>1298</v>
      </c>
      <c r="AG59" s="492" t="s">
        <v>1299</v>
      </c>
      <c r="AH59" s="492" t="s">
        <v>1300</v>
      </c>
      <c r="AI59" s="492">
        <v>1</v>
      </c>
      <c r="AJ59" s="492" t="s">
        <v>1301</v>
      </c>
      <c r="AK59" s="492" t="s">
        <v>1302</v>
      </c>
      <c r="AL59" s="492"/>
      <c r="AM59" s="492"/>
      <c r="AN59" s="492"/>
      <c r="AO59" s="492"/>
      <c r="AP59" s="492"/>
      <c r="AQ59" s="492"/>
      <c r="AR59" s="492"/>
      <c r="AS59" s="492"/>
      <c r="AT59" s="492"/>
      <c r="AU59" s="492"/>
      <c r="AV59" s="492"/>
      <c r="AW59" s="492"/>
      <c r="AX59" s="492"/>
      <c r="AY59" s="492"/>
      <c r="AZ59" s="492"/>
      <c r="BA59" s="492"/>
      <c r="BB59" s="493">
        <v>32303</v>
      </c>
      <c r="BC59" s="494">
        <v>0.375</v>
      </c>
      <c r="BD59" s="493">
        <v>47989</v>
      </c>
      <c r="BE59" s="494">
        <v>0.99998842592592596</v>
      </c>
      <c r="BF59" s="493">
        <v>32639</v>
      </c>
      <c r="BG59" s="494">
        <v>0</v>
      </c>
      <c r="BH59" s="492" t="s">
        <v>1303</v>
      </c>
      <c r="BI59" s="492">
        <v>597.20000000000005</v>
      </c>
      <c r="BJ59" s="492" t="s">
        <v>1304</v>
      </c>
      <c r="BK59" s="492"/>
      <c r="BL59" s="493">
        <v>45551</v>
      </c>
      <c r="BM59" s="492" t="s">
        <v>1305</v>
      </c>
      <c r="BN59" s="492" t="s">
        <v>1301</v>
      </c>
      <c r="BO59" s="492">
        <v>0.16432140619605901</v>
      </c>
      <c r="BP59" s="492">
        <v>5.0513892581900005E-4</v>
      </c>
    </row>
    <row r="60" spans="1:68" ht="75">
      <c r="A60" s="492" t="s">
        <v>1046</v>
      </c>
      <c r="B60" s="492">
        <v>391235</v>
      </c>
      <c r="C60" s="492">
        <v>8186432</v>
      </c>
      <c r="D60" s="492">
        <v>186</v>
      </c>
      <c r="E60" s="492">
        <v>289</v>
      </c>
      <c r="F60" s="492">
        <v>60</v>
      </c>
      <c r="G60" s="492" t="b">
        <v>0</v>
      </c>
      <c r="H60" s="492" t="b">
        <v>0</v>
      </c>
      <c r="I60" s="492">
        <v>10</v>
      </c>
      <c r="J60" s="492" t="b">
        <v>0</v>
      </c>
      <c r="K60" s="492">
        <v>160</v>
      </c>
      <c r="L60" s="492" t="s">
        <v>1013</v>
      </c>
      <c r="M60" s="492" t="s">
        <v>1308</v>
      </c>
      <c r="N60" s="492" t="s">
        <v>2</v>
      </c>
      <c r="O60" s="492">
        <v>160</v>
      </c>
      <c r="P60" s="492" t="s">
        <v>109</v>
      </c>
      <c r="Q60" s="492">
        <v>3</v>
      </c>
      <c r="R60" s="492"/>
      <c r="S60" s="492"/>
      <c r="T60" s="492"/>
      <c r="U60" s="492"/>
      <c r="V60" s="492"/>
      <c r="W60" s="492"/>
      <c r="X60" s="492"/>
      <c r="Y60" s="492">
        <v>391235</v>
      </c>
      <c r="Z60" s="492">
        <v>8186432</v>
      </c>
      <c r="AA60" s="492">
        <v>10089.7917368737</v>
      </c>
      <c r="AB60" s="492">
        <v>11439.811376594</v>
      </c>
      <c r="AC60" s="492">
        <v>6</v>
      </c>
      <c r="AD60" s="492">
        <v>23443</v>
      </c>
      <c r="AE60" s="492" t="s">
        <v>1297</v>
      </c>
      <c r="AF60" s="492" t="s">
        <v>1298</v>
      </c>
      <c r="AG60" s="492" t="s">
        <v>1299</v>
      </c>
      <c r="AH60" s="492" t="s">
        <v>1300</v>
      </c>
      <c r="AI60" s="492">
        <v>1</v>
      </c>
      <c r="AJ60" s="492" t="s">
        <v>1301</v>
      </c>
      <c r="AK60" s="492" t="s">
        <v>1302</v>
      </c>
      <c r="AL60" s="492"/>
      <c r="AM60" s="492"/>
      <c r="AN60" s="492"/>
      <c r="AO60" s="492"/>
      <c r="AP60" s="492"/>
      <c r="AQ60" s="492"/>
      <c r="AR60" s="492"/>
      <c r="AS60" s="492"/>
      <c r="AT60" s="492"/>
      <c r="AU60" s="492"/>
      <c r="AV60" s="492"/>
      <c r="AW60" s="492"/>
      <c r="AX60" s="492"/>
      <c r="AY60" s="492"/>
      <c r="AZ60" s="492"/>
      <c r="BA60" s="492"/>
      <c r="BB60" s="493">
        <v>32303</v>
      </c>
      <c r="BC60" s="494">
        <v>0.375</v>
      </c>
      <c r="BD60" s="493">
        <v>47989</v>
      </c>
      <c r="BE60" s="494">
        <v>0.99998842592592596</v>
      </c>
      <c r="BF60" s="493">
        <v>32639</v>
      </c>
      <c r="BG60" s="494">
        <v>0</v>
      </c>
      <c r="BH60" s="492" t="s">
        <v>1303</v>
      </c>
      <c r="BI60" s="492">
        <v>597.20000000000005</v>
      </c>
      <c r="BJ60" s="492" t="s">
        <v>1304</v>
      </c>
      <c r="BK60" s="492"/>
      <c r="BL60" s="493">
        <v>45551</v>
      </c>
      <c r="BM60" s="492" t="s">
        <v>1305</v>
      </c>
      <c r="BN60" s="492" t="s">
        <v>1301</v>
      </c>
      <c r="BO60" s="492">
        <v>0.16432140619605901</v>
      </c>
      <c r="BP60" s="492">
        <v>5.0513892581900005E-4</v>
      </c>
    </row>
    <row r="61" spans="1:68" ht="75">
      <c r="A61" s="492" t="s">
        <v>821</v>
      </c>
      <c r="B61" s="492">
        <v>391529</v>
      </c>
      <c r="C61" s="492">
        <v>8186458</v>
      </c>
      <c r="D61" s="492">
        <v>174</v>
      </c>
      <c r="E61" s="492">
        <v>109</v>
      </c>
      <c r="F61" s="492">
        <v>60</v>
      </c>
      <c r="G61" s="492" t="b">
        <v>0</v>
      </c>
      <c r="H61" s="492" t="b">
        <v>0</v>
      </c>
      <c r="I61" s="492">
        <v>10</v>
      </c>
      <c r="J61" s="492" t="b">
        <v>0</v>
      </c>
      <c r="K61" s="492">
        <v>71</v>
      </c>
      <c r="L61" s="492" t="s">
        <v>1311</v>
      </c>
      <c r="M61" s="492" t="s">
        <v>1296</v>
      </c>
      <c r="N61" s="492" t="s">
        <v>2</v>
      </c>
      <c r="O61" s="492">
        <v>71</v>
      </c>
      <c r="P61" s="492" t="s">
        <v>109</v>
      </c>
      <c r="Q61" s="492">
        <v>3</v>
      </c>
      <c r="R61" s="492"/>
      <c r="S61" s="492"/>
      <c r="T61" s="492"/>
      <c r="U61" s="492"/>
      <c r="V61" s="492"/>
      <c r="W61" s="492"/>
      <c r="X61" s="492"/>
      <c r="Y61" s="492">
        <v>391529</v>
      </c>
      <c r="Z61" s="492">
        <v>8186458</v>
      </c>
      <c r="AA61" s="492">
        <v>10359.6208144007</v>
      </c>
      <c r="AB61" s="492">
        <v>11559.624289846901</v>
      </c>
      <c r="AC61" s="492">
        <v>6</v>
      </c>
      <c r="AD61" s="492">
        <v>23443</v>
      </c>
      <c r="AE61" s="492" t="s">
        <v>1297</v>
      </c>
      <c r="AF61" s="492" t="s">
        <v>1298</v>
      </c>
      <c r="AG61" s="492" t="s">
        <v>1299</v>
      </c>
      <c r="AH61" s="492" t="s">
        <v>1300</v>
      </c>
      <c r="AI61" s="492">
        <v>1</v>
      </c>
      <c r="AJ61" s="492" t="s">
        <v>1301</v>
      </c>
      <c r="AK61" s="492" t="s">
        <v>1302</v>
      </c>
      <c r="AL61" s="492"/>
      <c r="AM61" s="492"/>
      <c r="AN61" s="492"/>
      <c r="AO61" s="492"/>
      <c r="AP61" s="492"/>
      <c r="AQ61" s="492"/>
      <c r="AR61" s="492"/>
      <c r="AS61" s="492"/>
      <c r="AT61" s="492"/>
      <c r="AU61" s="492"/>
      <c r="AV61" s="492"/>
      <c r="AW61" s="492"/>
      <c r="AX61" s="492"/>
      <c r="AY61" s="492"/>
      <c r="AZ61" s="492"/>
      <c r="BA61" s="492"/>
      <c r="BB61" s="493">
        <v>32303</v>
      </c>
      <c r="BC61" s="494">
        <v>0.375</v>
      </c>
      <c r="BD61" s="493">
        <v>47989</v>
      </c>
      <c r="BE61" s="494">
        <v>0.99998842592592596</v>
      </c>
      <c r="BF61" s="493">
        <v>32639</v>
      </c>
      <c r="BG61" s="494">
        <v>0</v>
      </c>
      <c r="BH61" s="492" t="s">
        <v>1303</v>
      </c>
      <c r="BI61" s="492">
        <v>597.20000000000005</v>
      </c>
      <c r="BJ61" s="492" t="s">
        <v>1304</v>
      </c>
      <c r="BK61" s="492"/>
      <c r="BL61" s="493">
        <v>45551</v>
      </c>
      <c r="BM61" s="492" t="s">
        <v>1305</v>
      </c>
      <c r="BN61" s="492" t="s">
        <v>1301</v>
      </c>
      <c r="BO61" s="492">
        <v>0.16432140619605901</v>
      </c>
      <c r="BP61" s="492">
        <v>5.0513892581900005E-4</v>
      </c>
    </row>
    <row r="62" spans="1:68" ht="75">
      <c r="A62" s="492" t="s">
        <v>1045</v>
      </c>
      <c r="B62" s="492">
        <v>391246</v>
      </c>
      <c r="C62" s="492">
        <v>8186470</v>
      </c>
      <c r="D62" s="492">
        <v>186</v>
      </c>
      <c r="E62" s="492">
        <v>289</v>
      </c>
      <c r="F62" s="492">
        <v>60</v>
      </c>
      <c r="G62" s="492" t="b">
        <v>0</v>
      </c>
      <c r="H62" s="492" t="b">
        <v>0</v>
      </c>
      <c r="I62" s="492">
        <v>10</v>
      </c>
      <c r="J62" s="492" t="b">
        <v>0</v>
      </c>
      <c r="K62" s="492">
        <v>160</v>
      </c>
      <c r="L62" s="492" t="s">
        <v>1013</v>
      </c>
      <c r="M62" s="492" t="s">
        <v>1308</v>
      </c>
      <c r="N62" s="492" t="s">
        <v>2</v>
      </c>
      <c r="O62" s="492">
        <v>160</v>
      </c>
      <c r="P62" s="492" t="s">
        <v>109</v>
      </c>
      <c r="Q62" s="492">
        <v>3</v>
      </c>
      <c r="R62" s="492"/>
      <c r="S62" s="492"/>
      <c r="T62" s="492"/>
      <c r="U62" s="492"/>
      <c r="V62" s="492"/>
      <c r="W62" s="492"/>
      <c r="X62" s="492"/>
      <c r="Y62" s="492">
        <v>391246</v>
      </c>
      <c r="Z62" s="492">
        <v>8186470</v>
      </c>
      <c r="AA62" s="492">
        <v>10087.896877286399</v>
      </c>
      <c r="AB62" s="492">
        <v>11479.3376124445</v>
      </c>
      <c r="AC62" s="492">
        <v>6</v>
      </c>
      <c r="AD62" s="492">
        <v>23443</v>
      </c>
      <c r="AE62" s="492" t="s">
        <v>1297</v>
      </c>
      <c r="AF62" s="492" t="s">
        <v>1298</v>
      </c>
      <c r="AG62" s="492" t="s">
        <v>1299</v>
      </c>
      <c r="AH62" s="492" t="s">
        <v>1300</v>
      </c>
      <c r="AI62" s="492">
        <v>1</v>
      </c>
      <c r="AJ62" s="492" t="s">
        <v>1301</v>
      </c>
      <c r="AK62" s="492" t="s">
        <v>1302</v>
      </c>
      <c r="AL62" s="492"/>
      <c r="AM62" s="492"/>
      <c r="AN62" s="492"/>
      <c r="AO62" s="492"/>
      <c r="AP62" s="492"/>
      <c r="AQ62" s="492"/>
      <c r="AR62" s="492"/>
      <c r="AS62" s="492"/>
      <c r="AT62" s="492"/>
      <c r="AU62" s="492"/>
      <c r="AV62" s="492"/>
      <c r="AW62" s="492"/>
      <c r="AX62" s="492"/>
      <c r="AY62" s="492"/>
      <c r="AZ62" s="492"/>
      <c r="BA62" s="492"/>
      <c r="BB62" s="493">
        <v>32303</v>
      </c>
      <c r="BC62" s="494">
        <v>0.375</v>
      </c>
      <c r="BD62" s="493">
        <v>47989</v>
      </c>
      <c r="BE62" s="494">
        <v>0.99998842592592596</v>
      </c>
      <c r="BF62" s="493">
        <v>32639</v>
      </c>
      <c r="BG62" s="494">
        <v>0</v>
      </c>
      <c r="BH62" s="492" t="s">
        <v>1303</v>
      </c>
      <c r="BI62" s="492">
        <v>597.20000000000005</v>
      </c>
      <c r="BJ62" s="492" t="s">
        <v>1304</v>
      </c>
      <c r="BK62" s="492"/>
      <c r="BL62" s="493">
        <v>45551</v>
      </c>
      <c r="BM62" s="492" t="s">
        <v>1305</v>
      </c>
      <c r="BN62" s="492" t="s">
        <v>1301</v>
      </c>
      <c r="BO62" s="492">
        <v>0.16432140619605901</v>
      </c>
      <c r="BP62" s="492">
        <v>5.0513892581900005E-4</v>
      </c>
    </row>
    <row r="63" spans="1:68" ht="75">
      <c r="A63" s="492" t="s">
        <v>822</v>
      </c>
      <c r="B63" s="492">
        <v>391492</v>
      </c>
      <c r="C63" s="492">
        <v>8186471</v>
      </c>
      <c r="D63" s="492">
        <v>175</v>
      </c>
      <c r="E63" s="492">
        <v>109</v>
      </c>
      <c r="F63" s="492">
        <v>58</v>
      </c>
      <c r="G63" s="492" t="b">
        <v>0</v>
      </c>
      <c r="H63" s="492" t="b">
        <v>0</v>
      </c>
      <c r="I63" s="492">
        <v>10</v>
      </c>
      <c r="J63" s="492" t="b">
        <v>0</v>
      </c>
      <c r="K63" s="492">
        <v>135</v>
      </c>
      <c r="L63" s="492" t="s">
        <v>1311</v>
      </c>
      <c r="M63" s="492" t="s">
        <v>1296</v>
      </c>
      <c r="N63" s="492" t="s">
        <v>2</v>
      </c>
      <c r="O63" s="492">
        <v>135</v>
      </c>
      <c r="P63" s="492" t="s">
        <v>109</v>
      </c>
      <c r="Q63" s="492">
        <v>3</v>
      </c>
      <c r="R63" s="492"/>
      <c r="S63" s="492"/>
      <c r="T63" s="492"/>
      <c r="U63" s="492"/>
      <c r="V63" s="492"/>
      <c r="W63" s="492"/>
      <c r="X63" s="492"/>
      <c r="Y63" s="492">
        <v>391492</v>
      </c>
      <c r="Z63" s="492">
        <v>8186471</v>
      </c>
      <c r="AA63" s="492">
        <v>10320.3933433978</v>
      </c>
      <c r="AB63" s="492">
        <v>11559.946107747901</v>
      </c>
      <c r="AC63" s="492">
        <v>6</v>
      </c>
      <c r="AD63" s="492">
        <v>23443</v>
      </c>
      <c r="AE63" s="492" t="s">
        <v>1297</v>
      </c>
      <c r="AF63" s="492" t="s">
        <v>1298</v>
      </c>
      <c r="AG63" s="492" t="s">
        <v>1299</v>
      </c>
      <c r="AH63" s="492" t="s">
        <v>1300</v>
      </c>
      <c r="AI63" s="492">
        <v>1</v>
      </c>
      <c r="AJ63" s="492" t="s">
        <v>1301</v>
      </c>
      <c r="AK63" s="492" t="s">
        <v>1302</v>
      </c>
      <c r="AL63" s="492"/>
      <c r="AM63" s="492"/>
      <c r="AN63" s="492"/>
      <c r="AO63" s="492"/>
      <c r="AP63" s="492"/>
      <c r="AQ63" s="492"/>
      <c r="AR63" s="492"/>
      <c r="AS63" s="492"/>
      <c r="AT63" s="492"/>
      <c r="AU63" s="492"/>
      <c r="AV63" s="492"/>
      <c r="AW63" s="492"/>
      <c r="AX63" s="492"/>
      <c r="AY63" s="492"/>
      <c r="AZ63" s="492"/>
      <c r="BA63" s="492"/>
      <c r="BB63" s="493">
        <v>32303</v>
      </c>
      <c r="BC63" s="494">
        <v>0.375</v>
      </c>
      <c r="BD63" s="493">
        <v>47989</v>
      </c>
      <c r="BE63" s="494">
        <v>0.99998842592592596</v>
      </c>
      <c r="BF63" s="493">
        <v>32639</v>
      </c>
      <c r="BG63" s="494">
        <v>0</v>
      </c>
      <c r="BH63" s="492" t="s">
        <v>1303</v>
      </c>
      <c r="BI63" s="492">
        <v>597.20000000000005</v>
      </c>
      <c r="BJ63" s="492" t="s">
        <v>1304</v>
      </c>
      <c r="BK63" s="492"/>
      <c r="BL63" s="493">
        <v>45551</v>
      </c>
      <c r="BM63" s="492" t="s">
        <v>1305</v>
      </c>
      <c r="BN63" s="492" t="s">
        <v>1301</v>
      </c>
      <c r="BO63" s="492">
        <v>0.16432140619605901</v>
      </c>
      <c r="BP63" s="492">
        <v>5.0513892581900005E-4</v>
      </c>
    </row>
    <row r="64" spans="1:68" ht="75">
      <c r="A64" s="492" t="s">
        <v>1149</v>
      </c>
      <c r="B64" s="492">
        <v>386840</v>
      </c>
      <c r="C64" s="492">
        <v>8196701</v>
      </c>
      <c r="D64" s="492">
        <v>256</v>
      </c>
      <c r="E64" s="492">
        <v>94</v>
      </c>
      <c r="F64" s="492">
        <v>60</v>
      </c>
      <c r="G64" s="492" t="b">
        <v>0</v>
      </c>
      <c r="H64" s="492" t="b">
        <v>0</v>
      </c>
      <c r="I64" s="492">
        <v>10</v>
      </c>
      <c r="J64" s="492" t="b">
        <v>0</v>
      </c>
      <c r="K64" s="492">
        <v>90</v>
      </c>
      <c r="L64" s="492" t="s">
        <v>111</v>
      </c>
      <c r="M64" s="492" t="s">
        <v>1308</v>
      </c>
      <c r="N64" s="492" t="s">
        <v>2</v>
      </c>
      <c r="O64" s="492">
        <v>90</v>
      </c>
      <c r="P64" s="492" t="s">
        <v>112</v>
      </c>
      <c r="Q64" s="492">
        <v>3</v>
      </c>
      <c r="R64" s="492"/>
      <c r="S64" s="492"/>
      <c r="T64" s="492"/>
      <c r="U64" s="492"/>
      <c r="V64" s="492"/>
      <c r="W64" s="492"/>
      <c r="X64" s="492"/>
      <c r="Y64" s="492">
        <v>386840</v>
      </c>
      <c r="Z64" s="492">
        <v>8196701</v>
      </c>
      <c r="AA64" s="492">
        <v>2604.8526726537302</v>
      </c>
      <c r="AB64" s="492">
        <v>19735.408176631601</v>
      </c>
      <c r="AC64" s="492">
        <v>1</v>
      </c>
      <c r="AD64" s="492">
        <v>10658</v>
      </c>
      <c r="AE64" s="492" t="s">
        <v>1318</v>
      </c>
      <c r="AF64" s="492" t="s">
        <v>1319</v>
      </c>
      <c r="AG64" s="492" t="s">
        <v>1320</v>
      </c>
      <c r="AH64" s="492" t="s">
        <v>1300</v>
      </c>
      <c r="AI64" s="492">
        <v>1</v>
      </c>
      <c r="AJ64" s="492" t="s">
        <v>1301</v>
      </c>
      <c r="AK64" s="492" t="s">
        <v>1302</v>
      </c>
      <c r="AL64" s="492"/>
      <c r="AM64" s="492"/>
      <c r="AN64" s="492"/>
      <c r="AO64" s="492"/>
      <c r="AP64" s="492"/>
      <c r="AQ64" s="492"/>
      <c r="AR64" s="492"/>
      <c r="AS64" s="492"/>
      <c r="AT64" s="492"/>
      <c r="AU64" s="492"/>
      <c r="AV64" s="492"/>
      <c r="AW64" s="492"/>
      <c r="AX64" s="492"/>
      <c r="AY64" s="492"/>
      <c r="AZ64" s="492"/>
      <c r="BA64" s="492"/>
      <c r="BB64" s="493">
        <v>37292</v>
      </c>
      <c r="BC64" s="494">
        <v>0.375</v>
      </c>
      <c r="BD64" s="493">
        <v>45514</v>
      </c>
      <c r="BE64" s="494">
        <v>0.99998842592592596</v>
      </c>
      <c r="BF64" s="493">
        <v>37844</v>
      </c>
      <c r="BG64" s="494">
        <v>0</v>
      </c>
      <c r="BH64" s="492" t="s">
        <v>1321</v>
      </c>
      <c r="BI64" s="492">
        <v>46</v>
      </c>
      <c r="BJ64" s="492" t="s">
        <v>1322</v>
      </c>
      <c r="BK64" s="492" t="s">
        <v>1323</v>
      </c>
      <c r="BL64" s="493">
        <v>45551</v>
      </c>
      <c r="BM64" s="492" t="s">
        <v>1305</v>
      </c>
      <c r="BN64" s="492" t="s">
        <v>1301</v>
      </c>
      <c r="BO64" s="492">
        <v>1.14061589932797</v>
      </c>
      <c r="BP64" s="492">
        <v>1.1498978662887E-2</v>
      </c>
    </row>
    <row r="65" spans="1:68" ht="75">
      <c r="A65" s="492" t="s">
        <v>1150</v>
      </c>
      <c r="B65" s="492">
        <v>386871</v>
      </c>
      <c r="C65" s="492">
        <v>8196058</v>
      </c>
      <c r="D65" s="492">
        <v>253</v>
      </c>
      <c r="E65" s="492">
        <v>94</v>
      </c>
      <c r="F65" s="492">
        <v>60</v>
      </c>
      <c r="G65" s="492" t="b">
        <v>0</v>
      </c>
      <c r="H65" s="492" t="b">
        <v>0</v>
      </c>
      <c r="I65" s="492">
        <v>10</v>
      </c>
      <c r="J65" s="492" t="b">
        <v>0</v>
      </c>
      <c r="K65" s="492">
        <v>90</v>
      </c>
      <c r="L65" s="492" t="s">
        <v>111</v>
      </c>
      <c r="M65" s="492" t="s">
        <v>1308</v>
      </c>
      <c r="N65" s="492" t="s">
        <v>2</v>
      </c>
      <c r="O65" s="492">
        <v>90</v>
      </c>
      <c r="P65" s="492" t="s">
        <v>112</v>
      </c>
      <c r="Q65" s="492">
        <v>3</v>
      </c>
      <c r="R65" s="492"/>
      <c r="S65" s="492"/>
      <c r="T65" s="492"/>
      <c r="U65" s="492"/>
      <c r="V65" s="492"/>
      <c r="W65" s="492"/>
      <c r="X65" s="492"/>
      <c r="Y65" s="492">
        <v>386871</v>
      </c>
      <c r="Z65" s="492">
        <v>8196058</v>
      </c>
      <c r="AA65" s="492">
        <v>2842.4142214385702</v>
      </c>
      <c r="AB65" s="492">
        <v>19136.896282653299</v>
      </c>
      <c r="AC65" s="492">
        <v>1</v>
      </c>
      <c r="AD65" s="492">
        <v>10658</v>
      </c>
      <c r="AE65" s="492" t="s">
        <v>1318</v>
      </c>
      <c r="AF65" s="492" t="s">
        <v>1319</v>
      </c>
      <c r="AG65" s="492" t="s">
        <v>1320</v>
      </c>
      <c r="AH65" s="492" t="s">
        <v>1300</v>
      </c>
      <c r="AI65" s="492">
        <v>1</v>
      </c>
      <c r="AJ65" s="492" t="s">
        <v>1301</v>
      </c>
      <c r="AK65" s="492" t="s">
        <v>1302</v>
      </c>
      <c r="AL65" s="492"/>
      <c r="AM65" s="492"/>
      <c r="AN65" s="492"/>
      <c r="AO65" s="492"/>
      <c r="AP65" s="492"/>
      <c r="AQ65" s="492"/>
      <c r="AR65" s="492"/>
      <c r="AS65" s="492"/>
      <c r="AT65" s="492"/>
      <c r="AU65" s="492"/>
      <c r="AV65" s="492"/>
      <c r="AW65" s="492"/>
      <c r="AX65" s="492"/>
      <c r="AY65" s="492"/>
      <c r="AZ65" s="492"/>
      <c r="BA65" s="492"/>
      <c r="BB65" s="493">
        <v>37292</v>
      </c>
      <c r="BC65" s="494">
        <v>0.375</v>
      </c>
      <c r="BD65" s="493">
        <v>45514</v>
      </c>
      <c r="BE65" s="494">
        <v>0.99998842592592596</v>
      </c>
      <c r="BF65" s="493">
        <v>37844</v>
      </c>
      <c r="BG65" s="494">
        <v>0</v>
      </c>
      <c r="BH65" s="492" t="s">
        <v>1321</v>
      </c>
      <c r="BI65" s="492">
        <v>46</v>
      </c>
      <c r="BJ65" s="492" t="s">
        <v>1322</v>
      </c>
      <c r="BK65" s="492" t="s">
        <v>1323</v>
      </c>
      <c r="BL65" s="493">
        <v>45551</v>
      </c>
      <c r="BM65" s="492" t="s">
        <v>1305</v>
      </c>
      <c r="BN65" s="492" t="s">
        <v>1301</v>
      </c>
      <c r="BO65" s="492">
        <v>1.14061589932797</v>
      </c>
      <c r="BP65" s="492">
        <v>1.1498978662887E-2</v>
      </c>
    </row>
    <row r="66" spans="1:68" ht="75">
      <c r="A66" s="492" t="s">
        <v>1151</v>
      </c>
      <c r="B66" s="492">
        <v>387000</v>
      </c>
      <c r="C66" s="492">
        <v>8195453</v>
      </c>
      <c r="D66" s="492">
        <v>242</v>
      </c>
      <c r="E66" s="492">
        <v>274</v>
      </c>
      <c r="F66" s="492">
        <v>60</v>
      </c>
      <c r="G66" s="492" t="b">
        <v>0</v>
      </c>
      <c r="H66" s="492" t="b">
        <v>0</v>
      </c>
      <c r="I66" s="492">
        <v>10</v>
      </c>
      <c r="J66" s="492" t="b">
        <v>0</v>
      </c>
      <c r="K66" s="492">
        <v>90</v>
      </c>
      <c r="L66" s="492" t="s">
        <v>111</v>
      </c>
      <c r="M66" s="492" t="s">
        <v>1308</v>
      </c>
      <c r="N66" s="492" t="s">
        <v>2</v>
      </c>
      <c r="O66" s="492">
        <v>90</v>
      </c>
      <c r="P66" s="492" t="s">
        <v>112</v>
      </c>
      <c r="Q66" s="492">
        <v>3</v>
      </c>
      <c r="R66" s="492"/>
      <c r="S66" s="492"/>
      <c r="T66" s="492"/>
      <c r="U66" s="492"/>
      <c r="V66" s="492"/>
      <c r="W66" s="492"/>
      <c r="X66" s="492"/>
      <c r="Y66" s="492">
        <v>387000</v>
      </c>
      <c r="Z66" s="492">
        <v>8195453</v>
      </c>
      <c r="AA66" s="492">
        <v>3160.4197957208298</v>
      </c>
      <c r="AB66" s="492">
        <v>18606.083796086699</v>
      </c>
      <c r="AC66" s="492">
        <v>1</v>
      </c>
      <c r="AD66" s="492">
        <v>10658</v>
      </c>
      <c r="AE66" s="492" t="s">
        <v>1318</v>
      </c>
      <c r="AF66" s="492" t="s">
        <v>1319</v>
      </c>
      <c r="AG66" s="492" t="s">
        <v>1320</v>
      </c>
      <c r="AH66" s="492" t="s">
        <v>1300</v>
      </c>
      <c r="AI66" s="492">
        <v>1</v>
      </c>
      <c r="AJ66" s="492" t="s">
        <v>1301</v>
      </c>
      <c r="AK66" s="492" t="s">
        <v>1302</v>
      </c>
      <c r="AL66" s="492"/>
      <c r="AM66" s="492"/>
      <c r="AN66" s="492"/>
      <c r="AO66" s="492"/>
      <c r="AP66" s="492"/>
      <c r="AQ66" s="492"/>
      <c r="AR66" s="492"/>
      <c r="AS66" s="492"/>
      <c r="AT66" s="492"/>
      <c r="AU66" s="492"/>
      <c r="AV66" s="492"/>
      <c r="AW66" s="492"/>
      <c r="AX66" s="492"/>
      <c r="AY66" s="492"/>
      <c r="AZ66" s="492"/>
      <c r="BA66" s="492"/>
      <c r="BB66" s="493">
        <v>37292</v>
      </c>
      <c r="BC66" s="494">
        <v>0.375</v>
      </c>
      <c r="BD66" s="493">
        <v>45514</v>
      </c>
      <c r="BE66" s="494">
        <v>0.99998842592592596</v>
      </c>
      <c r="BF66" s="493">
        <v>37844</v>
      </c>
      <c r="BG66" s="494">
        <v>0</v>
      </c>
      <c r="BH66" s="492" t="s">
        <v>1321</v>
      </c>
      <c r="BI66" s="492">
        <v>46</v>
      </c>
      <c r="BJ66" s="492" t="s">
        <v>1322</v>
      </c>
      <c r="BK66" s="492" t="s">
        <v>1323</v>
      </c>
      <c r="BL66" s="493">
        <v>45551</v>
      </c>
      <c r="BM66" s="492" t="s">
        <v>1305</v>
      </c>
      <c r="BN66" s="492" t="s">
        <v>1301</v>
      </c>
      <c r="BO66" s="492">
        <v>1.14061589932797</v>
      </c>
      <c r="BP66" s="492">
        <v>1.1498978662887E-2</v>
      </c>
    </row>
    <row r="67" spans="1:68" ht="75">
      <c r="A67" s="492" t="s">
        <v>1162</v>
      </c>
      <c r="B67" s="492">
        <v>394830</v>
      </c>
      <c r="C67" s="492">
        <v>8192774</v>
      </c>
      <c r="D67" s="492">
        <v>170</v>
      </c>
      <c r="E67" s="492">
        <v>0</v>
      </c>
      <c r="F67" s="492">
        <v>90</v>
      </c>
      <c r="G67" s="492" t="b">
        <v>0</v>
      </c>
      <c r="H67" s="492" t="b">
        <v>0</v>
      </c>
      <c r="I67" s="492">
        <v>10</v>
      </c>
      <c r="J67" s="492" t="b">
        <v>0</v>
      </c>
      <c r="K67" s="492">
        <v>100</v>
      </c>
      <c r="L67" s="492" t="s">
        <v>1324</v>
      </c>
      <c r="M67" s="492" t="s">
        <v>1296</v>
      </c>
      <c r="N67" s="492" t="s">
        <v>2</v>
      </c>
      <c r="O67" s="492">
        <v>100</v>
      </c>
      <c r="P67" s="492" t="s">
        <v>1310</v>
      </c>
      <c r="Q67" s="492">
        <v>3</v>
      </c>
      <c r="R67" s="492"/>
      <c r="S67" s="492"/>
      <c r="T67" s="492"/>
      <c r="U67" s="492"/>
      <c r="V67" s="492"/>
      <c r="W67" s="492"/>
      <c r="X67" s="492"/>
      <c r="Y67" s="492">
        <v>394830</v>
      </c>
      <c r="Z67" s="492">
        <v>8192774</v>
      </c>
      <c r="AA67" s="492">
        <v>11438.458837174299</v>
      </c>
      <c r="AB67" s="492">
        <v>18606.199430886601</v>
      </c>
      <c r="AC67" s="492">
        <v>1</v>
      </c>
      <c r="AD67" s="492">
        <v>10658</v>
      </c>
      <c r="AE67" s="492" t="s">
        <v>1318</v>
      </c>
      <c r="AF67" s="492" t="s">
        <v>1319</v>
      </c>
      <c r="AG67" s="492" t="s">
        <v>1320</v>
      </c>
      <c r="AH67" s="492" t="s">
        <v>1300</v>
      </c>
      <c r="AI67" s="492">
        <v>1</v>
      </c>
      <c r="AJ67" s="492" t="s">
        <v>1301</v>
      </c>
      <c r="AK67" s="492" t="s">
        <v>1302</v>
      </c>
      <c r="AL67" s="492"/>
      <c r="AM67" s="492"/>
      <c r="AN67" s="492"/>
      <c r="AO67" s="492"/>
      <c r="AP67" s="492"/>
      <c r="AQ67" s="492"/>
      <c r="AR67" s="492"/>
      <c r="AS67" s="492"/>
      <c r="AT67" s="492"/>
      <c r="AU67" s="492"/>
      <c r="AV67" s="492"/>
      <c r="AW67" s="492"/>
      <c r="AX67" s="492"/>
      <c r="AY67" s="492"/>
      <c r="AZ67" s="492"/>
      <c r="BA67" s="492"/>
      <c r="BB67" s="493">
        <v>37292</v>
      </c>
      <c r="BC67" s="494">
        <v>0.375</v>
      </c>
      <c r="BD67" s="493">
        <v>45514</v>
      </c>
      <c r="BE67" s="494">
        <v>0.99998842592592596</v>
      </c>
      <c r="BF67" s="493">
        <v>37844</v>
      </c>
      <c r="BG67" s="494">
        <v>0</v>
      </c>
      <c r="BH67" s="492" t="s">
        <v>1321</v>
      </c>
      <c r="BI67" s="492">
        <v>46</v>
      </c>
      <c r="BJ67" s="492" t="s">
        <v>1322</v>
      </c>
      <c r="BK67" s="492" t="s">
        <v>1323</v>
      </c>
      <c r="BL67" s="493">
        <v>45551</v>
      </c>
      <c r="BM67" s="492" t="s">
        <v>1305</v>
      </c>
      <c r="BN67" s="492" t="s">
        <v>1301</v>
      </c>
      <c r="BO67" s="492">
        <v>1.14061589932797</v>
      </c>
      <c r="BP67" s="492">
        <v>1.1498978662887E-2</v>
      </c>
    </row>
    <row r="68" spans="1:68" ht="75">
      <c r="A68" s="492" t="s">
        <v>1164</v>
      </c>
      <c r="B68" s="492">
        <v>393150</v>
      </c>
      <c r="C68" s="492">
        <v>8189498</v>
      </c>
      <c r="D68" s="492">
        <v>170</v>
      </c>
      <c r="E68" s="492">
        <v>0</v>
      </c>
      <c r="F68" s="492">
        <v>90</v>
      </c>
      <c r="G68" s="492" t="b">
        <v>0</v>
      </c>
      <c r="H68" s="492" t="b">
        <v>0</v>
      </c>
      <c r="I68" s="492">
        <v>10</v>
      </c>
      <c r="J68" s="492" t="b">
        <v>0</v>
      </c>
      <c r="K68" s="492">
        <v>100</v>
      </c>
      <c r="L68" s="492" t="s">
        <v>1325</v>
      </c>
      <c r="M68" s="492" t="s">
        <v>1296</v>
      </c>
      <c r="N68" s="492" t="s">
        <v>2</v>
      </c>
      <c r="O68" s="492">
        <v>100</v>
      </c>
      <c r="P68" s="492" t="s">
        <v>1310</v>
      </c>
      <c r="Q68" s="492">
        <v>3</v>
      </c>
      <c r="R68" s="492"/>
      <c r="S68" s="492"/>
      <c r="T68" s="492"/>
      <c r="U68" s="492"/>
      <c r="V68" s="492"/>
      <c r="W68" s="492"/>
      <c r="X68" s="492"/>
      <c r="Y68" s="492">
        <v>393150</v>
      </c>
      <c r="Z68" s="492">
        <v>8189498</v>
      </c>
      <c r="AA68" s="492">
        <v>10909.332206532299</v>
      </c>
      <c r="AB68" s="492">
        <v>14961.680860505399</v>
      </c>
      <c r="AC68" s="492">
        <v>1</v>
      </c>
      <c r="AD68" s="492">
        <v>10658</v>
      </c>
      <c r="AE68" s="492" t="s">
        <v>1318</v>
      </c>
      <c r="AF68" s="492" t="s">
        <v>1319</v>
      </c>
      <c r="AG68" s="492" t="s">
        <v>1320</v>
      </c>
      <c r="AH68" s="492" t="s">
        <v>1300</v>
      </c>
      <c r="AI68" s="492">
        <v>1</v>
      </c>
      <c r="AJ68" s="492" t="s">
        <v>1301</v>
      </c>
      <c r="AK68" s="492" t="s">
        <v>1302</v>
      </c>
      <c r="AL68" s="492"/>
      <c r="AM68" s="492"/>
      <c r="AN68" s="492"/>
      <c r="AO68" s="492"/>
      <c r="AP68" s="492"/>
      <c r="AQ68" s="492"/>
      <c r="AR68" s="492"/>
      <c r="AS68" s="492"/>
      <c r="AT68" s="492"/>
      <c r="AU68" s="492"/>
      <c r="AV68" s="492"/>
      <c r="AW68" s="492"/>
      <c r="AX68" s="492"/>
      <c r="AY68" s="492"/>
      <c r="AZ68" s="492"/>
      <c r="BA68" s="492"/>
      <c r="BB68" s="493">
        <v>37292</v>
      </c>
      <c r="BC68" s="494">
        <v>0.375</v>
      </c>
      <c r="BD68" s="493">
        <v>45514</v>
      </c>
      <c r="BE68" s="494">
        <v>0.99998842592592596</v>
      </c>
      <c r="BF68" s="493">
        <v>37844</v>
      </c>
      <c r="BG68" s="494">
        <v>0</v>
      </c>
      <c r="BH68" s="492" t="s">
        <v>1321</v>
      </c>
      <c r="BI68" s="492">
        <v>46</v>
      </c>
      <c r="BJ68" s="492" t="s">
        <v>1322</v>
      </c>
      <c r="BK68" s="492" t="s">
        <v>1323</v>
      </c>
      <c r="BL68" s="493">
        <v>45551</v>
      </c>
      <c r="BM68" s="492" t="s">
        <v>1305</v>
      </c>
      <c r="BN68" s="492" t="s">
        <v>1301</v>
      </c>
      <c r="BO68" s="492">
        <v>1.14061589932797</v>
      </c>
      <c r="BP68" s="492">
        <v>1.1498978662887E-2</v>
      </c>
    </row>
    <row r="69" spans="1:68" ht="75">
      <c r="A69" s="492" t="s">
        <v>1170</v>
      </c>
      <c r="B69" s="492">
        <v>388599</v>
      </c>
      <c r="C69" s="492">
        <v>8186829</v>
      </c>
      <c r="D69" s="492">
        <v>170</v>
      </c>
      <c r="E69" s="492">
        <v>0</v>
      </c>
      <c r="F69" s="492">
        <v>90</v>
      </c>
      <c r="G69" s="492" t="b">
        <v>0</v>
      </c>
      <c r="H69" s="492" t="b">
        <v>0</v>
      </c>
      <c r="I69" s="492">
        <v>10</v>
      </c>
      <c r="J69" s="492" t="b">
        <v>0</v>
      </c>
      <c r="K69" s="492">
        <v>24</v>
      </c>
      <c r="L69" s="492" t="s">
        <v>1326</v>
      </c>
      <c r="M69" s="492" t="s">
        <v>1296</v>
      </c>
      <c r="N69" s="492" t="s">
        <v>1317</v>
      </c>
      <c r="O69" s="492">
        <v>24</v>
      </c>
      <c r="P69" s="492" t="s">
        <v>1310</v>
      </c>
      <c r="Q69" s="492">
        <v>3</v>
      </c>
      <c r="R69" s="492" t="b">
        <v>1</v>
      </c>
      <c r="S69" s="492" t="b">
        <v>1</v>
      </c>
      <c r="T69" s="492"/>
      <c r="U69" s="492"/>
      <c r="V69" s="492"/>
      <c r="W69" s="492"/>
      <c r="X69" s="492"/>
      <c r="Y69" s="492">
        <v>388599</v>
      </c>
      <c r="Z69" s="492">
        <v>8186831.6359246299</v>
      </c>
      <c r="AA69" s="492">
        <v>7465.60423710336</v>
      </c>
      <c r="AB69" s="492">
        <v>10964.421677722499</v>
      </c>
      <c r="AC69" s="492">
        <v>1</v>
      </c>
      <c r="AD69" s="492">
        <v>10658</v>
      </c>
      <c r="AE69" s="492" t="s">
        <v>1318</v>
      </c>
      <c r="AF69" s="492" t="s">
        <v>1319</v>
      </c>
      <c r="AG69" s="492" t="s">
        <v>1320</v>
      </c>
      <c r="AH69" s="492" t="s">
        <v>1300</v>
      </c>
      <c r="AI69" s="492">
        <v>1</v>
      </c>
      <c r="AJ69" s="492" t="s">
        <v>1301</v>
      </c>
      <c r="AK69" s="492" t="s">
        <v>1302</v>
      </c>
      <c r="AL69" s="492"/>
      <c r="AM69" s="492"/>
      <c r="AN69" s="492"/>
      <c r="AO69" s="492"/>
      <c r="AP69" s="492"/>
      <c r="AQ69" s="492"/>
      <c r="AR69" s="492"/>
      <c r="AS69" s="492"/>
      <c r="AT69" s="492"/>
      <c r="AU69" s="492"/>
      <c r="AV69" s="492"/>
      <c r="AW69" s="492"/>
      <c r="AX69" s="492"/>
      <c r="AY69" s="492"/>
      <c r="AZ69" s="492"/>
      <c r="BA69" s="492"/>
      <c r="BB69" s="493">
        <v>37292</v>
      </c>
      <c r="BC69" s="494">
        <v>0.375</v>
      </c>
      <c r="BD69" s="493">
        <v>45514</v>
      </c>
      <c r="BE69" s="494">
        <v>0.99998842592592596</v>
      </c>
      <c r="BF69" s="493">
        <v>37844</v>
      </c>
      <c r="BG69" s="494">
        <v>0</v>
      </c>
      <c r="BH69" s="492" t="s">
        <v>1321</v>
      </c>
      <c r="BI69" s="492">
        <v>46</v>
      </c>
      <c r="BJ69" s="492" t="s">
        <v>1322</v>
      </c>
      <c r="BK69" s="492" t="s">
        <v>1323</v>
      </c>
      <c r="BL69" s="493">
        <v>45551</v>
      </c>
      <c r="BM69" s="492" t="s">
        <v>1305</v>
      </c>
      <c r="BN69" s="492" t="s">
        <v>1301</v>
      </c>
      <c r="BO69" s="492">
        <v>1.14061589932797</v>
      </c>
      <c r="BP69" s="492">
        <v>1.1498978662887E-2</v>
      </c>
    </row>
    <row r="70" spans="1:68" ht="75">
      <c r="A70" s="492" t="s">
        <v>1171</v>
      </c>
      <c r="B70" s="492">
        <v>388248</v>
      </c>
      <c r="C70" s="492">
        <v>8186710</v>
      </c>
      <c r="D70" s="492">
        <v>170</v>
      </c>
      <c r="E70" s="492">
        <v>0</v>
      </c>
      <c r="F70" s="492">
        <v>90</v>
      </c>
      <c r="G70" s="492" t="b">
        <v>0</v>
      </c>
      <c r="H70" s="492" t="b">
        <v>0</v>
      </c>
      <c r="I70" s="492">
        <v>10</v>
      </c>
      <c r="J70" s="492" t="b">
        <v>0</v>
      </c>
      <c r="K70" s="492">
        <v>24</v>
      </c>
      <c r="L70" s="492" t="s">
        <v>1327</v>
      </c>
      <c r="M70" s="492" t="s">
        <v>1296</v>
      </c>
      <c r="N70" s="492" t="s">
        <v>1317</v>
      </c>
      <c r="O70" s="492">
        <v>24</v>
      </c>
      <c r="P70" s="492" t="s">
        <v>1310</v>
      </c>
      <c r="Q70" s="492">
        <v>3</v>
      </c>
      <c r="R70" s="492"/>
      <c r="S70" s="492"/>
      <c r="T70" s="492"/>
      <c r="U70" s="492"/>
      <c r="V70" s="492"/>
      <c r="W70" s="492"/>
      <c r="X70" s="492"/>
      <c r="Y70" s="492">
        <v>388248</v>
      </c>
      <c r="Z70" s="492">
        <v>8186710</v>
      </c>
      <c r="AA70" s="492">
        <v>7172.7987327068104</v>
      </c>
      <c r="AB70" s="492">
        <v>10735.6383485402</v>
      </c>
      <c r="AC70" s="492">
        <v>1</v>
      </c>
      <c r="AD70" s="492">
        <v>10658</v>
      </c>
      <c r="AE70" s="492" t="s">
        <v>1318</v>
      </c>
      <c r="AF70" s="492" t="s">
        <v>1319</v>
      </c>
      <c r="AG70" s="492" t="s">
        <v>1320</v>
      </c>
      <c r="AH70" s="492" t="s">
        <v>1300</v>
      </c>
      <c r="AI70" s="492">
        <v>1</v>
      </c>
      <c r="AJ70" s="492" t="s">
        <v>1301</v>
      </c>
      <c r="AK70" s="492" t="s">
        <v>1302</v>
      </c>
      <c r="AL70" s="492"/>
      <c r="AM70" s="492"/>
      <c r="AN70" s="492"/>
      <c r="AO70" s="492"/>
      <c r="AP70" s="492"/>
      <c r="AQ70" s="492"/>
      <c r="AR70" s="492"/>
      <c r="AS70" s="492"/>
      <c r="AT70" s="492"/>
      <c r="AU70" s="492"/>
      <c r="AV70" s="492"/>
      <c r="AW70" s="492"/>
      <c r="AX70" s="492"/>
      <c r="AY70" s="492"/>
      <c r="AZ70" s="492"/>
      <c r="BA70" s="492"/>
      <c r="BB70" s="493">
        <v>37292</v>
      </c>
      <c r="BC70" s="494">
        <v>0.375</v>
      </c>
      <c r="BD70" s="493">
        <v>45514</v>
      </c>
      <c r="BE70" s="494">
        <v>0.99998842592592596</v>
      </c>
      <c r="BF70" s="493">
        <v>37844</v>
      </c>
      <c r="BG70" s="494">
        <v>0</v>
      </c>
      <c r="BH70" s="492" t="s">
        <v>1321</v>
      </c>
      <c r="BI70" s="492">
        <v>46</v>
      </c>
      <c r="BJ70" s="492" t="s">
        <v>1322</v>
      </c>
      <c r="BK70" s="492" t="s">
        <v>1323</v>
      </c>
      <c r="BL70" s="493">
        <v>45551</v>
      </c>
      <c r="BM70" s="492" t="s">
        <v>1305</v>
      </c>
      <c r="BN70" s="492" t="s">
        <v>1301</v>
      </c>
      <c r="BO70" s="492">
        <v>1.14061589932797</v>
      </c>
      <c r="BP70" s="492">
        <v>1.1498978662887E-2</v>
      </c>
    </row>
    <row r="71" spans="1:68" ht="75">
      <c r="A71" s="492" t="s">
        <v>1172</v>
      </c>
      <c r="B71" s="492">
        <v>388407</v>
      </c>
      <c r="C71" s="492">
        <v>8186626</v>
      </c>
      <c r="D71" s="492">
        <v>170</v>
      </c>
      <c r="E71" s="492">
        <v>0</v>
      </c>
      <c r="F71" s="492">
        <v>90</v>
      </c>
      <c r="G71" s="492" t="b">
        <v>0</v>
      </c>
      <c r="H71" s="492" t="b">
        <v>0</v>
      </c>
      <c r="I71" s="492">
        <v>10</v>
      </c>
      <c r="J71" s="492" t="b">
        <v>0</v>
      </c>
      <c r="K71" s="492">
        <v>24</v>
      </c>
      <c r="L71" s="492" t="s">
        <v>1328</v>
      </c>
      <c r="M71" s="492" t="s">
        <v>1296</v>
      </c>
      <c r="N71" s="492" t="s">
        <v>1317</v>
      </c>
      <c r="O71" s="492">
        <v>24</v>
      </c>
      <c r="P71" s="492" t="s">
        <v>1310</v>
      </c>
      <c r="Q71" s="492">
        <v>3</v>
      </c>
      <c r="R71" s="492"/>
      <c r="S71" s="492"/>
      <c r="T71" s="492"/>
      <c r="U71" s="492"/>
      <c r="V71" s="492"/>
      <c r="W71" s="492"/>
      <c r="X71" s="492"/>
      <c r="Y71" s="492">
        <v>388407</v>
      </c>
      <c r="Z71" s="492">
        <v>8186626</v>
      </c>
      <c r="AA71" s="492">
        <v>7350.4818262294802</v>
      </c>
      <c r="AB71" s="492">
        <v>10707.627635156699</v>
      </c>
      <c r="AC71" s="492">
        <v>1</v>
      </c>
      <c r="AD71" s="492">
        <v>10658</v>
      </c>
      <c r="AE71" s="492" t="s">
        <v>1318</v>
      </c>
      <c r="AF71" s="492" t="s">
        <v>1319</v>
      </c>
      <c r="AG71" s="492" t="s">
        <v>1320</v>
      </c>
      <c r="AH71" s="492" t="s">
        <v>1300</v>
      </c>
      <c r="AI71" s="492">
        <v>1</v>
      </c>
      <c r="AJ71" s="492" t="s">
        <v>1301</v>
      </c>
      <c r="AK71" s="492" t="s">
        <v>1302</v>
      </c>
      <c r="AL71" s="492"/>
      <c r="AM71" s="492"/>
      <c r="AN71" s="492"/>
      <c r="AO71" s="492"/>
      <c r="AP71" s="492"/>
      <c r="AQ71" s="492"/>
      <c r="AR71" s="492"/>
      <c r="AS71" s="492"/>
      <c r="AT71" s="492"/>
      <c r="AU71" s="492"/>
      <c r="AV71" s="492"/>
      <c r="AW71" s="492"/>
      <c r="AX71" s="492"/>
      <c r="AY71" s="492"/>
      <c r="AZ71" s="492"/>
      <c r="BA71" s="492"/>
      <c r="BB71" s="493">
        <v>37292</v>
      </c>
      <c r="BC71" s="494">
        <v>0.375</v>
      </c>
      <c r="BD71" s="493">
        <v>45514</v>
      </c>
      <c r="BE71" s="494">
        <v>0.99998842592592596</v>
      </c>
      <c r="BF71" s="493">
        <v>37844</v>
      </c>
      <c r="BG71" s="494">
        <v>0</v>
      </c>
      <c r="BH71" s="492" t="s">
        <v>1321</v>
      </c>
      <c r="BI71" s="492">
        <v>46</v>
      </c>
      <c r="BJ71" s="492" t="s">
        <v>1322</v>
      </c>
      <c r="BK71" s="492" t="s">
        <v>1323</v>
      </c>
      <c r="BL71" s="493">
        <v>45551</v>
      </c>
      <c r="BM71" s="492" t="s">
        <v>1305</v>
      </c>
      <c r="BN71" s="492" t="s">
        <v>1301</v>
      </c>
      <c r="BO71" s="492">
        <v>1.14061589932797</v>
      </c>
      <c r="BP71" s="492">
        <v>1.1498978662887E-2</v>
      </c>
    </row>
    <row r="72" spans="1:68" ht="75">
      <c r="A72" s="492" t="s">
        <v>183</v>
      </c>
      <c r="B72" s="492">
        <v>388253</v>
      </c>
      <c r="C72" s="492">
        <v>8186577</v>
      </c>
      <c r="D72" s="492">
        <v>190</v>
      </c>
      <c r="E72" s="492">
        <v>0</v>
      </c>
      <c r="F72" s="492">
        <v>90</v>
      </c>
      <c r="G72" s="492" t="b">
        <v>0</v>
      </c>
      <c r="H72" s="492" t="b">
        <v>0</v>
      </c>
      <c r="I72" s="492">
        <v>10</v>
      </c>
      <c r="J72" s="492" t="b">
        <v>0</v>
      </c>
      <c r="K72" s="492">
        <v>15</v>
      </c>
      <c r="L72" s="492" t="s">
        <v>1313</v>
      </c>
      <c r="M72" s="492" t="s">
        <v>1296</v>
      </c>
      <c r="N72" s="492" t="s">
        <v>1</v>
      </c>
      <c r="O72" s="492">
        <v>15</v>
      </c>
      <c r="P72" s="492" t="s">
        <v>9</v>
      </c>
      <c r="Q72" s="492">
        <v>1</v>
      </c>
      <c r="R72" s="492" t="b">
        <v>1</v>
      </c>
      <c r="S72" s="492" t="b">
        <v>1</v>
      </c>
      <c r="T72" s="492"/>
      <c r="U72" s="492"/>
      <c r="V72" s="492"/>
      <c r="W72" s="492"/>
      <c r="X72" s="492"/>
      <c r="Y72" s="492">
        <v>388256.14081814297</v>
      </c>
      <c r="Z72" s="492">
        <v>8186590.9714197703</v>
      </c>
      <c r="AA72" s="492">
        <v>7219.0483706570203</v>
      </c>
      <c r="AB72" s="492">
        <v>10625.623085105701</v>
      </c>
      <c r="AC72" s="492">
        <v>1</v>
      </c>
      <c r="AD72" s="492">
        <v>10658</v>
      </c>
      <c r="AE72" s="492" t="s">
        <v>1318</v>
      </c>
      <c r="AF72" s="492" t="s">
        <v>1319</v>
      </c>
      <c r="AG72" s="492" t="s">
        <v>1320</v>
      </c>
      <c r="AH72" s="492" t="s">
        <v>1300</v>
      </c>
      <c r="AI72" s="492">
        <v>1</v>
      </c>
      <c r="AJ72" s="492" t="s">
        <v>1301</v>
      </c>
      <c r="AK72" s="492" t="s">
        <v>1302</v>
      </c>
      <c r="AL72" s="492"/>
      <c r="AM72" s="492"/>
      <c r="AN72" s="492"/>
      <c r="AO72" s="492"/>
      <c r="AP72" s="492"/>
      <c r="AQ72" s="492"/>
      <c r="AR72" s="492"/>
      <c r="AS72" s="492"/>
      <c r="AT72" s="492"/>
      <c r="AU72" s="492"/>
      <c r="AV72" s="492"/>
      <c r="AW72" s="492"/>
      <c r="AX72" s="492"/>
      <c r="AY72" s="492"/>
      <c r="AZ72" s="492"/>
      <c r="BA72" s="492"/>
      <c r="BB72" s="493">
        <v>37292</v>
      </c>
      <c r="BC72" s="494">
        <v>0.375</v>
      </c>
      <c r="BD72" s="493">
        <v>45514</v>
      </c>
      <c r="BE72" s="494">
        <v>0.99998842592592596</v>
      </c>
      <c r="BF72" s="493">
        <v>37844</v>
      </c>
      <c r="BG72" s="494">
        <v>0</v>
      </c>
      <c r="BH72" s="492" t="s">
        <v>1321</v>
      </c>
      <c r="BI72" s="492">
        <v>46</v>
      </c>
      <c r="BJ72" s="492" t="s">
        <v>1322</v>
      </c>
      <c r="BK72" s="492" t="s">
        <v>1323</v>
      </c>
      <c r="BL72" s="493">
        <v>45551</v>
      </c>
      <c r="BM72" s="492" t="s">
        <v>1305</v>
      </c>
      <c r="BN72" s="492" t="s">
        <v>1301</v>
      </c>
      <c r="BO72" s="492">
        <v>1.14061589932797</v>
      </c>
      <c r="BP72" s="492">
        <v>1.1498978662887E-2</v>
      </c>
    </row>
    <row r="73" spans="1:68" ht="75">
      <c r="A73" s="492" t="s">
        <v>181</v>
      </c>
      <c r="B73" s="492">
        <v>388560</v>
      </c>
      <c r="C73" s="492">
        <v>8186401</v>
      </c>
      <c r="D73" s="492">
        <v>190</v>
      </c>
      <c r="E73" s="492">
        <v>0</v>
      </c>
      <c r="F73" s="492">
        <v>90</v>
      </c>
      <c r="G73" s="492" t="b">
        <v>0</v>
      </c>
      <c r="H73" s="492" t="b">
        <v>0</v>
      </c>
      <c r="I73" s="492">
        <v>10</v>
      </c>
      <c r="J73" s="492" t="b">
        <v>0</v>
      </c>
      <c r="K73" s="492">
        <v>15</v>
      </c>
      <c r="L73" s="492" t="s">
        <v>1313</v>
      </c>
      <c r="M73" s="492" t="s">
        <v>1296</v>
      </c>
      <c r="N73" s="492" t="s">
        <v>1</v>
      </c>
      <c r="O73" s="492">
        <v>20</v>
      </c>
      <c r="P73" s="492" t="s">
        <v>9</v>
      </c>
      <c r="Q73" s="492">
        <v>1</v>
      </c>
      <c r="R73" s="492"/>
      <c r="S73" s="492"/>
      <c r="T73" s="492"/>
      <c r="U73" s="492"/>
      <c r="V73" s="492"/>
      <c r="W73" s="492"/>
      <c r="X73" s="492"/>
      <c r="Y73" s="492">
        <v>388560</v>
      </c>
      <c r="Z73" s="492">
        <v>8186401</v>
      </c>
      <c r="AA73" s="492">
        <v>7568.1463436684498</v>
      </c>
      <c r="AB73" s="492">
        <v>10544.228165201799</v>
      </c>
      <c r="AC73" s="492">
        <v>1</v>
      </c>
      <c r="AD73" s="492">
        <v>10658</v>
      </c>
      <c r="AE73" s="492" t="s">
        <v>1318</v>
      </c>
      <c r="AF73" s="492" t="s">
        <v>1319</v>
      </c>
      <c r="AG73" s="492" t="s">
        <v>1320</v>
      </c>
      <c r="AH73" s="492" t="s">
        <v>1300</v>
      </c>
      <c r="AI73" s="492">
        <v>1</v>
      </c>
      <c r="AJ73" s="492" t="s">
        <v>1301</v>
      </c>
      <c r="AK73" s="492" t="s">
        <v>1302</v>
      </c>
      <c r="AL73" s="492"/>
      <c r="AM73" s="492"/>
      <c r="AN73" s="492"/>
      <c r="AO73" s="492"/>
      <c r="AP73" s="492"/>
      <c r="AQ73" s="492"/>
      <c r="AR73" s="492"/>
      <c r="AS73" s="492"/>
      <c r="AT73" s="492"/>
      <c r="AU73" s="492"/>
      <c r="AV73" s="492"/>
      <c r="AW73" s="492"/>
      <c r="AX73" s="492"/>
      <c r="AY73" s="492"/>
      <c r="AZ73" s="492"/>
      <c r="BA73" s="492"/>
      <c r="BB73" s="493">
        <v>37292</v>
      </c>
      <c r="BC73" s="494">
        <v>0.375</v>
      </c>
      <c r="BD73" s="493">
        <v>45514</v>
      </c>
      <c r="BE73" s="494">
        <v>0.99998842592592596</v>
      </c>
      <c r="BF73" s="493">
        <v>37844</v>
      </c>
      <c r="BG73" s="494">
        <v>0</v>
      </c>
      <c r="BH73" s="492" t="s">
        <v>1321</v>
      </c>
      <c r="BI73" s="492">
        <v>46</v>
      </c>
      <c r="BJ73" s="492" t="s">
        <v>1322</v>
      </c>
      <c r="BK73" s="492" t="s">
        <v>1323</v>
      </c>
      <c r="BL73" s="493">
        <v>45551</v>
      </c>
      <c r="BM73" s="492" t="s">
        <v>1305</v>
      </c>
      <c r="BN73" s="492" t="s">
        <v>1301</v>
      </c>
      <c r="BO73" s="492">
        <v>1.14061589932797</v>
      </c>
      <c r="BP73" s="492">
        <v>1.1498978662887E-2</v>
      </c>
    </row>
    <row r="74" spans="1:68" ht="75">
      <c r="A74" s="492" t="s">
        <v>180</v>
      </c>
      <c r="B74" s="492">
        <v>388826</v>
      </c>
      <c r="C74" s="492">
        <v>8186228</v>
      </c>
      <c r="D74" s="492">
        <v>190</v>
      </c>
      <c r="E74" s="492">
        <v>0</v>
      </c>
      <c r="F74" s="492">
        <v>90</v>
      </c>
      <c r="G74" s="492" t="b">
        <v>0</v>
      </c>
      <c r="H74" s="492" t="b">
        <v>0</v>
      </c>
      <c r="I74" s="492">
        <v>10</v>
      </c>
      <c r="J74" s="492" t="b">
        <v>0</v>
      </c>
      <c r="K74" s="492">
        <v>15</v>
      </c>
      <c r="L74" s="492" t="s">
        <v>1313</v>
      </c>
      <c r="M74" s="492" t="s">
        <v>1296</v>
      </c>
      <c r="N74" s="492" t="s">
        <v>1</v>
      </c>
      <c r="O74" s="492">
        <v>15</v>
      </c>
      <c r="P74" s="492" t="s">
        <v>9</v>
      </c>
      <c r="Q74" s="492">
        <v>1</v>
      </c>
      <c r="R74" s="492"/>
      <c r="S74" s="492"/>
      <c r="T74" s="492"/>
      <c r="U74" s="492"/>
      <c r="V74" s="492"/>
      <c r="W74" s="492"/>
      <c r="X74" s="492"/>
      <c r="Y74" s="492">
        <v>388826</v>
      </c>
      <c r="Z74" s="492">
        <v>8186228</v>
      </c>
      <c r="AA74" s="492">
        <v>7875.9176322603598</v>
      </c>
      <c r="AB74" s="492">
        <v>10466.635481573599</v>
      </c>
      <c r="AC74" s="492">
        <v>1</v>
      </c>
      <c r="AD74" s="492">
        <v>10658</v>
      </c>
      <c r="AE74" s="492" t="s">
        <v>1318</v>
      </c>
      <c r="AF74" s="492" t="s">
        <v>1319</v>
      </c>
      <c r="AG74" s="492" t="s">
        <v>1320</v>
      </c>
      <c r="AH74" s="492" t="s">
        <v>1300</v>
      </c>
      <c r="AI74" s="492">
        <v>1</v>
      </c>
      <c r="AJ74" s="492" t="s">
        <v>1301</v>
      </c>
      <c r="AK74" s="492" t="s">
        <v>1302</v>
      </c>
      <c r="AL74" s="492"/>
      <c r="AM74" s="492"/>
      <c r="AN74" s="492"/>
      <c r="AO74" s="492"/>
      <c r="AP74" s="492"/>
      <c r="AQ74" s="492"/>
      <c r="AR74" s="492"/>
      <c r="AS74" s="492"/>
      <c r="AT74" s="492"/>
      <c r="AU74" s="492"/>
      <c r="AV74" s="492"/>
      <c r="AW74" s="492"/>
      <c r="AX74" s="492"/>
      <c r="AY74" s="492"/>
      <c r="AZ74" s="492"/>
      <c r="BA74" s="492"/>
      <c r="BB74" s="493">
        <v>37292</v>
      </c>
      <c r="BC74" s="494">
        <v>0.375</v>
      </c>
      <c r="BD74" s="493">
        <v>45514</v>
      </c>
      <c r="BE74" s="494">
        <v>0.99998842592592596</v>
      </c>
      <c r="BF74" s="493">
        <v>37844</v>
      </c>
      <c r="BG74" s="494">
        <v>0</v>
      </c>
      <c r="BH74" s="492" t="s">
        <v>1321</v>
      </c>
      <c r="BI74" s="492">
        <v>46</v>
      </c>
      <c r="BJ74" s="492" t="s">
        <v>1322</v>
      </c>
      <c r="BK74" s="492" t="s">
        <v>1323</v>
      </c>
      <c r="BL74" s="493">
        <v>45551</v>
      </c>
      <c r="BM74" s="492" t="s">
        <v>1305</v>
      </c>
      <c r="BN74" s="492" t="s">
        <v>1301</v>
      </c>
      <c r="BO74" s="492">
        <v>1.14061589932797</v>
      </c>
      <c r="BP74" s="492">
        <v>1.1498978662887E-2</v>
      </c>
    </row>
    <row r="75" spans="1:68" ht="75">
      <c r="A75" s="492" t="s">
        <v>1145</v>
      </c>
      <c r="B75" s="492">
        <v>386788</v>
      </c>
      <c r="C75" s="492">
        <v>8199911</v>
      </c>
      <c r="D75" s="492">
        <v>261</v>
      </c>
      <c r="E75" s="492">
        <v>94</v>
      </c>
      <c r="F75" s="492">
        <v>60</v>
      </c>
      <c r="G75" s="492" t="b">
        <v>0</v>
      </c>
      <c r="H75" s="492" t="b">
        <v>0</v>
      </c>
      <c r="I75" s="492">
        <v>10</v>
      </c>
      <c r="J75" s="492" t="b">
        <v>0</v>
      </c>
      <c r="K75" s="492">
        <v>90</v>
      </c>
      <c r="L75" s="492" t="s">
        <v>111</v>
      </c>
      <c r="M75" s="492" t="s">
        <v>1308</v>
      </c>
      <c r="N75" s="492" t="s">
        <v>2</v>
      </c>
      <c r="O75" s="492">
        <v>90</v>
      </c>
      <c r="P75" s="492" t="s">
        <v>112</v>
      </c>
      <c r="Q75" s="492">
        <v>3</v>
      </c>
      <c r="R75" s="492"/>
      <c r="S75" s="492"/>
      <c r="T75" s="492"/>
      <c r="U75" s="492"/>
      <c r="V75" s="492"/>
      <c r="W75" s="492"/>
      <c r="X75" s="492"/>
      <c r="Y75" s="492">
        <v>386776.528701198</v>
      </c>
      <c r="Z75" s="492">
        <v>8199912.1823021704</v>
      </c>
      <c r="AA75" s="492">
        <v>1504.9061686918101</v>
      </c>
      <c r="AB75" s="492">
        <v>22753.994184718402</v>
      </c>
      <c r="AC75" s="492">
        <v>1</v>
      </c>
      <c r="AD75" s="492">
        <v>10658</v>
      </c>
      <c r="AE75" s="492" t="s">
        <v>1318</v>
      </c>
      <c r="AF75" s="492" t="s">
        <v>1319</v>
      </c>
      <c r="AG75" s="492" t="s">
        <v>1320</v>
      </c>
      <c r="AH75" s="492" t="s">
        <v>1300</v>
      </c>
      <c r="AI75" s="492">
        <v>1</v>
      </c>
      <c r="AJ75" s="492" t="s">
        <v>1301</v>
      </c>
      <c r="AK75" s="492" t="s">
        <v>1302</v>
      </c>
      <c r="AL75" s="492"/>
      <c r="AM75" s="492"/>
      <c r="AN75" s="492"/>
      <c r="AO75" s="492"/>
      <c r="AP75" s="492"/>
      <c r="AQ75" s="492"/>
      <c r="AR75" s="492"/>
      <c r="AS75" s="492"/>
      <c r="AT75" s="492"/>
      <c r="AU75" s="492"/>
      <c r="AV75" s="492"/>
      <c r="AW75" s="492"/>
      <c r="AX75" s="492"/>
      <c r="AY75" s="492"/>
      <c r="AZ75" s="492"/>
      <c r="BA75" s="492"/>
      <c r="BB75" s="493">
        <v>37292</v>
      </c>
      <c r="BC75" s="494">
        <v>0.375</v>
      </c>
      <c r="BD75" s="493">
        <v>45514</v>
      </c>
      <c r="BE75" s="494">
        <v>0.99998842592592596</v>
      </c>
      <c r="BF75" s="493">
        <v>37844</v>
      </c>
      <c r="BG75" s="494">
        <v>0</v>
      </c>
      <c r="BH75" s="492" t="s">
        <v>1321</v>
      </c>
      <c r="BI75" s="492">
        <v>46</v>
      </c>
      <c r="BJ75" s="492" t="s">
        <v>1322</v>
      </c>
      <c r="BK75" s="492" t="s">
        <v>1323</v>
      </c>
      <c r="BL75" s="493">
        <v>45551</v>
      </c>
      <c r="BM75" s="492" t="s">
        <v>1305</v>
      </c>
      <c r="BN75" s="492" t="s">
        <v>1301</v>
      </c>
      <c r="BO75" s="492">
        <v>1.14061589932797</v>
      </c>
      <c r="BP75" s="492">
        <v>1.1498978662887E-2</v>
      </c>
    </row>
    <row r="76" spans="1:68" ht="75">
      <c r="A76" s="492" t="s">
        <v>1146</v>
      </c>
      <c r="B76" s="492">
        <v>386822</v>
      </c>
      <c r="C76" s="492">
        <v>8199267</v>
      </c>
      <c r="D76" s="492">
        <v>261</v>
      </c>
      <c r="E76" s="492">
        <v>94</v>
      </c>
      <c r="F76" s="492">
        <v>60</v>
      </c>
      <c r="G76" s="492" t="b">
        <v>0</v>
      </c>
      <c r="H76" s="492" t="b">
        <v>0</v>
      </c>
      <c r="I76" s="492">
        <v>10</v>
      </c>
      <c r="J76" s="492" t="b">
        <v>0</v>
      </c>
      <c r="K76" s="492">
        <v>90</v>
      </c>
      <c r="L76" s="492" t="s">
        <v>111</v>
      </c>
      <c r="M76" s="492" t="s">
        <v>1308</v>
      </c>
      <c r="N76" s="492" t="s">
        <v>2</v>
      </c>
      <c r="O76" s="492">
        <v>90</v>
      </c>
      <c r="P76" s="492" t="s">
        <v>112</v>
      </c>
      <c r="Q76" s="492">
        <v>3</v>
      </c>
      <c r="R76" s="492"/>
      <c r="S76" s="492"/>
      <c r="T76" s="492"/>
      <c r="U76" s="492"/>
      <c r="V76" s="492"/>
      <c r="W76" s="492"/>
      <c r="X76" s="492"/>
      <c r="Y76" s="492">
        <v>386822</v>
      </c>
      <c r="Z76" s="492">
        <v>8199267</v>
      </c>
      <c r="AA76" s="492">
        <v>1756.8703953889101</v>
      </c>
      <c r="AB76" s="492">
        <v>22158.103141937401</v>
      </c>
      <c r="AC76" s="492">
        <v>1</v>
      </c>
      <c r="AD76" s="492">
        <v>10658</v>
      </c>
      <c r="AE76" s="492" t="s">
        <v>1318</v>
      </c>
      <c r="AF76" s="492" t="s">
        <v>1319</v>
      </c>
      <c r="AG76" s="492" t="s">
        <v>1320</v>
      </c>
      <c r="AH76" s="492" t="s">
        <v>1300</v>
      </c>
      <c r="AI76" s="492">
        <v>1</v>
      </c>
      <c r="AJ76" s="492" t="s">
        <v>1301</v>
      </c>
      <c r="AK76" s="492" t="s">
        <v>1302</v>
      </c>
      <c r="AL76" s="492"/>
      <c r="AM76" s="492"/>
      <c r="AN76" s="492"/>
      <c r="AO76" s="492"/>
      <c r="AP76" s="492"/>
      <c r="AQ76" s="492"/>
      <c r="AR76" s="492"/>
      <c r="AS76" s="492"/>
      <c r="AT76" s="492"/>
      <c r="AU76" s="492"/>
      <c r="AV76" s="492"/>
      <c r="AW76" s="492"/>
      <c r="AX76" s="492"/>
      <c r="AY76" s="492"/>
      <c r="AZ76" s="492"/>
      <c r="BA76" s="492"/>
      <c r="BB76" s="493">
        <v>37292</v>
      </c>
      <c r="BC76" s="494">
        <v>0.375</v>
      </c>
      <c r="BD76" s="493">
        <v>45514</v>
      </c>
      <c r="BE76" s="494">
        <v>0.99998842592592596</v>
      </c>
      <c r="BF76" s="493">
        <v>37844</v>
      </c>
      <c r="BG76" s="494">
        <v>0</v>
      </c>
      <c r="BH76" s="492" t="s">
        <v>1321</v>
      </c>
      <c r="BI76" s="492">
        <v>46</v>
      </c>
      <c r="BJ76" s="492" t="s">
        <v>1322</v>
      </c>
      <c r="BK76" s="492" t="s">
        <v>1323</v>
      </c>
      <c r="BL76" s="493">
        <v>45551</v>
      </c>
      <c r="BM76" s="492" t="s">
        <v>1305</v>
      </c>
      <c r="BN76" s="492" t="s">
        <v>1301</v>
      </c>
      <c r="BO76" s="492">
        <v>1.14061589932797</v>
      </c>
      <c r="BP76" s="492">
        <v>1.1498978662887E-2</v>
      </c>
    </row>
    <row r="77" spans="1:68" ht="75">
      <c r="A77" s="492" t="s">
        <v>1147</v>
      </c>
      <c r="B77" s="492">
        <v>386865</v>
      </c>
      <c r="C77" s="492">
        <v>8198623</v>
      </c>
      <c r="D77" s="492">
        <v>253</v>
      </c>
      <c r="E77" s="492">
        <v>94</v>
      </c>
      <c r="F77" s="492">
        <v>60</v>
      </c>
      <c r="G77" s="492" t="b">
        <v>0</v>
      </c>
      <c r="H77" s="492" t="b">
        <v>0</v>
      </c>
      <c r="I77" s="492">
        <v>10</v>
      </c>
      <c r="J77" s="492" t="b">
        <v>0</v>
      </c>
      <c r="K77" s="492">
        <v>90</v>
      </c>
      <c r="L77" s="492" t="s">
        <v>111</v>
      </c>
      <c r="M77" s="492" t="s">
        <v>1308</v>
      </c>
      <c r="N77" s="492" t="s">
        <v>2</v>
      </c>
      <c r="O77" s="492">
        <v>90</v>
      </c>
      <c r="P77" s="492" t="s">
        <v>112</v>
      </c>
      <c r="Q77" s="492">
        <v>3</v>
      </c>
      <c r="R77" s="492"/>
      <c r="S77" s="492"/>
      <c r="T77" s="492"/>
      <c r="U77" s="492"/>
      <c r="V77" s="492"/>
      <c r="W77" s="492"/>
      <c r="X77" s="492"/>
      <c r="Y77" s="492">
        <v>386865</v>
      </c>
      <c r="Z77" s="492">
        <v>8198623</v>
      </c>
      <c r="AA77" s="492">
        <v>2006.11286129103</v>
      </c>
      <c r="AB77" s="492">
        <v>21562.530778676199</v>
      </c>
      <c r="AC77" s="492">
        <v>1</v>
      </c>
      <c r="AD77" s="492">
        <v>10658</v>
      </c>
      <c r="AE77" s="492" t="s">
        <v>1318</v>
      </c>
      <c r="AF77" s="492" t="s">
        <v>1319</v>
      </c>
      <c r="AG77" s="492" t="s">
        <v>1320</v>
      </c>
      <c r="AH77" s="492" t="s">
        <v>1300</v>
      </c>
      <c r="AI77" s="492">
        <v>1</v>
      </c>
      <c r="AJ77" s="492" t="s">
        <v>1301</v>
      </c>
      <c r="AK77" s="492" t="s">
        <v>1302</v>
      </c>
      <c r="AL77" s="492"/>
      <c r="AM77" s="492"/>
      <c r="AN77" s="492"/>
      <c r="AO77" s="492"/>
      <c r="AP77" s="492"/>
      <c r="AQ77" s="492"/>
      <c r="AR77" s="492"/>
      <c r="AS77" s="492"/>
      <c r="AT77" s="492"/>
      <c r="AU77" s="492"/>
      <c r="AV77" s="492"/>
      <c r="AW77" s="492"/>
      <c r="AX77" s="492"/>
      <c r="AY77" s="492"/>
      <c r="AZ77" s="492"/>
      <c r="BA77" s="492"/>
      <c r="BB77" s="493">
        <v>37292</v>
      </c>
      <c r="BC77" s="494">
        <v>0.375</v>
      </c>
      <c r="BD77" s="493">
        <v>45514</v>
      </c>
      <c r="BE77" s="494">
        <v>0.99998842592592596</v>
      </c>
      <c r="BF77" s="493">
        <v>37844</v>
      </c>
      <c r="BG77" s="494">
        <v>0</v>
      </c>
      <c r="BH77" s="492" t="s">
        <v>1321</v>
      </c>
      <c r="BI77" s="492">
        <v>46</v>
      </c>
      <c r="BJ77" s="492" t="s">
        <v>1322</v>
      </c>
      <c r="BK77" s="492" t="s">
        <v>1323</v>
      </c>
      <c r="BL77" s="493">
        <v>45551</v>
      </c>
      <c r="BM77" s="492" t="s">
        <v>1305</v>
      </c>
      <c r="BN77" s="492" t="s">
        <v>1301</v>
      </c>
      <c r="BO77" s="492">
        <v>1.14061589932797</v>
      </c>
      <c r="BP77" s="492">
        <v>1.1498978662887E-2</v>
      </c>
    </row>
    <row r="78" spans="1:68" ht="75">
      <c r="A78" s="492" t="s">
        <v>1148</v>
      </c>
      <c r="B78" s="492">
        <v>386867</v>
      </c>
      <c r="C78" s="492">
        <v>8197341</v>
      </c>
      <c r="D78" s="492">
        <v>258</v>
      </c>
      <c r="E78" s="492">
        <v>94</v>
      </c>
      <c r="F78" s="492">
        <v>60</v>
      </c>
      <c r="G78" s="492" t="b">
        <v>0</v>
      </c>
      <c r="H78" s="492" t="b">
        <v>0</v>
      </c>
      <c r="I78" s="492">
        <v>10</v>
      </c>
      <c r="J78" s="492" t="b">
        <v>0</v>
      </c>
      <c r="K78" s="492">
        <v>90</v>
      </c>
      <c r="L78" s="492" t="s">
        <v>111</v>
      </c>
      <c r="M78" s="492" t="s">
        <v>1308</v>
      </c>
      <c r="N78" s="492" t="s">
        <v>2</v>
      </c>
      <c r="O78" s="492">
        <v>90</v>
      </c>
      <c r="P78" s="492" t="s">
        <v>112</v>
      </c>
      <c r="Q78" s="492">
        <v>3</v>
      </c>
      <c r="R78" s="492"/>
      <c r="S78" s="492"/>
      <c r="T78" s="492"/>
      <c r="U78" s="492"/>
      <c r="V78" s="492"/>
      <c r="W78" s="492"/>
      <c r="X78" s="492"/>
      <c r="Y78" s="492">
        <v>386868.799139168</v>
      </c>
      <c r="Z78" s="492">
        <v>8197358.0805479595</v>
      </c>
      <c r="AA78" s="492">
        <v>2419.3267647312</v>
      </c>
      <c r="AB78" s="492">
        <v>20366.610967471199</v>
      </c>
      <c r="AC78" s="492">
        <v>1</v>
      </c>
      <c r="AD78" s="492">
        <v>10658</v>
      </c>
      <c r="AE78" s="492" t="s">
        <v>1318</v>
      </c>
      <c r="AF78" s="492" t="s">
        <v>1319</v>
      </c>
      <c r="AG78" s="492" t="s">
        <v>1320</v>
      </c>
      <c r="AH78" s="492" t="s">
        <v>1300</v>
      </c>
      <c r="AI78" s="492">
        <v>1</v>
      </c>
      <c r="AJ78" s="492" t="s">
        <v>1301</v>
      </c>
      <c r="AK78" s="492" t="s">
        <v>1302</v>
      </c>
      <c r="AL78" s="492"/>
      <c r="AM78" s="492"/>
      <c r="AN78" s="492"/>
      <c r="AO78" s="492"/>
      <c r="AP78" s="492"/>
      <c r="AQ78" s="492"/>
      <c r="AR78" s="492"/>
      <c r="AS78" s="492"/>
      <c r="AT78" s="492"/>
      <c r="AU78" s="492"/>
      <c r="AV78" s="492"/>
      <c r="AW78" s="492"/>
      <c r="AX78" s="492"/>
      <c r="AY78" s="492"/>
      <c r="AZ78" s="492"/>
      <c r="BA78" s="492"/>
      <c r="BB78" s="493">
        <v>37292</v>
      </c>
      <c r="BC78" s="494">
        <v>0.375</v>
      </c>
      <c r="BD78" s="493">
        <v>45514</v>
      </c>
      <c r="BE78" s="494">
        <v>0.99998842592592596</v>
      </c>
      <c r="BF78" s="493">
        <v>37844</v>
      </c>
      <c r="BG78" s="494">
        <v>0</v>
      </c>
      <c r="BH78" s="492" t="s">
        <v>1321</v>
      </c>
      <c r="BI78" s="492">
        <v>46</v>
      </c>
      <c r="BJ78" s="492" t="s">
        <v>1322</v>
      </c>
      <c r="BK78" s="492" t="s">
        <v>1323</v>
      </c>
      <c r="BL78" s="493">
        <v>45551</v>
      </c>
      <c r="BM78" s="492" t="s">
        <v>1305</v>
      </c>
      <c r="BN78" s="492" t="s">
        <v>1301</v>
      </c>
      <c r="BO78" s="492">
        <v>1.14061589932797</v>
      </c>
      <c r="BP78" s="492">
        <v>1.1498978662887E-2</v>
      </c>
    </row>
    <row r="79" spans="1:68" ht="75">
      <c r="A79" s="492" t="s">
        <v>1184</v>
      </c>
      <c r="B79" s="492">
        <v>388246</v>
      </c>
      <c r="C79" s="492">
        <v>8185493</v>
      </c>
      <c r="D79" s="492">
        <v>170</v>
      </c>
      <c r="E79" s="492">
        <v>0</v>
      </c>
      <c r="F79" s="492">
        <v>90</v>
      </c>
      <c r="G79" s="492" t="b">
        <v>0</v>
      </c>
      <c r="H79" s="492" t="b">
        <v>0</v>
      </c>
      <c r="I79" s="492">
        <v>10</v>
      </c>
      <c r="J79" s="492" t="b">
        <v>0</v>
      </c>
      <c r="K79" s="492">
        <v>100</v>
      </c>
      <c r="L79" s="492" t="s">
        <v>1329</v>
      </c>
      <c r="M79" s="492" t="s">
        <v>1296</v>
      </c>
      <c r="N79" s="492" t="s">
        <v>2</v>
      </c>
      <c r="O79" s="492">
        <v>100</v>
      </c>
      <c r="P79" s="492" t="s">
        <v>1310</v>
      </c>
      <c r="Q79" s="492">
        <v>3</v>
      </c>
      <c r="R79" s="492" t="b">
        <v>1</v>
      </c>
      <c r="S79" s="492" t="b">
        <v>0</v>
      </c>
      <c r="T79" s="492"/>
      <c r="U79" s="492"/>
      <c r="V79" s="492"/>
      <c r="W79" s="492"/>
      <c r="X79" s="492"/>
      <c r="Y79" s="492">
        <v>388259.66975508002</v>
      </c>
      <c r="Z79" s="492">
        <v>8185493.3535281401</v>
      </c>
      <c r="AA79" s="492">
        <v>7577.8293581590897</v>
      </c>
      <c r="AB79" s="492">
        <v>9587.9539809217604</v>
      </c>
      <c r="AC79" s="492">
        <v>1</v>
      </c>
      <c r="AD79" s="492">
        <v>10658</v>
      </c>
      <c r="AE79" s="492" t="s">
        <v>1318</v>
      </c>
      <c r="AF79" s="492" t="s">
        <v>1319</v>
      </c>
      <c r="AG79" s="492" t="s">
        <v>1320</v>
      </c>
      <c r="AH79" s="492" t="s">
        <v>1300</v>
      </c>
      <c r="AI79" s="492">
        <v>1</v>
      </c>
      <c r="AJ79" s="492" t="s">
        <v>1301</v>
      </c>
      <c r="AK79" s="492" t="s">
        <v>1302</v>
      </c>
      <c r="AL79" s="492"/>
      <c r="AM79" s="492"/>
      <c r="AN79" s="492"/>
      <c r="AO79" s="492"/>
      <c r="AP79" s="492"/>
      <c r="AQ79" s="492"/>
      <c r="AR79" s="492"/>
      <c r="AS79" s="492"/>
      <c r="AT79" s="492"/>
      <c r="AU79" s="492"/>
      <c r="AV79" s="492"/>
      <c r="AW79" s="492"/>
      <c r="AX79" s="492"/>
      <c r="AY79" s="492"/>
      <c r="AZ79" s="492"/>
      <c r="BA79" s="492"/>
      <c r="BB79" s="493">
        <v>37292</v>
      </c>
      <c r="BC79" s="494">
        <v>0.375</v>
      </c>
      <c r="BD79" s="493">
        <v>45514</v>
      </c>
      <c r="BE79" s="494">
        <v>0.99998842592592596</v>
      </c>
      <c r="BF79" s="493">
        <v>37844</v>
      </c>
      <c r="BG79" s="494">
        <v>0</v>
      </c>
      <c r="BH79" s="492" t="s">
        <v>1321</v>
      </c>
      <c r="BI79" s="492">
        <v>46</v>
      </c>
      <c r="BJ79" s="492" t="s">
        <v>1322</v>
      </c>
      <c r="BK79" s="492" t="s">
        <v>1323</v>
      </c>
      <c r="BL79" s="493">
        <v>45551</v>
      </c>
      <c r="BM79" s="492" t="s">
        <v>1305</v>
      </c>
      <c r="BN79" s="492" t="s">
        <v>1301</v>
      </c>
      <c r="BO79" s="492">
        <v>1.14061589932797</v>
      </c>
      <c r="BP79" s="492">
        <v>1.1498978662887E-2</v>
      </c>
    </row>
    <row r="80" spans="1:68" ht="75">
      <c r="A80" s="492" t="s">
        <v>1186</v>
      </c>
      <c r="B80" s="492">
        <v>388122</v>
      </c>
      <c r="C80" s="492">
        <v>8185243</v>
      </c>
      <c r="D80" s="492">
        <v>170</v>
      </c>
      <c r="E80" s="492">
        <v>0</v>
      </c>
      <c r="F80" s="492">
        <v>90</v>
      </c>
      <c r="G80" s="492" t="b">
        <v>0</v>
      </c>
      <c r="H80" s="492" t="b">
        <v>0</v>
      </c>
      <c r="I80" s="492">
        <v>10</v>
      </c>
      <c r="J80" s="492" t="b">
        <v>0</v>
      </c>
      <c r="K80" s="492">
        <v>48</v>
      </c>
      <c r="L80" s="492" t="s">
        <v>1330</v>
      </c>
      <c r="M80" s="492" t="s">
        <v>1296</v>
      </c>
      <c r="N80" s="492" t="s">
        <v>1317</v>
      </c>
      <c r="O80" s="492">
        <v>48</v>
      </c>
      <c r="P80" s="492" t="s">
        <v>1310</v>
      </c>
      <c r="Q80" s="492">
        <v>3</v>
      </c>
      <c r="R80" s="492" t="b">
        <v>0</v>
      </c>
      <c r="S80" s="492"/>
      <c r="T80" s="492"/>
      <c r="U80" s="492"/>
      <c r="V80" s="492"/>
      <c r="W80" s="492"/>
      <c r="X80" s="492"/>
      <c r="Y80" s="492">
        <v>388122</v>
      </c>
      <c r="Z80" s="492">
        <v>8185243</v>
      </c>
      <c r="AA80" s="492">
        <v>7528.6072749718996</v>
      </c>
      <c r="AB80" s="492">
        <v>9306.4318658988905</v>
      </c>
      <c r="AC80" s="492">
        <v>1</v>
      </c>
      <c r="AD80" s="492">
        <v>10658</v>
      </c>
      <c r="AE80" s="492" t="s">
        <v>1318</v>
      </c>
      <c r="AF80" s="492" t="s">
        <v>1319</v>
      </c>
      <c r="AG80" s="492" t="s">
        <v>1320</v>
      </c>
      <c r="AH80" s="492" t="s">
        <v>1300</v>
      </c>
      <c r="AI80" s="492">
        <v>1</v>
      </c>
      <c r="AJ80" s="492" t="s">
        <v>1301</v>
      </c>
      <c r="AK80" s="492" t="s">
        <v>1302</v>
      </c>
      <c r="AL80" s="492"/>
      <c r="AM80" s="492"/>
      <c r="AN80" s="492"/>
      <c r="AO80" s="492"/>
      <c r="AP80" s="492"/>
      <c r="AQ80" s="492"/>
      <c r="AR80" s="492"/>
      <c r="AS80" s="492"/>
      <c r="AT80" s="492"/>
      <c r="AU80" s="492"/>
      <c r="AV80" s="492"/>
      <c r="AW80" s="492"/>
      <c r="AX80" s="492"/>
      <c r="AY80" s="492"/>
      <c r="AZ80" s="492"/>
      <c r="BA80" s="492"/>
      <c r="BB80" s="493">
        <v>37292</v>
      </c>
      <c r="BC80" s="494">
        <v>0.375</v>
      </c>
      <c r="BD80" s="493">
        <v>45514</v>
      </c>
      <c r="BE80" s="494">
        <v>0.99998842592592596</v>
      </c>
      <c r="BF80" s="493">
        <v>37844</v>
      </c>
      <c r="BG80" s="494">
        <v>0</v>
      </c>
      <c r="BH80" s="492" t="s">
        <v>1321</v>
      </c>
      <c r="BI80" s="492">
        <v>46</v>
      </c>
      <c r="BJ80" s="492" t="s">
        <v>1322</v>
      </c>
      <c r="BK80" s="492" t="s">
        <v>1323</v>
      </c>
      <c r="BL80" s="493">
        <v>45551</v>
      </c>
      <c r="BM80" s="492" t="s">
        <v>1305</v>
      </c>
      <c r="BN80" s="492" t="s">
        <v>1301</v>
      </c>
      <c r="BO80" s="492">
        <v>1.14061589932797</v>
      </c>
      <c r="BP80" s="492">
        <v>1.1498978662887E-2</v>
      </c>
    </row>
    <row r="81" spans="1:68" ht="75">
      <c r="A81" s="492" t="s">
        <v>1190</v>
      </c>
      <c r="B81" s="492">
        <v>387693</v>
      </c>
      <c r="C81" s="492">
        <v>8180004</v>
      </c>
      <c r="D81" s="492">
        <v>170</v>
      </c>
      <c r="E81" s="492">
        <v>0</v>
      </c>
      <c r="F81" s="492">
        <v>90</v>
      </c>
      <c r="G81" s="492" t="b">
        <v>0</v>
      </c>
      <c r="H81" s="492" t="b">
        <v>0</v>
      </c>
      <c r="I81" s="492">
        <v>10</v>
      </c>
      <c r="J81" s="492" t="b">
        <v>0</v>
      </c>
      <c r="K81" s="492">
        <v>100</v>
      </c>
      <c r="L81" s="492" t="s">
        <v>1331</v>
      </c>
      <c r="M81" s="492" t="s">
        <v>1296</v>
      </c>
      <c r="N81" s="492" t="s">
        <v>2</v>
      </c>
      <c r="O81" s="492">
        <v>100</v>
      </c>
      <c r="P81" s="492" t="s">
        <v>1310</v>
      </c>
      <c r="Q81" s="492">
        <v>3</v>
      </c>
      <c r="R81" s="492"/>
      <c r="S81" s="492"/>
      <c r="T81" s="492"/>
      <c r="U81" s="492"/>
      <c r="V81" s="492"/>
      <c r="W81" s="492"/>
      <c r="X81" s="492"/>
      <c r="Y81" s="492">
        <v>387693</v>
      </c>
      <c r="Z81" s="492">
        <v>8180004</v>
      </c>
      <c r="AA81" s="492">
        <v>8819.1344497580994</v>
      </c>
      <c r="AB81" s="492">
        <v>4209.1938269454904</v>
      </c>
      <c r="AC81" s="492">
        <v>1</v>
      </c>
      <c r="AD81" s="492">
        <v>10658</v>
      </c>
      <c r="AE81" s="492" t="s">
        <v>1318</v>
      </c>
      <c r="AF81" s="492" t="s">
        <v>1319</v>
      </c>
      <c r="AG81" s="492" t="s">
        <v>1320</v>
      </c>
      <c r="AH81" s="492" t="s">
        <v>1300</v>
      </c>
      <c r="AI81" s="492">
        <v>1</v>
      </c>
      <c r="AJ81" s="492" t="s">
        <v>1301</v>
      </c>
      <c r="AK81" s="492" t="s">
        <v>1302</v>
      </c>
      <c r="AL81" s="492"/>
      <c r="AM81" s="492"/>
      <c r="AN81" s="492"/>
      <c r="AO81" s="492"/>
      <c r="AP81" s="492"/>
      <c r="AQ81" s="492"/>
      <c r="AR81" s="492"/>
      <c r="AS81" s="492"/>
      <c r="AT81" s="492"/>
      <c r="AU81" s="492"/>
      <c r="AV81" s="492"/>
      <c r="AW81" s="492"/>
      <c r="AX81" s="492"/>
      <c r="AY81" s="492"/>
      <c r="AZ81" s="492"/>
      <c r="BA81" s="492"/>
      <c r="BB81" s="493">
        <v>37292</v>
      </c>
      <c r="BC81" s="494">
        <v>0.375</v>
      </c>
      <c r="BD81" s="493">
        <v>45514</v>
      </c>
      <c r="BE81" s="494">
        <v>0.99998842592592596</v>
      </c>
      <c r="BF81" s="493">
        <v>37844</v>
      </c>
      <c r="BG81" s="494">
        <v>0</v>
      </c>
      <c r="BH81" s="492" t="s">
        <v>1321</v>
      </c>
      <c r="BI81" s="492">
        <v>46</v>
      </c>
      <c r="BJ81" s="492" t="s">
        <v>1322</v>
      </c>
      <c r="BK81" s="492" t="s">
        <v>1323</v>
      </c>
      <c r="BL81" s="493">
        <v>45551</v>
      </c>
      <c r="BM81" s="492" t="s">
        <v>1305</v>
      </c>
      <c r="BN81" s="492" t="s">
        <v>1301</v>
      </c>
      <c r="BO81" s="492">
        <v>1.14061589932797</v>
      </c>
      <c r="BP81" s="492">
        <v>1.1498978662887E-2</v>
      </c>
    </row>
    <row r="82" spans="1:68" ht="75">
      <c r="A82" s="492" t="s">
        <v>1162</v>
      </c>
      <c r="B82" s="492">
        <v>394830</v>
      </c>
      <c r="C82" s="492">
        <v>8192774</v>
      </c>
      <c r="D82" s="492">
        <v>170</v>
      </c>
      <c r="E82" s="492">
        <v>0</v>
      </c>
      <c r="F82" s="492">
        <v>90</v>
      </c>
      <c r="G82" s="492" t="b">
        <v>0</v>
      </c>
      <c r="H82" s="492" t="b">
        <v>0</v>
      </c>
      <c r="I82" s="492">
        <v>10</v>
      </c>
      <c r="J82" s="492" t="b">
        <v>0</v>
      </c>
      <c r="K82" s="492">
        <v>100</v>
      </c>
      <c r="L82" s="492" t="s">
        <v>1324</v>
      </c>
      <c r="M82" s="492" t="s">
        <v>1296</v>
      </c>
      <c r="N82" s="492" t="s">
        <v>2</v>
      </c>
      <c r="O82" s="492">
        <v>100</v>
      </c>
      <c r="P82" s="492" t="s">
        <v>1310</v>
      </c>
      <c r="Q82" s="492">
        <v>3</v>
      </c>
      <c r="R82" s="492"/>
      <c r="S82" s="492"/>
      <c r="T82" s="492"/>
      <c r="U82" s="492"/>
      <c r="V82" s="492"/>
      <c r="W82" s="492"/>
      <c r="X82" s="492"/>
      <c r="Y82" s="492">
        <v>394830</v>
      </c>
      <c r="Z82" s="492">
        <v>8192774</v>
      </c>
      <c r="AA82" s="492">
        <v>11438.458837174299</v>
      </c>
      <c r="AB82" s="492">
        <v>18606.199430886601</v>
      </c>
      <c r="AC82" s="492">
        <v>3</v>
      </c>
      <c r="AD82" s="492">
        <v>16720</v>
      </c>
      <c r="AE82" s="492" t="s">
        <v>1332</v>
      </c>
      <c r="AF82" s="492" t="s">
        <v>1333</v>
      </c>
      <c r="AG82" s="492" t="s">
        <v>1320</v>
      </c>
      <c r="AH82" s="492" t="s">
        <v>1300</v>
      </c>
      <c r="AI82" s="492">
        <v>1</v>
      </c>
      <c r="AJ82" s="492" t="s">
        <v>1301</v>
      </c>
      <c r="AK82" s="492" t="s">
        <v>1302</v>
      </c>
      <c r="AL82" s="492"/>
      <c r="AM82" s="492"/>
      <c r="AN82" s="492"/>
      <c r="AO82" s="492"/>
      <c r="AP82" s="492"/>
      <c r="AQ82" s="492"/>
      <c r="AR82" s="492"/>
      <c r="AS82" s="492"/>
      <c r="AT82" s="492"/>
      <c r="AU82" s="492"/>
      <c r="AV82" s="492"/>
      <c r="AW82" s="492"/>
      <c r="AX82" s="492"/>
      <c r="AY82" s="492"/>
      <c r="AZ82" s="492"/>
      <c r="BA82" s="492"/>
      <c r="BB82" s="493">
        <v>37973</v>
      </c>
      <c r="BC82" s="494">
        <v>0.54861111111111116</v>
      </c>
      <c r="BD82" s="493">
        <v>45984</v>
      </c>
      <c r="BE82" s="494">
        <v>0.99998842592592596</v>
      </c>
      <c r="BF82" s="493">
        <v>38315</v>
      </c>
      <c r="BG82" s="494">
        <v>0</v>
      </c>
      <c r="BH82" s="492" t="s">
        <v>1334</v>
      </c>
      <c r="BI82" s="492">
        <v>1854</v>
      </c>
      <c r="BJ82" s="492" t="s">
        <v>1304</v>
      </c>
      <c r="BK82" s="492"/>
      <c r="BL82" s="493">
        <v>45551</v>
      </c>
      <c r="BM82" s="492"/>
      <c r="BN82" s="492" t="s">
        <v>1301</v>
      </c>
      <c r="BO82" s="492">
        <v>0.61852953632185903</v>
      </c>
      <c r="BP82" s="492">
        <v>1.565861069011E-3</v>
      </c>
    </row>
    <row r="83" spans="1:68" ht="75">
      <c r="A83" s="492" t="s">
        <v>1164</v>
      </c>
      <c r="B83" s="492">
        <v>393150</v>
      </c>
      <c r="C83" s="492">
        <v>8189498</v>
      </c>
      <c r="D83" s="492">
        <v>170</v>
      </c>
      <c r="E83" s="492">
        <v>0</v>
      </c>
      <c r="F83" s="492">
        <v>90</v>
      </c>
      <c r="G83" s="492" t="b">
        <v>0</v>
      </c>
      <c r="H83" s="492" t="b">
        <v>0</v>
      </c>
      <c r="I83" s="492">
        <v>10</v>
      </c>
      <c r="J83" s="492" t="b">
        <v>0</v>
      </c>
      <c r="K83" s="492">
        <v>100</v>
      </c>
      <c r="L83" s="492" t="s">
        <v>1325</v>
      </c>
      <c r="M83" s="492" t="s">
        <v>1296</v>
      </c>
      <c r="N83" s="492" t="s">
        <v>2</v>
      </c>
      <c r="O83" s="492">
        <v>100</v>
      </c>
      <c r="P83" s="492" t="s">
        <v>1310</v>
      </c>
      <c r="Q83" s="492">
        <v>3</v>
      </c>
      <c r="R83" s="492"/>
      <c r="S83" s="492"/>
      <c r="T83" s="492"/>
      <c r="U83" s="492"/>
      <c r="V83" s="492"/>
      <c r="W83" s="492"/>
      <c r="X83" s="492"/>
      <c r="Y83" s="492">
        <v>393150</v>
      </c>
      <c r="Z83" s="492">
        <v>8189498</v>
      </c>
      <c r="AA83" s="492">
        <v>10909.332206532299</v>
      </c>
      <c r="AB83" s="492">
        <v>14961.680860505399</v>
      </c>
      <c r="AC83" s="492">
        <v>3</v>
      </c>
      <c r="AD83" s="492">
        <v>16720</v>
      </c>
      <c r="AE83" s="492" t="s">
        <v>1332</v>
      </c>
      <c r="AF83" s="492" t="s">
        <v>1333</v>
      </c>
      <c r="AG83" s="492" t="s">
        <v>1320</v>
      </c>
      <c r="AH83" s="492" t="s">
        <v>1300</v>
      </c>
      <c r="AI83" s="492">
        <v>1</v>
      </c>
      <c r="AJ83" s="492" t="s">
        <v>1301</v>
      </c>
      <c r="AK83" s="492" t="s">
        <v>1302</v>
      </c>
      <c r="AL83" s="492"/>
      <c r="AM83" s="492"/>
      <c r="AN83" s="492"/>
      <c r="AO83" s="492"/>
      <c r="AP83" s="492"/>
      <c r="AQ83" s="492"/>
      <c r="AR83" s="492"/>
      <c r="AS83" s="492"/>
      <c r="AT83" s="492"/>
      <c r="AU83" s="492"/>
      <c r="AV83" s="492"/>
      <c r="AW83" s="492"/>
      <c r="AX83" s="492"/>
      <c r="AY83" s="492"/>
      <c r="AZ83" s="492"/>
      <c r="BA83" s="492"/>
      <c r="BB83" s="493">
        <v>37973</v>
      </c>
      <c r="BC83" s="494">
        <v>0.54861111111111116</v>
      </c>
      <c r="BD83" s="493">
        <v>45984</v>
      </c>
      <c r="BE83" s="494">
        <v>0.99998842592592596</v>
      </c>
      <c r="BF83" s="493">
        <v>38315</v>
      </c>
      <c r="BG83" s="494">
        <v>0</v>
      </c>
      <c r="BH83" s="492" t="s">
        <v>1334</v>
      </c>
      <c r="BI83" s="492">
        <v>1854</v>
      </c>
      <c r="BJ83" s="492" t="s">
        <v>1304</v>
      </c>
      <c r="BK83" s="492"/>
      <c r="BL83" s="493">
        <v>45551</v>
      </c>
      <c r="BM83" s="492"/>
      <c r="BN83" s="492" t="s">
        <v>1301</v>
      </c>
      <c r="BO83" s="492">
        <v>0.61852953632185903</v>
      </c>
      <c r="BP83" s="492">
        <v>1.565861069011E-3</v>
      </c>
    </row>
    <row r="84" spans="1:68" ht="75">
      <c r="A84" s="492" t="s">
        <v>788</v>
      </c>
      <c r="B84" s="492">
        <v>391240</v>
      </c>
      <c r="C84" s="492">
        <v>8185797</v>
      </c>
      <c r="D84" s="492">
        <v>176</v>
      </c>
      <c r="E84" s="492">
        <v>109</v>
      </c>
      <c r="F84" s="492">
        <v>60</v>
      </c>
      <c r="G84" s="492" t="b">
        <v>0</v>
      </c>
      <c r="H84" s="492" t="b">
        <v>0</v>
      </c>
      <c r="I84" s="492">
        <v>10</v>
      </c>
      <c r="J84" s="492" t="b">
        <v>0</v>
      </c>
      <c r="K84" s="492">
        <v>129</v>
      </c>
      <c r="L84" s="492" t="s">
        <v>1311</v>
      </c>
      <c r="M84" s="492" t="s">
        <v>1296</v>
      </c>
      <c r="N84" s="492" t="s">
        <v>2</v>
      </c>
      <c r="O84" s="492">
        <v>129</v>
      </c>
      <c r="P84" s="492" t="s">
        <v>109</v>
      </c>
      <c r="Q84" s="492">
        <v>3</v>
      </c>
      <c r="R84" s="492"/>
      <c r="S84" s="492"/>
      <c r="T84" s="492"/>
      <c r="U84" s="492"/>
      <c r="V84" s="492"/>
      <c r="W84" s="492"/>
      <c r="X84" s="492"/>
      <c r="Y84" s="492">
        <v>391240</v>
      </c>
      <c r="Z84" s="492">
        <v>8185797</v>
      </c>
      <c r="AA84" s="492">
        <v>10300.1556262015</v>
      </c>
      <c r="AB84" s="492">
        <v>10840.451305947199</v>
      </c>
      <c r="AC84" s="492">
        <v>6</v>
      </c>
      <c r="AD84" s="492">
        <v>23443</v>
      </c>
      <c r="AE84" s="492" t="s">
        <v>1297</v>
      </c>
      <c r="AF84" s="492" t="s">
        <v>1298</v>
      </c>
      <c r="AG84" s="492" t="s">
        <v>1299</v>
      </c>
      <c r="AH84" s="492" t="s">
        <v>1300</v>
      </c>
      <c r="AI84" s="492">
        <v>1</v>
      </c>
      <c r="AJ84" s="492" t="s">
        <v>1301</v>
      </c>
      <c r="AK84" s="492" t="s">
        <v>1302</v>
      </c>
      <c r="AL84" s="492"/>
      <c r="AM84" s="492"/>
      <c r="AN84" s="492"/>
      <c r="AO84" s="492"/>
      <c r="AP84" s="492"/>
      <c r="AQ84" s="492"/>
      <c r="AR84" s="492"/>
      <c r="AS84" s="492"/>
      <c r="AT84" s="492"/>
      <c r="AU84" s="492"/>
      <c r="AV84" s="492"/>
      <c r="AW84" s="492"/>
      <c r="AX84" s="492"/>
      <c r="AY84" s="492"/>
      <c r="AZ84" s="492"/>
      <c r="BA84" s="492"/>
      <c r="BB84" s="493">
        <v>32303</v>
      </c>
      <c r="BC84" s="494">
        <v>0.375</v>
      </c>
      <c r="BD84" s="493">
        <v>47989</v>
      </c>
      <c r="BE84" s="494">
        <v>0.99998842592592596</v>
      </c>
      <c r="BF84" s="493">
        <v>32639</v>
      </c>
      <c r="BG84" s="494">
        <v>0</v>
      </c>
      <c r="BH84" s="492" t="s">
        <v>1303</v>
      </c>
      <c r="BI84" s="492">
        <v>597.20000000000005</v>
      </c>
      <c r="BJ84" s="492" t="s">
        <v>1304</v>
      </c>
      <c r="BK84" s="492"/>
      <c r="BL84" s="493">
        <v>45551</v>
      </c>
      <c r="BM84" s="492" t="s">
        <v>1305</v>
      </c>
      <c r="BN84" s="492" t="s">
        <v>1301</v>
      </c>
      <c r="BO84" s="492">
        <v>0.16432140619605901</v>
      </c>
      <c r="BP84" s="492">
        <v>5.0513892581900005E-4</v>
      </c>
    </row>
    <row r="85" spans="1:68" ht="75">
      <c r="A85" s="492" t="s">
        <v>786</v>
      </c>
      <c r="B85" s="492">
        <v>391247</v>
      </c>
      <c r="C85" s="492">
        <v>8185879</v>
      </c>
      <c r="D85" s="492">
        <v>176</v>
      </c>
      <c r="E85" s="492">
        <v>109</v>
      </c>
      <c r="F85" s="492">
        <v>60</v>
      </c>
      <c r="G85" s="492" t="b">
        <v>0</v>
      </c>
      <c r="H85" s="492" t="b">
        <v>0</v>
      </c>
      <c r="I85" s="492">
        <v>10</v>
      </c>
      <c r="J85" s="492" t="b">
        <v>0</v>
      </c>
      <c r="K85" s="492">
        <v>170</v>
      </c>
      <c r="L85" s="492" t="s">
        <v>1311</v>
      </c>
      <c r="M85" s="492" t="s">
        <v>1296</v>
      </c>
      <c r="N85" s="492" t="s">
        <v>2</v>
      </c>
      <c r="O85" s="492">
        <v>170</v>
      </c>
      <c r="P85" s="492" t="s">
        <v>109</v>
      </c>
      <c r="Q85" s="492">
        <v>3</v>
      </c>
      <c r="R85" s="492"/>
      <c r="S85" s="492"/>
      <c r="T85" s="492"/>
      <c r="U85" s="492"/>
      <c r="V85" s="492"/>
      <c r="W85" s="492"/>
      <c r="X85" s="492"/>
      <c r="Y85" s="492">
        <v>391247</v>
      </c>
      <c r="Z85" s="492">
        <v>8185879</v>
      </c>
      <c r="AA85" s="492">
        <v>10280.2265701857</v>
      </c>
      <c r="AB85" s="492">
        <v>10920.3248780705</v>
      </c>
      <c r="AC85" s="492">
        <v>6</v>
      </c>
      <c r="AD85" s="492">
        <v>23443</v>
      </c>
      <c r="AE85" s="492" t="s">
        <v>1297</v>
      </c>
      <c r="AF85" s="492" t="s">
        <v>1298</v>
      </c>
      <c r="AG85" s="492" t="s">
        <v>1299</v>
      </c>
      <c r="AH85" s="492" t="s">
        <v>1300</v>
      </c>
      <c r="AI85" s="492">
        <v>1</v>
      </c>
      <c r="AJ85" s="492" t="s">
        <v>1301</v>
      </c>
      <c r="AK85" s="492" t="s">
        <v>1302</v>
      </c>
      <c r="AL85" s="492"/>
      <c r="AM85" s="492"/>
      <c r="AN85" s="492"/>
      <c r="AO85" s="492"/>
      <c r="AP85" s="492"/>
      <c r="AQ85" s="492"/>
      <c r="AR85" s="492"/>
      <c r="AS85" s="492"/>
      <c r="AT85" s="492"/>
      <c r="AU85" s="492"/>
      <c r="AV85" s="492"/>
      <c r="AW85" s="492"/>
      <c r="AX85" s="492"/>
      <c r="AY85" s="492"/>
      <c r="AZ85" s="492"/>
      <c r="BA85" s="492"/>
      <c r="BB85" s="493">
        <v>32303</v>
      </c>
      <c r="BC85" s="494">
        <v>0.375</v>
      </c>
      <c r="BD85" s="493">
        <v>47989</v>
      </c>
      <c r="BE85" s="494">
        <v>0.99998842592592596</v>
      </c>
      <c r="BF85" s="493">
        <v>32639</v>
      </c>
      <c r="BG85" s="494">
        <v>0</v>
      </c>
      <c r="BH85" s="492" t="s">
        <v>1303</v>
      </c>
      <c r="BI85" s="492">
        <v>597.20000000000005</v>
      </c>
      <c r="BJ85" s="492" t="s">
        <v>1304</v>
      </c>
      <c r="BK85" s="492"/>
      <c r="BL85" s="493">
        <v>45551</v>
      </c>
      <c r="BM85" s="492" t="s">
        <v>1305</v>
      </c>
      <c r="BN85" s="492" t="s">
        <v>1301</v>
      </c>
      <c r="BO85" s="492">
        <v>0.16432140619605901</v>
      </c>
      <c r="BP85" s="492">
        <v>5.0513892581900005E-4</v>
      </c>
    </row>
    <row r="86" spans="1:68" ht="75">
      <c r="A86" s="492" t="s">
        <v>781</v>
      </c>
      <c r="B86" s="492">
        <v>391301</v>
      </c>
      <c r="C86" s="492">
        <v>8185945</v>
      </c>
      <c r="D86" s="492">
        <v>175</v>
      </c>
      <c r="E86" s="492">
        <v>109</v>
      </c>
      <c r="F86" s="492">
        <v>60</v>
      </c>
      <c r="G86" s="492" t="b">
        <v>0</v>
      </c>
      <c r="H86" s="492" t="b">
        <v>0</v>
      </c>
      <c r="I86" s="492">
        <v>10</v>
      </c>
      <c r="J86" s="492" t="b">
        <v>0</v>
      </c>
      <c r="K86" s="492">
        <v>118</v>
      </c>
      <c r="L86" s="492" t="s">
        <v>1311</v>
      </c>
      <c r="M86" s="492" t="s">
        <v>1296</v>
      </c>
      <c r="N86" s="492" t="s">
        <v>2</v>
      </c>
      <c r="O86" s="492">
        <v>118</v>
      </c>
      <c r="P86" s="492" t="s">
        <v>109</v>
      </c>
      <c r="Q86" s="492">
        <v>3</v>
      </c>
      <c r="R86" s="492"/>
      <c r="S86" s="492"/>
      <c r="T86" s="492"/>
      <c r="U86" s="492"/>
      <c r="V86" s="492"/>
      <c r="W86" s="492"/>
      <c r="X86" s="492"/>
      <c r="Y86" s="492">
        <v>391301</v>
      </c>
      <c r="Z86" s="492">
        <v>8185945</v>
      </c>
      <c r="AA86" s="492">
        <v>10309.960713512701</v>
      </c>
      <c r="AB86" s="492">
        <v>11000.2756559764</v>
      </c>
      <c r="AC86" s="492">
        <v>6</v>
      </c>
      <c r="AD86" s="492">
        <v>23443</v>
      </c>
      <c r="AE86" s="492" t="s">
        <v>1297</v>
      </c>
      <c r="AF86" s="492" t="s">
        <v>1298</v>
      </c>
      <c r="AG86" s="492" t="s">
        <v>1299</v>
      </c>
      <c r="AH86" s="492" t="s">
        <v>1300</v>
      </c>
      <c r="AI86" s="492">
        <v>1</v>
      </c>
      <c r="AJ86" s="492" t="s">
        <v>1301</v>
      </c>
      <c r="AK86" s="492" t="s">
        <v>1302</v>
      </c>
      <c r="AL86" s="492"/>
      <c r="AM86" s="492"/>
      <c r="AN86" s="492"/>
      <c r="AO86" s="492"/>
      <c r="AP86" s="492"/>
      <c r="AQ86" s="492"/>
      <c r="AR86" s="492"/>
      <c r="AS86" s="492"/>
      <c r="AT86" s="492"/>
      <c r="AU86" s="492"/>
      <c r="AV86" s="492"/>
      <c r="AW86" s="492"/>
      <c r="AX86" s="492"/>
      <c r="AY86" s="492"/>
      <c r="AZ86" s="492"/>
      <c r="BA86" s="492"/>
      <c r="BB86" s="493">
        <v>32303</v>
      </c>
      <c r="BC86" s="494">
        <v>0.375</v>
      </c>
      <c r="BD86" s="493">
        <v>47989</v>
      </c>
      <c r="BE86" s="494">
        <v>0.99998842592592596</v>
      </c>
      <c r="BF86" s="493">
        <v>32639</v>
      </c>
      <c r="BG86" s="494">
        <v>0</v>
      </c>
      <c r="BH86" s="492" t="s">
        <v>1303</v>
      </c>
      <c r="BI86" s="492">
        <v>597.20000000000005</v>
      </c>
      <c r="BJ86" s="492" t="s">
        <v>1304</v>
      </c>
      <c r="BK86" s="492"/>
      <c r="BL86" s="493">
        <v>45551</v>
      </c>
      <c r="BM86" s="492" t="s">
        <v>1305</v>
      </c>
      <c r="BN86" s="492" t="s">
        <v>1301</v>
      </c>
      <c r="BO86" s="492">
        <v>0.16432140619605901</v>
      </c>
      <c r="BP86" s="492">
        <v>5.0513892581900005E-4</v>
      </c>
    </row>
    <row r="87" spans="1:68" ht="75">
      <c r="A87" s="492" t="s">
        <v>1173</v>
      </c>
      <c r="B87" s="492">
        <v>388622</v>
      </c>
      <c r="C87" s="492">
        <v>8186577</v>
      </c>
      <c r="D87" s="492">
        <v>170</v>
      </c>
      <c r="E87" s="492">
        <v>0</v>
      </c>
      <c r="F87" s="492">
        <v>90</v>
      </c>
      <c r="G87" s="492" t="b">
        <v>0</v>
      </c>
      <c r="H87" s="492" t="b">
        <v>0</v>
      </c>
      <c r="I87" s="492">
        <v>10</v>
      </c>
      <c r="J87" s="492" t="b">
        <v>0</v>
      </c>
      <c r="K87" s="492">
        <v>100</v>
      </c>
      <c r="L87" s="492" t="s">
        <v>1335</v>
      </c>
      <c r="M87" s="492" t="s">
        <v>1296</v>
      </c>
      <c r="N87" s="492" t="s">
        <v>2</v>
      </c>
      <c r="O87" s="492">
        <v>100</v>
      </c>
      <c r="P87" s="492" t="s">
        <v>1310</v>
      </c>
      <c r="Q87" s="492">
        <v>3</v>
      </c>
      <c r="R87" s="492"/>
      <c r="S87" s="492"/>
      <c r="T87" s="492"/>
      <c r="U87" s="492"/>
      <c r="V87" s="492"/>
      <c r="W87" s="492"/>
      <c r="X87" s="492"/>
      <c r="Y87" s="492">
        <v>388622</v>
      </c>
      <c r="Z87" s="492">
        <v>8186577</v>
      </c>
      <c r="AA87" s="492">
        <v>7569.8306273184699</v>
      </c>
      <c r="AB87" s="492">
        <v>10730.8762158518</v>
      </c>
      <c r="AC87" s="492">
        <v>1</v>
      </c>
      <c r="AD87" s="492">
        <v>10658</v>
      </c>
      <c r="AE87" s="492" t="s">
        <v>1318</v>
      </c>
      <c r="AF87" s="492" t="s">
        <v>1319</v>
      </c>
      <c r="AG87" s="492" t="s">
        <v>1320</v>
      </c>
      <c r="AH87" s="492" t="s">
        <v>1300</v>
      </c>
      <c r="AI87" s="492">
        <v>1</v>
      </c>
      <c r="AJ87" s="492" t="s">
        <v>1301</v>
      </c>
      <c r="AK87" s="492" t="s">
        <v>1302</v>
      </c>
      <c r="AL87" s="492"/>
      <c r="AM87" s="492"/>
      <c r="AN87" s="492"/>
      <c r="AO87" s="492"/>
      <c r="AP87" s="492"/>
      <c r="AQ87" s="492"/>
      <c r="AR87" s="492"/>
      <c r="AS87" s="492"/>
      <c r="AT87" s="492"/>
      <c r="AU87" s="492"/>
      <c r="AV87" s="492"/>
      <c r="AW87" s="492"/>
      <c r="AX87" s="492"/>
      <c r="AY87" s="492"/>
      <c r="AZ87" s="492"/>
      <c r="BA87" s="492"/>
      <c r="BB87" s="493">
        <v>37292</v>
      </c>
      <c r="BC87" s="494">
        <v>0.375</v>
      </c>
      <c r="BD87" s="493">
        <v>45514</v>
      </c>
      <c r="BE87" s="494">
        <v>0.99998842592592596</v>
      </c>
      <c r="BF87" s="493">
        <v>37844</v>
      </c>
      <c r="BG87" s="494">
        <v>0</v>
      </c>
      <c r="BH87" s="492" t="s">
        <v>1321</v>
      </c>
      <c r="BI87" s="492">
        <v>46</v>
      </c>
      <c r="BJ87" s="492" t="s">
        <v>1322</v>
      </c>
      <c r="BK87" s="492" t="s">
        <v>1323</v>
      </c>
      <c r="BL87" s="493">
        <v>45551</v>
      </c>
      <c r="BM87" s="492" t="s">
        <v>1305</v>
      </c>
      <c r="BN87" s="492" t="s">
        <v>1301</v>
      </c>
      <c r="BO87" s="492">
        <v>1.14061589932797</v>
      </c>
      <c r="BP87" s="492">
        <v>1.1498978662887E-2</v>
      </c>
    </row>
    <row r="88" spans="1:68" ht="75">
      <c r="A88" s="492" t="s">
        <v>1174</v>
      </c>
      <c r="B88" s="492">
        <v>388633</v>
      </c>
      <c r="C88" s="492">
        <v>8186569</v>
      </c>
      <c r="D88" s="492">
        <v>170</v>
      </c>
      <c r="E88" s="492">
        <v>0</v>
      </c>
      <c r="F88" s="492">
        <v>90</v>
      </c>
      <c r="G88" s="492" t="b">
        <v>0</v>
      </c>
      <c r="H88" s="492" t="b">
        <v>0</v>
      </c>
      <c r="I88" s="492">
        <v>10</v>
      </c>
      <c r="J88" s="492" t="b">
        <v>0</v>
      </c>
      <c r="K88" s="492">
        <v>24</v>
      </c>
      <c r="L88" s="492" t="s">
        <v>1336</v>
      </c>
      <c r="M88" s="492" t="s">
        <v>1296</v>
      </c>
      <c r="N88" s="492" t="s">
        <v>1317</v>
      </c>
      <c r="O88" s="492">
        <v>24</v>
      </c>
      <c r="P88" s="492" t="s">
        <v>1310</v>
      </c>
      <c r="Q88" s="492">
        <v>3</v>
      </c>
      <c r="R88" s="492"/>
      <c r="S88" s="492"/>
      <c r="T88" s="492"/>
      <c r="U88" s="492"/>
      <c r="V88" s="492"/>
      <c r="W88" s="492"/>
      <c r="X88" s="492"/>
      <c r="Y88" s="492">
        <v>388633</v>
      </c>
      <c r="Z88" s="492">
        <v>8186569</v>
      </c>
      <c r="AA88" s="492">
        <v>7582.8319274126497</v>
      </c>
      <c r="AB88" s="492">
        <v>10726.8669492639</v>
      </c>
      <c r="AC88" s="492">
        <v>1</v>
      </c>
      <c r="AD88" s="492">
        <v>10658</v>
      </c>
      <c r="AE88" s="492" t="s">
        <v>1318</v>
      </c>
      <c r="AF88" s="492" t="s">
        <v>1319</v>
      </c>
      <c r="AG88" s="492" t="s">
        <v>1320</v>
      </c>
      <c r="AH88" s="492" t="s">
        <v>1300</v>
      </c>
      <c r="AI88" s="492">
        <v>1</v>
      </c>
      <c r="AJ88" s="492" t="s">
        <v>1301</v>
      </c>
      <c r="AK88" s="492" t="s">
        <v>1302</v>
      </c>
      <c r="AL88" s="492"/>
      <c r="AM88" s="492"/>
      <c r="AN88" s="492"/>
      <c r="AO88" s="492"/>
      <c r="AP88" s="492"/>
      <c r="AQ88" s="492"/>
      <c r="AR88" s="492"/>
      <c r="AS88" s="492"/>
      <c r="AT88" s="492"/>
      <c r="AU88" s="492"/>
      <c r="AV88" s="492"/>
      <c r="AW88" s="492"/>
      <c r="AX88" s="492"/>
      <c r="AY88" s="492"/>
      <c r="AZ88" s="492"/>
      <c r="BA88" s="492"/>
      <c r="BB88" s="493">
        <v>37292</v>
      </c>
      <c r="BC88" s="494">
        <v>0.375</v>
      </c>
      <c r="BD88" s="493">
        <v>45514</v>
      </c>
      <c r="BE88" s="494">
        <v>0.99998842592592596</v>
      </c>
      <c r="BF88" s="493">
        <v>37844</v>
      </c>
      <c r="BG88" s="494">
        <v>0</v>
      </c>
      <c r="BH88" s="492" t="s">
        <v>1321</v>
      </c>
      <c r="BI88" s="492">
        <v>46</v>
      </c>
      <c r="BJ88" s="492" t="s">
        <v>1322</v>
      </c>
      <c r="BK88" s="492" t="s">
        <v>1323</v>
      </c>
      <c r="BL88" s="493">
        <v>45551</v>
      </c>
      <c r="BM88" s="492" t="s">
        <v>1305</v>
      </c>
      <c r="BN88" s="492" t="s">
        <v>1301</v>
      </c>
      <c r="BO88" s="492">
        <v>1.14061589932797</v>
      </c>
      <c r="BP88" s="492">
        <v>1.1498978662887E-2</v>
      </c>
    </row>
    <row r="89" spans="1:68" ht="75">
      <c r="A89" s="492" t="s">
        <v>1175</v>
      </c>
      <c r="B89" s="492">
        <v>388767</v>
      </c>
      <c r="C89" s="492">
        <v>8186508</v>
      </c>
      <c r="D89" s="492">
        <v>170</v>
      </c>
      <c r="E89" s="492">
        <v>0</v>
      </c>
      <c r="F89" s="492">
        <v>90</v>
      </c>
      <c r="G89" s="492" t="b">
        <v>0</v>
      </c>
      <c r="H89" s="492" t="b">
        <v>0</v>
      </c>
      <c r="I89" s="492">
        <v>10</v>
      </c>
      <c r="J89" s="492" t="b">
        <v>0</v>
      </c>
      <c r="K89" s="492">
        <v>24</v>
      </c>
      <c r="L89" s="492" t="s">
        <v>1337</v>
      </c>
      <c r="M89" s="492" t="s">
        <v>1296</v>
      </c>
      <c r="N89" s="492" t="s">
        <v>1317</v>
      </c>
      <c r="O89" s="492">
        <v>24</v>
      </c>
      <c r="P89" s="492" t="s">
        <v>1310</v>
      </c>
      <c r="Q89" s="492">
        <v>3</v>
      </c>
      <c r="R89" s="492"/>
      <c r="S89" s="492"/>
      <c r="T89" s="492"/>
      <c r="U89" s="492"/>
      <c r="V89" s="492"/>
      <c r="W89" s="492"/>
      <c r="X89" s="492"/>
      <c r="Y89" s="492">
        <v>388767</v>
      </c>
      <c r="Z89" s="492">
        <v>8186508</v>
      </c>
      <c r="AA89" s="492">
        <v>7729.4063419392296</v>
      </c>
      <c r="AB89" s="492">
        <v>10712.528248144299</v>
      </c>
      <c r="AC89" s="492">
        <v>1</v>
      </c>
      <c r="AD89" s="492">
        <v>10658</v>
      </c>
      <c r="AE89" s="492" t="s">
        <v>1318</v>
      </c>
      <c r="AF89" s="492" t="s">
        <v>1319</v>
      </c>
      <c r="AG89" s="492" t="s">
        <v>1320</v>
      </c>
      <c r="AH89" s="492" t="s">
        <v>1300</v>
      </c>
      <c r="AI89" s="492">
        <v>1</v>
      </c>
      <c r="AJ89" s="492" t="s">
        <v>1301</v>
      </c>
      <c r="AK89" s="492" t="s">
        <v>1302</v>
      </c>
      <c r="AL89" s="492"/>
      <c r="AM89" s="492"/>
      <c r="AN89" s="492"/>
      <c r="AO89" s="492"/>
      <c r="AP89" s="492"/>
      <c r="AQ89" s="492"/>
      <c r="AR89" s="492"/>
      <c r="AS89" s="492"/>
      <c r="AT89" s="492"/>
      <c r="AU89" s="492"/>
      <c r="AV89" s="492"/>
      <c r="AW89" s="492"/>
      <c r="AX89" s="492"/>
      <c r="AY89" s="492"/>
      <c r="AZ89" s="492"/>
      <c r="BA89" s="492"/>
      <c r="BB89" s="493">
        <v>37292</v>
      </c>
      <c r="BC89" s="494">
        <v>0.375</v>
      </c>
      <c r="BD89" s="493">
        <v>45514</v>
      </c>
      <c r="BE89" s="494">
        <v>0.99998842592592596</v>
      </c>
      <c r="BF89" s="493">
        <v>37844</v>
      </c>
      <c r="BG89" s="494">
        <v>0</v>
      </c>
      <c r="BH89" s="492" t="s">
        <v>1321</v>
      </c>
      <c r="BI89" s="492">
        <v>46</v>
      </c>
      <c r="BJ89" s="492" t="s">
        <v>1322</v>
      </c>
      <c r="BK89" s="492" t="s">
        <v>1323</v>
      </c>
      <c r="BL89" s="493">
        <v>45551</v>
      </c>
      <c r="BM89" s="492" t="s">
        <v>1305</v>
      </c>
      <c r="BN89" s="492" t="s">
        <v>1301</v>
      </c>
      <c r="BO89" s="492">
        <v>1.14061589932797</v>
      </c>
      <c r="BP89" s="492">
        <v>1.1498978662887E-2</v>
      </c>
    </row>
    <row r="90" spans="1:68" ht="75">
      <c r="A90" s="492" t="s">
        <v>1176</v>
      </c>
      <c r="B90" s="492">
        <v>388890</v>
      </c>
      <c r="C90" s="492">
        <v>8186446</v>
      </c>
      <c r="D90" s="492">
        <v>170</v>
      </c>
      <c r="E90" s="492">
        <v>0</v>
      </c>
      <c r="F90" s="492">
        <v>90</v>
      </c>
      <c r="G90" s="492" t="b">
        <v>0</v>
      </c>
      <c r="H90" s="492" t="b">
        <v>0</v>
      </c>
      <c r="I90" s="492">
        <v>10</v>
      </c>
      <c r="J90" s="492" t="b">
        <v>0</v>
      </c>
      <c r="K90" s="492">
        <v>24</v>
      </c>
      <c r="L90" s="492" t="s">
        <v>1338</v>
      </c>
      <c r="M90" s="492" t="s">
        <v>1296</v>
      </c>
      <c r="N90" s="492" t="s">
        <v>1317</v>
      </c>
      <c r="O90" s="492">
        <v>24</v>
      </c>
      <c r="P90" s="492" t="s">
        <v>1310</v>
      </c>
      <c r="Q90" s="492">
        <v>3</v>
      </c>
      <c r="R90" s="492"/>
      <c r="S90" s="492"/>
      <c r="T90" s="492"/>
      <c r="U90" s="492"/>
      <c r="V90" s="492"/>
      <c r="W90" s="492"/>
      <c r="X90" s="492"/>
      <c r="Y90" s="492">
        <v>388890</v>
      </c>
      <c r="Z90" s="492">
        <v>8186446</v>
      </c>
      <c r="AA90" s="492">
        <v>7865.8939223932102</v>
      </c>
      <c r="AB90" s="492">
        <v>10693.680997916401</v>
      </c>
      <c r="AC90" s="492">
        <v>1</v>
      </c>
      <c r="AD90" s="492">
        <v>10658</v>
      </c>
      <c r="AE90" s="492" t="s">
        <v>1318</v>
      </c>
      <c r="AF90" s="492" t="s">
        <v>1319</v>
      </c>
      <c r="AG90" s="492" t="s">
        <v>1320</v>
      </c>
      <c r="AH90" s="492" t="s">
        <v>1300</v>
      </c>
      <c r="AI90" s="492">
        <v>1</v>
      </c>
      <c r="AJ90" s="492" t="s">
        <v>1301</v>
      </c>
      <c r="AK90" s="492" t="s">
        <v>1302</v>
      </c>
      <c r="AL90" s="492"/>
      <c r="AM90" s="492"/>
      <c r="AN90" s="492"/>
      <c r="AO90" s="492"/>
      <c r="AP90" s="492"/>
      <c r="AQ90" s="492"/>
      <c r="AR90" s="492"/>
      <c r="AS90" s="492"/>
      <c r="AT90" s="492"/>
      <c r="AU90" s="492"/>
      <c r="AV90" s="492"/>
      <c r="AW90" s="492"/>
      <c r="AX90" s="492"/>
      <c r="AY90" s="492"/>
      <c r="AZ90" s="492"/>
      <c r="BA90" s="492"/>
      <c r="BB90" s="493">
        <v>37292</v>
      </c>
      <c r="BC90" s="494">
        <v>0.375</v>
      </c>
      <c r="BD90" s="493">
        <v>45514</v>
      </c>
      <c r="BE90" s="494">
        <v>0.99998842592592596</v>
      </c>
      <c r="BF90" s="493">
        <v>37844</v>
      </c>
      <c r="BG90" s="494">
        <v>0</v>
      </c>
      <c r="BH90" s="492" t="s">
        <v>1321</v>
      </c>
      <c r="BI90" s="492">
        <v>46</v>
      </c>
      <c r="BJ90" s="492" t="s">
        <v>1322</v>
      </c>
      <c r="BK90" s="492" t="s">
        <v>1323</v>
      </c>
      <c r="BL90" s="493">
        <v>45551</v>
      </c>
      <c r="BM90" s="492" t="s">
        <v>1305</v>
      </c>
      <c r="BN90" s="492" t="s">
        <v>1301</v>
      </c>
      <c r="BO90" s="492">
        <v>1.14061589932797</v>
      </c>
      <c r="BP90" s="492">
        <v>1.1498978662887E-2</v>
      </c>
    </row>
    <row r="91" spans="1:68" ht="75">
      <c r="A91" s="492" t="s">
        <v>1177</v>
      </c>
      <c r="B91" s="492">
        <v>387993</v>
      </c>
      <c r="C91" s="492">
        <v>8186173</v>
      </c>
      <c r="D91" s="492">
        <v>170</v>
      </c>
      <c r="E91" s="492">
        <v>0</v>
      </c>
      <c r="F91" s="492">
        <v>90</v>
      </c>
      <c r="G91" s="492" t="b">
        <v>0</v>
      </c>
      <c r="H91" s="492" t="b">
        <v>0</v>
      </c>
      <c r="I91" s="492">
        <v>10</v>
      </c>
      <c r="J91" s="492" t="b">
        <v>0</v>
      </c>
      <c r="K91" s="492">
        <v>48</v>
      </c>
      <c r="L91" s="492" t="s">
        <v>1339</v>
      </c>
      <c r="M91" s="492" t="s">
        <v>1296</v>
      </c>
      <c r="N91" s="492" t="s">
        <v>1317</v>
      </c>
      <c r="O91" s="492">
        <v>48</v>
      </c>
      <c r="P91" s="492" t="s">
        <v>1310</v>
      </c>
      <c r="Q91" s="492">
        <v>3</v>
      </c>
      <c r="R91" s="492" t="b">
        <v>1</v>
      </c>
      <c r="S91" s="492" t="b">
        <v>0</v>
      </c>
      <c r="T91" s="492"/>
      <c r="U91" s="492"/>
      <c r="V91" s="492"/>
      <c r="W91" s="492"/>
      <c r="X91" s="492"/>
      <c r="Y91" s="492">
        <v>388200.92661078501</v>
      </c>
      <c r="Z91" s="492">
        <v>8186227.7422567997</v>
      </c>
      <c r="AA91" s="492">
        <v>7284.41666093608</v>
      </c>
      <c r="AB91" s="492">
        <v>10263.9743076963</v>
      </c>
      <c r="AC91" s="492">
        <v>1</v>
      </c>
      <c r="AD91" s="492">
        <v>10658</v>
      </c>
      <c r="AE91" s="492" t="s">
        <v>1318</v>
      </c>
      <c r="AF91" s="492" t="s">
        <v>1319</v>
      </c>
      <c r="AG91" s="492" t="s">
        <v>1320</v>
      </c>
      <c r="AH91" s="492" t="s">
        <v>1300</v>
      </c>
      <c r="AI91" s="492">
        <v>1</v>
      </c>
      <c r="AJ91" s="492" t="s">
        <v>1301</v>
      </c>
      <c r="AK91" s="492" t="s">
        <v>1302</v>
      </c>
      <c r="AL91" s="492"/>
      <c r="AM91" s="492"/>
      <c r="AN91" s="492"/>
      <c r="AO91" s="492"/>
      <c r="AP91" s="492"/>
      <c r="AQ91" s="492"/>
      <c r="AR91" s="492"/>
      <c r="AS91" s="492"/>
      <c r="AT91" s="492"/>
      <c r="AU91" s="492"/>
      <c r="AV91" s="492"/>
      <c r="AW91" s="492"/>
      <c r="AX91" s="492"/>
      <c r="AY91" s="492"/>
      <c r="AZ91" s="492"/>
      <c r="BA91" s="492"/>
      <c r="BB91" s="493">
        <v>37292</v>
      </c>
      <c r="BC91" s="494">
        <v>0.375</v>
      </c>
      <c r="BD91" s="493">
        <v>45514</v>
      </c>
      <c r="BE91" s="494">
        <v>0.99998842592592596</v>
      </c>
      <c r="BF91" s="493">
        <v>37844</v>
      </c>
      <c r="BG91" s="494">
        <v>0</v>
      </c>
      <c r="BH91" s="492" t="s">
        <v>1321</v>
      </c>
      <c r="BI91" s="492">
        <v>46</v>
      </c>
      <c r="BJ91" s="492" t="s">
        <v>1322</v>
      </c>
      <c r="BK91" s="492" t="s">
        <v>1323</v>
      </c>
      <c r="BL91" s="493">
        <v>45551</v>
      </c>
      <c r="BM91" s="492" t="s">
        <v>1305</v>
      </c>
      <c r="BN91" s="492" t="s">
        <v>1301</v>
      </c>
      <c r="BO91" s="492">
        <v>1.14061589932797</v>
      </c>
      <c r="BP91" s="492">
        <v>1.1498978662887E-2</v>
      </c>
    </row>
    <row r="92" spans="1:68" ht="75">
      <c r="A92" s="492" t="s">
        <v>1181</v>
      </c>
      <c r="B92" s="492">
        <v>388167</v>
      </c>
      <c r="C92" s="492">
        <v>8185729</v>
      </c>
      <c r="D92" s="492">
        <v>170</v>
      </c>
      <c r="E92" s="492">
        <v>0</v>
      </c>
      <c r="F92" s="492">
        <v>90</v>
      </c>
      <c r="G92" s="492" t="b">
        <v>0</v>
      </c>
      <c r="H92" s="492" t="b">
        <v>0</v>
      </c>
      <c r="I92" s="492">
        <v>10</v>
      </c>
      <c r="J92" s="492" t="b">
        <v>0</v>
      </c>
      <c r="K92" s="492">
        <v>48</v>
      </c>
      <c r="L92" s="492" t="s">
        <v>1163</v>
      </c>
      <c r="M92" s="492" t="s">
        <v>1308</v>
      </c>
      <c r="N92" s="492" t="s">
        <v>1317</v>
      </c>
      <c r="O92" s="492">
        <v>48</v>
      </c>
      <c r="P92" s="492" t="s">
        <v>1310</v>
      </c>
      <c r="Q92" s="492">
        <v>3</v>
      </c>
      <c r="R92" s="492"/>
      <c r="S92" s="492"/>
      <c r="T92" s="492"/>
      <c r="U92" s="492"/>
      <c r="V92" s="492"/>
      <c r="W92" s="492"/>
      <c r="X92" s="492"/>
      <c r="Y92" s="492">
        <v>388167</v>
      </c>
      <c r="Z92" s="492">
        <v>8185729</v>
      </c>
      <c r="AA92" s="492">
        <v>7413.8151881187196</v>
      </c>
      <c r="AB92" s="492">
        <v>9780.9662435548307</v>
      </c>
      <c r="AC92" s="492">
        <v>1</v>
      </c>
      <c r="AD92" s="492">
        <v>10658</v>
      </c>
      <c r="AE92" s="492" t="s">
        <v>1318</v>
      </c>
      <c r="AF92" s="492" t="s">
        <v>1319</v>
      </c>
      <c r="AG92" s="492" t="s">
        <v>1320</v>
      </c>
      <c r="AH92" s="492" t="s">
        <v>1300</v>
      </c>
      <c r="AI92" s="492">
        <v>1</v>
      </c>
      <c r="AJ92" s="492" t="s">
        <v>1301</v>
      </c>
      <c r="AK92" s="492" t="s">
        <v>1302</v>
      </c>
      <c r="AL92" s="492"/>
      <c r="AM92" s="492"/>
      <c r="AN92" s="492"/>
      <c r="AO92" s="492"/>
      <c r="AP92" s="492"/>
      <c r="AQ92" s="492"/>
      <c r="AR92" s="492"/>
      <c r="AS92" s="492"/>
      <c r="AT92" s="492"/>
      <c r="AU92" s="492"/>
      <c r="AV92" s="492"/>
      <c r="AW92" s="492"/>
      <c r="AX92" s="492"/>
      <c r="AY92" s="492"/>
      <c r="AZ92" s="492"/>
      <c r="BA92" s="492"/>
      <c r="BB92" s="493">
        <v>37292</v>
      </c>
      <c r="BC92" s="494">
        <v>0.375</v>
      </c>
      <c r="BD92" s="493">
        <v>45514</v>
      </c>
      <c r="BE92" s="494">
        <v>0.99998842592592596</v>
      </c>
      <c r="BF92" s="493">
        <v>37844</v>
      </c>
      <c r="BG92" s="494">
        <v>0</v>
      </c>
      <c r="BH92" s="492" t="s">
        <v>1321</v>
      </c>
      <c r="BI92" s="492">
        <v>46</v>
      </c>
      <c r="BJ92" s="492" t="s">
        <v>1322</v>
      </c>
      <c r="BK92" s="492" t="s">
        <v>1323</v>
      </c>
      <c r="BL92" s="493">
        <v>45551</v>
      </c>
      <c r="BM92" s="492" t="s">
        <v>1305</v>
      </c>
      <c r="BN92" s="492" t="s">
        <v>1301</v>
      </c>
      <c r="BO92" s="492">
        <v>1.14061589932797</v>
      </c>
      <c r="BP92" s="492">
        <v>1.1498978662887E-2</v>
      </c>
    </row>
    <row r="93" spans="1:68" ht="75">
      <c r="A93" s="492" t="s">
        <v>1182</v>
      </c>
      <c r="B93" s="492">
        <v>388412</v>
      </c>
      <c r="C93" s="492">
        <v>8185643</v>
      </c>
      <c r="D93" s="492">
        <v>170</v>
      </c>
      <c r="E93" s="492">
        <v>0</v>
      </c>
      <c r="F93" s="492">
        <v>90</v>
      </c>
      <c r="G93" s="492" t="b">
        <v>0</v>
      </c>
      <c r="H93" s="492" t="b">
        <v>0</v>
      </c>
      <c r="I93" s="492">
        <v>10</v>
      </c>
      <c r="J93" s="492" t="b">
        <v>0</v>
      </c>
      <c r="K93" s="492">
        <v>48</v>
      </c>
      <c r="L93" s="492" t="s">
        <v>1163</v>
      </c>
      <c r="M93" s="492" t="s">
        <v>1308</v>
      </c>
      <c r="N93" s="492" t="s">
        <v>1317</v>
      </c>
      <c r="O93" s="492">
        <v>48</v>
      </c>
      <c r="P93" s="492" t="s">
        <v>1310</v>
      </c>
      <c r="Q93" s="492">
        <v>3</v>
      </c>
      <c r="R93" s="492" t="b">
        <v>1</v>
      </c>
      <c r="S93" s="492" t="b">
        <v>0</v>
      </c>
      <c r="T93" s="492"/>
      <c r="U93" s="492"/>
      <c r="V93" s="492"/>
      <c r="W93" s="492"/>
      <c r="X93" s="492"/>
      <c r="Y93" s="492">
        <v>388327.683536553</v>
      </c>
      <c r="Z93" s="492">
        <v>8185742.1646456802</v>
      </c>
      <c r="AA93" s="492">
        <v>7561.6268366873201</v>
      </c>
      <c r="AB93" s="492">
        <v>9845.4596584094597</v>
      </c>
      <c r="AC93" s="492">
        <v>1</v>
      </c>
      <c r="AD93" s="492">
        <v>10658</v>
      </c>
      <c r="AE93" s="492" t="s">
        <v>1318</v>
      </c>
      <c r="AF93" s="492" t="s">
        <v>1319</v>
      </c>
      <c r="AG93" s="492" t="s">
        <v>1320</v>
      </c>
      <c r="AH93" s="492" t="s">
        <v>1300</v>
      </c>
      <c r="AI93" s="492">
        <v>1</v>
      </c>
      <c r="AJ93" s="492" t="s">
        <v>1301</v>
      </c>
      <c r="AK93" s="492" t="s">
        <v>1302</v>
      </c>
      <c r="AL93" s="492"/>
      <c r="AM93" s="492"/>
      <c r="AN93" s="492"/>
      <c r="AO93" s="492"/>
      <c r="AP93" s="492"/>
      <c r="AQ93" s="492"/>
      <c r="AR93" s="492"/>
      <c r="AS93" s="492"/>
      <c r="AT93" s="492"/>
      <c r="AU93" s="492"/>
      <c r="AV93" s="492"/>
      <c r="AW93" s="492"/>
      <c r="AX93" s="492"/>
      <c r="AY93" s="492"/>
      <c r="AZ93" s="492"/>
      <c r="BA93" s="492"/>
      <c r="BB93" s="493">
        <v>37292</v>
      </c>
      <c r="BC93" s="494">
        <v>0.375</v>
      </c>
      <c r="BD93" s="493">
        <v>45514</v>
      </c>
      <c r="BE93" s="494">
        <v>0.99998842592592596</v>
      </c>
      <c r="BF93" s="493">
        <v>37844</v>
      </c>
      <c r="BG93" s="494">
        <v>0</v>
      </c>
      <c r="BH93" s="492" t="s">
        <v>1321</v>
      </c>
      <c r="BI93" s="492">
        <v>46</v>
      </c>
      <c r="BJ93" s="492" t="s">
        <v>1322</v>
      </c>
      <c r="BK93" s="492" t="s">
        <v>1323</v>
      </c>
      <c r="BL93" s="493">
        <v>45551</v>
      </c>
      <c r="BM93" s="492" t="s">
        <v>1305</v>
      </c>
      <c r="BN93" s="492" t="s">
        <v>1301</v>
      </c>
      <c r="BO93" s="492">
        <v>1.14061589932797</v>
      </c>
      <c r="BP93" s="492">
        <v>1.1498978662887E-2</v>
      </c>
    </row>
    <row r="94" spans="1:68" ht="75">
      <c r="A94" s="492" t="s">
        <v>1183</v>
      </c>
      <c r="B94" s="492">
        <v>388239</v>
      </c>
      <c r="C94" s="492">
        <v>8185511</v>
      </c>
      <c r="D94" s="492">
        <v>170</v>
      </c>
      <c r="E94" s="492">
        <v>0</v>
      </c>
      <c r="F94" s="492">
        <v>90</v>
      </c>
      <c r="G94" s="492" t="b">
        <v>0</v>
      </c>
      <c r="H94" s="492" t="b">
        <v>0</v>
      </c>
      <c r="I94" s="492">
        <v>10</v>
      </c>
      <c r="J94" s="492" t="b">
        <v>0</v>
      </c>
      <c r="K94" s="492">
        <v>48</v>
      </c>
      <c r="L94" s="492" t="s">
        <v>1163</v>
      </c>
      <c r="M94" s="492" t="s">
        <v>1308</v>
      </c>
      <c r="N94" s="492" t="s">
        <v>1317</v>
      </c>
      <c r="O94" s="492">
        <v>48</v>
      </c>
      <c r="P94" s="492" t="s">
        <v>1310</v>
      </c>
      <c r="Q94" s="492">
        <v>3</v>
      </c>
      <c r="R94" s="492" t="b">
        <v>1</v>
      </c>
      <c r="S94" s="492" t="b">
        <v>0</v>
      </c>
      <c r="T94" s="492"/>
      <c r="U94" s="492"/>
      <c r="V94" s="492"/>
      <c r="W94" s="492"/>
      <c r="X94" s="492"/>
      <c r="Y94" s="492">
        <v>388239.61867425998</v>
      </c>
      <c r="Z94" s="492">
        <v>8185516.9657875001</v>
      </c>
      <c r="AA94" s="492">
        <v>7551.20618720725</v>
      </c>
      <c r="AB94" s="492">
        <v>9603.8080564299598</v>
      </c>
      <c r="AC94" s="492">
        <v>1</v>
      </c>
      <c r="AD94" s="492">
        <v>10658</v>
      </c>
      <c r="AE94" s="492" t="s">
        <v>1318</v>
      </c>
      <c r="AF94" s="492" t="s">
        <v>1319</v>
      </c>
      <c r="AG94" s="492" t="s">
        <v>1320</v>
      </c>
      <c r="AH94" s="492" t="s">
        <v>1300</v>
      </c>
      <c r="AI94" s="492">
        <v>1</v>
      </c>
      <c r="AJ94" s="492" t="s">
        <v>1301</v>
      </c>
      <c r="AK94" s="492" t="s">
        <v>1302</v>
      </c>
      <c r="AL94" s="492"/>
      <c r="AM94" s="492"/>
      <c r="AN94" s="492"/>
      <c r="AO94" s="492"/>
      <c r="AP94" s="492"/>
      <c r="AQ94" s="492"/>
      <c r="AR94" s="492"/>
      <c r="AS94" s="492"/>
      <c r="AT94" s="492"/>
      <c r="AU94" s="492"/>
      <c r="AV94" s="492"/>
      <c r="AW94" s="492"/>
      <c r="AX94" s="492"/>
      <c r="AY94" s="492"/>
      <c r="AZ94" s="492"/>
      <c r="BA94" s="492"/>
      <c r="BB94" s="493">
        <v>37292</v>
      </c>
      <c r="BC94" s="494">
        <v>0.375</v>
      </c>
      <c r="BD94" s="493">
        <v>45514</v>
      </c>
      <c r="BE94" s="494">
        <v>0.99998842592592596</v>
      </c>
      <c r="BF94" s="493">
        <v>37844</v>
      </c>
      <c r="BG94" s="494">
        <v>0</v>
      </c>
      <c r="BH94" s="492" t="s">
        <v>1321</v>
      </c>
      <c r="BI94" s="492">
        <v>46</v>
      </c>
      <c r="BJ94" s="492" t="s">
        <v>1322</v>
      </c>
      <c r="BK94" s="492" t="s">
        <v>1323</v>
      </c>
      <c r="BL94" s="493">
        <v>45551</v>
      </c>
      <c r="BM94" s="492" t="s">
        <v>1305</v>
      </c>
      <c r="BN94" s="492" t="s">
        <v>1301</v>
      </c>
      <c r="BO94" s="492">
        <v>1.14061589932797</v>
      </c>
      <c r="BP94" s="492">
        <v>1.1498978662887E-2</v>
      </c>
    </row>
    <row r="95" spans="1:68" ht="75">
      <c r="A95" s="492" t="s">
        <v>732</v>
      </c>
      <c r="B95" s="492">
        <v>391503</v>
      </c>
      <c r="C95" s="492">
        <v>8187438</v>
      </c>
      <c r="D95" s="492">
        <v>172</v>
      </c>
      <c r="E95" s="492">
        <v>289</v>
      </c>
      <c r="F95" s="492">
        <v>60</v>
      </c>
      <c r="G95" s="492" t="b">
        <v>0</v>
      </c>
      <c r="H95" s="492" t="b">
        <v>0</v>
      </c>
      <c r="I95" s="492">
        <v>10</v>
      </c>
      <c r="J95" s="492" t="b">
        <v>0</v>
      </c>
      <c r="K95" s="492">
        <v>45</v>
      </c>
      <c r="L95" s="492" t="s">
        <v>1295</v>
      </c>
      <c r="M95" s="492" t="s">
        <v>1296</v>
      </c>
      <c r="N95" s="492" t="s">
        <v>2</v>
      </c>
      <c r="O95" s="492">
        <v>45</v>
      </c>
      <c r="P95" s="492" t="s">
        <v>109</v>
      </c>
      <c r="Q95" s="492">
        <v>3</v>
      </c>
      <c r="R95" s="492" t="b">
        <v>1</v>
      </c>
      <c r="S95" s="492" t="b">
        <v>1</v>
      </c>
      <c r="T95" s="492"/>
      <c r="U95" s="492"/>
      <c r="V95" s="492"/>
      <c r="W95" s="492"/>
      <c r="X95" s="492"/>
      <c r="Y95" s="492">
        <v>391501.66616939899</v>
      </c>
      <c r="Z95" s="492">
        <v>8187436.4994405704</v>
      </c>
      <c r="AA95" s="492">
        <v>10016.8843804551</v>
      </c>
      <c r="AB95" s="492">
        <v>12476.8481088802</v>
      </c>
      <c r="AC95" s="492">
        <v>6</v>
      </c>
      <c r="AD95" s="492">
        <v>23443</v>
      </c>
      <c r="AE95" s="492" t="s">
        <v>1297</v>
      </c>
      <c r="AF95" s="492" t="s">
        <v>1298</v>
      </c>
      <c r="AG95" s="492" t="s">
        <v>1299</v>
      </c>
      <c r="AH95" s="492" t="s">
        <v>1300</v>
      </c>
      <c r="AI95" s="492">
        <v>1</v>
      </c>
      <c r="AJ95" s="492" t="s">
        <v>1301</v>
      </c>
      <c r="AK95" s="492" t="s">
        <v>1302</v>
      </c>
      <c r="AL95" s="492"/>
      <c r="AM95" s="492"/>
      <c r="AN95" s="492"/>
      <c r="AO95" s="492"/>
      <c r="AP95" s="492"/>
      <c r="AQ95" s="492"/>
      <c r="AR95" s="492"/>
      <c r="AS95" s="492"/>
      <c r="AT95" s="492"/>
      <c r="AU95" s="492"/>
      <c r="AV95" s="492"/>
      <c r="AW95" s="492"/>
      <c r="AX95" s="492"/>
      <c r="AY95" s="492"/>
      <c r="AZ95" s="492"/>
      <c r="BA95" s="492"/>
      <c r="BB95" s="493">
        <v>32303</v>
      </c>
      <c r="BC95" s="494">
        <v>0.375</v>
      </c>
      <c r="BD95" s="493">
        <v>47989</v>
      </c>
      <c r="BE95" s="494">
        <v>0.99998842592592596</v>
      </c>
      <c r="BF95" s="493">
        <v>32639</v>
      </c>
      <c r="BG95" s="494">
        <v>0</v>
      </c>
      <c r="BH95" s="492" t="s">
        <v>1303</v>
      </c>
      <c r="BI95" s="492">
        <v>597.20000000000005</v>
      </c>
      <c r="BJ95" s="492" t="s">
        <v>1304</v>
      </c>
      <c r="BK95" s="492"/>
      <c r="BL95" s="493">
        <v>45551</v>
      </c>
      <c r="BM95" s="492" t="s">
        <v>1305</v>
      </c>
      <c r="BN95" s="492" t="s">
        <v>1301</v>
      </c>
      <c r="BO95" s="492">
        <v>0.16432140619605901</v>
      </c>
      <c r="BP95" s="492">
        <v>5.0513892581900005E-4</v>
      </c>
    </row>
    <row r="96" spans="1:68" ht="75">
      <c r="A96" s="492" t="s">
        <v>731</v>
      </c>
      <c r="B96" s="492">
        <v>391575</v>
      </c>
      <c r="C96" s="492">
        <v>8187497</v>
      </c>
      <c r="D96" s="492">
        <v>169</v>
      </c>
      <c r="E96" s="492">
        <v>289</v>
      </c>
      <c r="F96" s="492">
        <v>60</v>
      </c>
      <c r="G96" s="492" t="b">
        <v>0</v>
      </c>
      <c r="H96" s="492" t="b">
        <v>0</v>
      </c>
      <c r="I96" s="492">
        <v>10</v>
      </c>
      <c r="J96" s="492" t="b">
        <v>0</v>
      </c>
      <c r="K96" s="492">
        <v>135</v>
      </c>
      <c r="L96" s="492" t="s">
        <v>1295</v>
      </c>
      <c r="M96" s="492" t="s">
        <v>1296</v>
      </c>
      <c r="N96" s="492" t="s">
        <v>2</v>
      </c>
      <c r="O96" s="492">
        <v>135</v>
      </c>
      <c r="P96" s="492" t="s">
        <v>109</v>
      </c>
      <c r="Q96" s="492">
        <v>3</v>
      </c>
      <c r="R96" s="492"/>
      <c r="S96" s="492"/>
      <c r="T96" s="492"/>
      <c r="U96" s="492"/>
      <c r="V96" s="492"/>
      <c r="W96" s="492"/>
      <c r="X96" s="492"/>
      <c r="Y96" s="492">
        <v>391575</v>
      </c>
      <c r="Z96" s="492">
        <v>8187497</v>
      </c>
      <c r="AA96" s="492">
        <v>10066.6974058342</v>
      </c>
      <c r="AB96" s="492">
        <v>12557.8549502482</v>
      </c>
      <c r="AC96" s="492">
        <v>6</v>
      </c>
      <c r="AD96" s="492">
        <v>23443</v>
      </c>
      <c r="AE96" s="492" t="s">
        <v>1297</v>
      </c>
      <c r="AF96" s="492" t="s">
        <v>1298</v>
      </c>
      <c r="AG96" s="492" t="s">
        <v>1299</v>
      </c>
      <c r="AH96" s="492" t="s">
        <v>1300</v>
      </c>
      <c r="AI96" s="492">
        <v>1</v>
      </c>
      <c r="AJ96" s="492" t="s">
        <v>1301</v>
      </c>
      <c r="AK96" s="492" t="s">
        <v>1302</v>
      </c>
      <c r="AL96" s="492"/>
      <c r="AM96" s="492"/>
      <c r="AN96" s="492"/>
      <c r="AO96" s="492"/>
      <c r="AP96" s="492"/>
      <c r="AQ96" s="492"/>
      <c r="AR96" s="492"/>
      <c r="AS96" s="492"/>
      <c r="AT96" s="492"/>
      <c r="AU96" s="492"/>
      <c r="AV96" s="492"/>
      <c r="AW96" s="492"/>
      <c r="AX96" s="492"/>
      <c r="AY96" s="492"/>
      <c r="AZ96" s="492"/>
      <c r="BA96" s="492"/>
      <c r="BB96" s="493">
        <v>32303</v>
      </c>
      <c r="BC96" s="494">
        <v>0.375</v>
      </c>
      <c r="BD96" s="493">
        <v>47989</v>
      </c>
      <c r="BE96" s="494">
        <v>0.99998842592592596</v>
      </c>
      <c r="BF96" s="493">
        <v>32639</v>
      </c>
      <c r="BG96" s="494">
        <v>0</v>
      </c>
      <c r="BH96" s="492" t="s">
        <v>1303</v>
      </c>
      <c r="BI96" s="492">
        <v>597.20000000000005</v>
      </c>
      <c r="BJ96" s="492" t="s">
        <v>1304</v>
      </c>
      <c r="BK96" s="492"/>
      <c r="BL96" s="493">
        <v>45551</v>
      </c>
      <c r="BM96" s="492" t="s">
        <v>1305</v>
      </c>
      <c r="BN96" s="492" t="s">
        <v>1301</v>
      </c>
      <c r="BO96" s="492">
        <v>0.16432140619605901</v>
      </c>
      <c r="BP96" s="492">
        <v>5.0513892581900005E-4</v>
      </c>
    </row>
    <row r="97" spans="1:68" ht="75">
      <c r="A97" s="492" t="s">
        <v>729</v>
      </c>
      <c r="B97" s="492">
        <v>391552</v>
      </c>
      <c r="C97" s="492">
        <v>8187505</v>
      </c>
      <c r="D97" s="492">
        <v>171</v>
      </c>
      <c r="E97" s="492">
        <v>289</v>
      </c>
      <c r="F97" s="492">
        <v>60</v>
      </c>
      <c r="G97" s="492" t="b">
        <v>0</v>
      </c>
      <c r="H97" s="492" t="b">
        <v>0</v>
      </c>
      <c r="I97" s="492">
        <v>10</v>
      </c>
      <c r="J97" s="492" t="b">
        <v>0</v>
      </c>
      <c r="K97" s="492">
        <v>90</v>
      </c>
      <c r="L97" s="492" t="s">
        <v>1295</v>
      </c>
      <c r="M97" s="492" t="s">
        <v>1296</v>
      </c>
      <c r="N97" s="492" t="s">
        <v>2</v>
      </c>
      <c r="O97" s="492">
        <v>90</v>
      </c>
      <c r="P97" s="492" t="s">
        <v>109</v>
      </c>
      <c r="Q97" s="492">
        <v>3</v>
      </c>
      <c r="R97" s="492"/>
      <c r="S97" s="492"/>
      <c r="T97" s="492"/>
      <c r="U97" s="492"/>
      <c r="V97" s="492"/>
      <c r="W97" s="492"/>
      <c r="X97" s="492"/>
      <c r="Y97" s="492">
        <v>391552</v>
      </c>
      <c r="Z97" s="492">
        <v>8187505</v>
      </c>
      <c r="AA97" s="492">
        <v>10042.339018147901</v>
      </c>
      <c r="AB97" s="492">
        <v>12557.9782621376</v>
      </c>
      <c r="AC97" s="492">
        <v>6</v>
      </c>
      <c r="AD97" s="492">
        <v>23443</v>
      </c>
      <c r="AE97" s="492" t="s">
        <v>1297</v>
      </c>
      <c r="AF97" s="492" t="s">
        <v>1298</v>
      </c>
      <c r="AG97" s="492" t="s">
        <v>1299</v>
      </c>
      <c r="AH97" s="492" t="s">
        <v>1300</v>
      </c>
      <c r="AI97" s="492">
        <v>1</v>
      </c>
      <c r="AJ97" s="492" t="s">
        <v>1301</v>
      </c>
      <c r="AK97" s="492" t="s">
        <v>1302</v>
      </c>
      <c r="AL97" s="492"/>
      <c r="AM97" s="492"/>
      <c r="AN97" s="492"/>
      <c r="AO97" s="492"/>
      <c r="AP97" s="492"/>
      <c r="AQ97" s="492"/>
      <c r="AR97" s="492"/>
      <c r="AS97" s="492"/>
      <c r="AT97" s="492"/>
      <c r="AU97" s="492"/>
      <c r="AV97" s="492"/>
      <c r="AW97" s="492"/>
      <c r="AX97" s="492"/>
      <c r="AY97" s="492"/>
      <c r="AZ97" s="492"/>
      <c r="BA97" s="492"/>
      <c r="BB97" s="493">
        <v>32303</v>
      </c>
      <c r="BC97" s="494">
        <v>0.375</v>
      </c>
      <c r="BD97" s="493">
        <v>47989</v>
      </c>
      <c r="BE97" s="494">
        <v>0.99998842592592596</v>
      </c>
      <c r="BF97" s="493">
        <v>32639</v>
      </c>
      <c r="BG97" s="494">
        <v>0</v>
      </c>
      <c r="BH97" s="492" t="s">
        <v>1303</v>
      </c>
      <c r="BI97" s="492">
        <v>597.20000000000005</v>
      </c>
      <c r="BJ97" s="492" t="s">
        <v>1304</v>
      </c>
      <c r="BK97" s="492"/>
      <c r="BL97" s="493">
        <v>45551</v>
      </c>
      <c r="BM97" s="492" t="s">
        <v>1305</v>
      </c>
      <c r="BN97" s="492" t="s">
        <v>1301</v>
      </c>
      <c r="BO97" s="492">
        <v>0.16432140619605901</v>
      </c>
      <c r="BP97" s="492">
        <v>5.0513892581900005E-4</v>
      </c>
    </row>
    <row r="98" spans="1:68" ht="75">
      <c r="A98" s="492" t="s">
        <v>728</v>
      </c>
      <c r="B98" s="492">
        <v>391530</v>
      </c>
      <c r="C98" s="492">
        <v>8187513</v>
      </c>
      <c r="D98" s="492">
        <v>172</v>
      </c>
      <c r="E98" s="492">
        <v>289</v>
      </c>
      <c r="F98" s="492">
        <v>60</v>
      </c>
      <c r="G98" s="492" t="b">
        <v>0</v>
      </c>
      <c r="H98" s="492" t="b">
        <v>0</v>
      </c>
      <c r="I98" s="492">
        <v>10</v>
      </c>
      <c r="J98" s="492" t="b">
        <v>0</v>
      </c>
      <c r="K98" s="492">
        <v>45</v>
      </c>
      <c r="L98" s="492" t="s">
        <v>1295</v>
      </c>
      <c r="M98" s="492" t="s">
        <v>1296</v>
      </c>
      <c r="N98" s="492" t="s">
        <v>2</v>
      </c>
      <c r="O98" s="492">
        <v>45</v>
      </c>
      <c r="P98" s="492" t="s">
        <v>109</v>
      </c>
      <c r="Q98" s="492">
        <v>3</v>
      </c>
      <c r="R98" s="492" t="b">
        <v>1</v>
      </c>
      <c r="S98" s="492" t="b">
        <v>1</v>
      </c>
      <c r="T98" s="492"/>
      <c r="U98" s="492"/>
      <c r="V98" s="492"/>
      <c r="W98" s="492"/>
      <c r="X98" s="492"/>
      <c r="Y98" s="492">
        <v>391537.74075007398</v>
      </c>
      <c r="Z98" s="492">
        <v>8187511.42014171</v>
      </c>
      <c r="AA98" s="492">
        <v>10026.7646906231</v>
      </c>
      <c r="AB98" s="492">
        <v>12559.4368715165</v>
      </c>
      <c r="AC98" s="492">
        <v>6</v>
      </c>
      <c r="AD98" s="492">
        <v>23443</v>
      </c>
      <c r="AE98" s="492" t="s">
        <v>1297</v>
      </c>
      <c r="AF98" s="492" t="s">
        <v>1298</v>
      </c>
      <c r="AG98" s="492" t="s">
        <v>1299</v>
      </c>
      <c r="AH98" s="492" t="s">
        <v>1300</v>
      </c>
      <c r="AI98" s="492">
        <v>1</v>
      </c>
      <c r="AJ98" s="492" t="s">
        <v>1301</v>
      </c>
      <c r="AK98" s="492" t="s">
        <v>1302</v>
      </c>
      <c r="AL98" s="492"/>
      <c r="AM98" s="492"/>
      <c r="AN98" s="492"/>
      <c r="AO98" s="492"/>
      <c r="AP98" s="492"/>
      <c r="AQ98" s="492"/>
      <c r="AR98" s="492"/>
      <c r="AS98" s="492"/>
      <c r="AT98" s="492"/>
      <c r="AU98" s="492"/>
      <c r="AV98" s="492"/>
      <c r="AW98" s="492"/>
      <c r="AX98" s="492"/>
      <c r="AY98" s="492"/>
      <c r="AZ98" s="492"/>
      <c r="BA98" s="492"/>
      <c r="BB98" s="493">
        <v>32303</v>
      </c>
      <c r="BC98" s="494">
        <v>0.375</v>
      </c>
      <c r="BD98" s="493">
        <v>47989</v>
      </c>
      <c r="BE98" s="494">
        <v>0.99998842592592596</v>
      </c>
      <c r="BF98" s="493">
        <v>32639</v>
      </c>
      <c r="BG98" s="494">
        <v>0</v>
      </c>
      <c r="BH98" s="492" t="s">
        <v>1303</v>
      </c>
      <c r="BI98" s="492">
        <v>597.20000000000005</v>
      </c>
      <c r="BJ98" s="492" t="s">
        <v>1304</v>
      </c>
      <c r="BK98" s="492"/>
      <c r="BL98" s="493">
        <v>45551</v>
      </c>
      <c r="BM98" s="492" t="s">
        <v>1305</v>
      </c>
      <c r="BN98" s="492" t="s">
        <v>1301</v>
      </c>
      <c r="BO98" s="492">
        <v>0.16432140619605901</v>
      </c>
      <c r="BP98" s="492">
        <v>5.0513892581900005E-4</v>
      </c>
    </row>
    <row r="99" spans="1:68" ht="75">
      <c r="A99" s="492" t="s">
        <v>726</v>
      </c>
      <c r="B99" s="492">
        <v>391607</v>
      </c>
      <c r="C99" s="492">
        <v>8187571</v>
      </c>
      <c r="D99" s="492">
        <v>173</v>
      </c>
      <c r="E99" s="492">
        <v>289</v>
      </c>
      <c r="F99" s="492">
        <v>60</v>
      </c>
      <c r="G99" s="492" t="b">
        <v>0</v>
      </c>
      <c r="H99" s="492" t="b">
        <v>0</v>
      </c>
      <c r="I99" s="492">
        <v>10</v>
      </c>
      <c r="J99" s="492" t="b">
        <v>0</v>
      </c>
      <c r="K99" s="492">
        <v>135</v>
      </c>
      <c r="L99" s="492" t="s">
        <v>1295</v>
      </c>
      <c r="M99" s="492" t="s">
        <v>1296</v>
      </c>
      <c r="N99" s="492" t="s">
        <v>2</v>
      </c>
      <c r="O99" s="492">
        <v>135</v>
      </c>
      <c r="P99" s="492" t="s">
        <v>109</v>
      </c>
      <c r="Q99" s="492">
        <v>3</v>
      </c>
      <c r="R99" s="492"/>
      <c r="S99" s="492"/>
      <c r="T99" s="492"/>
      <c r="U99" s="492"/>
      <c r="V99" s="492"/>
      <c r="W99" s="492"/>
      <c r="X99" s="492"/>
      <c r="Y99" s="492">
        <v>391607</v>
      </c>
      <c r="Z99" s="492">
        <v>8187571</v>
      </c>
      <c r="AA99" s="492">
        <v>10073.0195854417</v>
      </c>
      <c r="AB99" s="492">
        <v>12638.2528696013</v>
      </c>
      <c r="AC99" s="492">
        <v>6</v>
      </c>
      <c r="AD99" s="492">
        <v>23443</v>
      </c>
      <c r="AE99" s="492" t="s">
        <v>1297</v>
      </c>
      <c r="AF99" s="492" t="s">
        <v>1298</v>
      </c>
      <c r="AG99" s="492" t="s">
        <v>1299</v>
      </c>
      <c r="AH99" s="492" t="s">
        <v>1300</v>
      </c>
      <c r="AI99" s="492">
        <v>1</v>
      </c>
      <c r="AJ99" s="492" t="s">
        <v>1301</v>
      </c>
      <c r="AK99" s="492" t="s">
        <v>1302</v>
      </c>
      <c r="AL99" s="492"/>
      <c r="AM99" s="492"/>
      <c r="AN99" s="492"/>
      <c r="AO99" s="492"/>
      <c r="AP99" s="492"/>
      <c r="AQ99" s="492"/>
      <c r="AR99" s="492"/>
      <c r="AS99" s="492"/>
      <c r="AT99" s="492"/>
      <c r="AU99" s="492"/>
      <c r="AV99" s="492"/>
      <c r="AW99" s="492"/>
      <c r="AX99" s="492"/>
      <c r="AY99" s="492"/>
      <c r="AZ99" s="492"/>
      <c r="BA99" s="492"/>
      <c r="BB99" s="493">
        <v>32303</v>
      </c>
      <c r="BC99" s="494">
        <v>0.375</v>
      </c>
      <c r="BD99" s="493">
        <v>47989</v>
      </c>
      <c r="BE99" s="494">
        <v>0.99998842592592596</v>
      </c>
      <c r="BF99" s="493">
        <v>32639</v>
      </c>
      <c r="BG99" s="494">
        <v>0</v>
      </c>
      <c r="BH99" s="492" t="s">
        <v>1303</v>
      </c>
      <c r="BI99" s="492">
        <v>597.20000000000005</v>
      </c>
      <c r="BJ99" s="492" t="s">
        <v>1304</v>
      </c>
      <c r="BK99" s="492"/>
      <c r="BL99" s="493">
        <v>45551</v>
      </c>
      <c r="BM99" s="492" t="s">
        <v>1305</v>
      </c>
      <c r="BN99" s="492" t="s">
        <v>1301</v>
      </c>
      <c r="BO99" s="492">
        <v>0.16432140619605901</v>
      </c>
      <c r="BP99" s="492">
        <v>5.0513892581900005E-4</v>
      </c>
    </row>
    <row r="100" spans="1:68" ht="75">
      <c r="A100" s="492" t="s">
        <v>725</v>
      </c>
      <c r="B100" s="492">
        <v>391584</v>
      </c>
      <c r="C100" s="492">
        <v>8187579</v>
      </c>
      <c r="D100" s="492">
        <v>173</v>
      </c>
      <c r="E100" s="492">
        <v>289</v>
      </c>
      <c r="F100" s="492">
        <v>60</v>
      </c>
      <c r="G100" s="492" t="b">
        <v>0</v>
      </c>
      <c r="H100" s="492" t="b">
        <v>0</v>
      </c>
      <c r="I100" s="492">
        <v>10</v>
      </c>
      <c r="J100" s="492" t="b">
        <v>0</v>
      </c>
      <c r="K100" s="492">
        <v>90</v>
      </c>
      <c r="L100" s="492" t="s">
        <v>1295</v>
      </c>
      <c r="M100" s="492" t="s">
        <v>1296</v>
      </c>
      <c r="N100" s="492" t="s">
        <v>2</v>
      </c>
      <c r="O100" s="492">
        <v>90</v>
      </c>
      <c r="P100" s="492" t="s">
        <v>109</v>
      </c>
      <c r="Q100" s="492">
        <v>3</v>
      </c>
      <c r="R100" s="492"/>
      <c r="S100" s="492"/>
      <c r="T100" s="492"/>
      <c r="U100" s="492"/>
      <c r="V100" s="492"/>
      <c r="W100" s="492"/>
      <c r="X100" s="492"/>
      <c r="Y100" s="492">
        <v>391584</v>
      </c>
      <c r="Z100" s="492">
        <v>8187579</v>
      </c>
      <c r="AA100" s="492">
        <v>10048.661197753599</v>
      </c>
      <c r="AB100" s="492">
        <v>12638.3761814888</v>
      </c>
      <c r="AC100" s="492">
        <v>6</v>
      </c>
      <c r="AD100" s="492">
        <v>23443</v>
      </c>
      <c r="AE100" s="492" t="s">
        <v>1297</v>
      </c>
      <c r="AF100" s="492" t="s">
        <v>1298</v>
      </c>
      <c r="AG100" s="492" t="s">
        <v>1299</v>
      </c>
      <c r="AH100" s="492" t="s">
        <v>1300</v>
      </c>
      <c r="AI100" s="492">
        <v>1</v>
      </c>
      <c r="AJ100" s="492" t="s">
        <v>1301</v>
      </c>
      <c r="AK100" s="492" t="s">
        <v>1302</v>
      </c>
      <c r="AL100" s="492"/>
      <c r="AM100" s="492"/>
      <c r="AN100" s="492"/>
      <c r="AO100" s="492"/>
      <c r="AP100" s="492"/>
      <c r="AQ100" s="492"/>
      <c r="AR100" s="492"/>
      <c r="AS100" s="492"/>
      <c r="AT100" s="492"/>
      <c r="AU100" s="492"/>
      <c r="AV100" s="492"/>
      <c r="AW100" s="492"/>
      <c r="AX100" s="492"/>
      <c r="AY100" s="492"/>
      <c r="AZ100" s="492"/>
      <c r="BA100" s="492"/>
      <c r="BB100" s="493">
        <v>32303</v>
      </c>
      <c r="BC100" s="494">
        <v>0.375</v>
      </c>
      <c r="BD100" s="493">
        <v>47989</v>
      </c>
      <c r="BE100" s="494">
        <v>0.99998842592592596</v>
      </c>
      <c r="BF100" s="493">
        <v>32639</v>
      </c>
      <c r="BG100" s="494">
        <v>0</v>
      </c>
      <c r="BH100" s="492" t="s">
        <v>1303</v>
      </c>
      <c r="BI100" s="492">
        <v>597.20000000000005</v>
      </c>
      <c r="BJ100" s="492" t="s">
        <v>1304</v>
      </c>
      <c r="BK100" s="492"/>
      <c r="BL100" s="493">
        <v>45551</v>
      </c>
      <c r="BM100" s="492" t="s">
        <v>1305</v>
      </c>
      <c r="BN100" s="492" t="s">
        <v>1301</v>
      </c>
      <c r="BO100" s="492">
        <v>0.16432140619605901</v>
      </c>
      <c r="BP100" s="492">
        <v>5.0513892581900005E-4</v>
      </c>
    </row>
    <row r="101" spans="1:68" ht="75">
      <c r="A101" s="492" t="s">
        <v>724</v>
      </c>
      <c r="B101" s="492">
        <v>391561</v>
      </c>
      <c r="C101" s="492">
        <v>8187587</v>
      </c>
      <c r="D101" s="492">
        <v>173</v>
      </c>
      <c r="E101" s="492">
        <v>289</v>
      </c>
      <c r="F101" s="492">
        <v>60</v>
      </c>
      <c r="G101" s="492" t="b">
        <v>0</v>
      </c>
      <c r="H101" s="492" t="b">
        <v>0</v>
      </c>
      <c r="I101" s="492">
        <v>10</v>
      </c>
      <c r="J101" s="492" t="b">
        <v>0</v>
      </c>
      <c r="K101" s="492">
        <v>45</v>
      </c>
      <c r="L101" s="492" t="s">
        <v>1295</v>
      </c>
      <c r="M101" s="492" t="s">
        <v>1296</v>
      </c>
      <c r="N101" s="492" t="s">
        <v>2</v>
      </c>
      <c r="O101" s="492">
        <v>45</v>
      </c>
      <c r="P101" s="492" t="s">
        <v>109</v>
      </c>
      <c r="Q101" s="492">
        <v>3</v>
      </c>
      <c r="R101" s="492"/>
      <c r="S101" s="492"/>
      <c r="T101" s="492"/>
      <c r="U101" s="492"/>
      <c r="V101" s="492"/>
      <c r="W101" s="492"/>
      <c r="X101" s="492"/>
      <c r="Y101" s="492">
        <v>391566.97518750798</v>
      </c>
      <c r="Z101" s="492">
        <v>8187585.2511646301</v>
      </c>
      <c r="AA101" s="492">
        <v>10030.5241953153</v>
      </c>
      <c r="AB101" s="492">
        <v>12638.779296005099</v>
      </c>
      <c r="AC101" s="492">
        <v>6</v>
      </c>
      <c r="AD101" s="492">
        <v>23443</v>
      </c>
      <c r="AE101" s="492" t="s">
        <v>1297</v>
      </c>
      <c r="AF101" s="492" t="s">
        <v>1298</v>
      </c>
      <c r="AG101" s="492" t="s">
        <v>1299</v>
      </c>
      <c r="AH101" s="492" t="s">
        <v>1300</v>
      </c>
      <c r="AI101" s="492">
        <v>1</v>
      </c>
      <c r="AJ101" s="492" t="s">
        <v>1301</v>
      </c>
      <c r="AK101" s="492" t="s">
        <v>1302</v>
      </c>
      <c r="AL101" s="492"/>
      <c r="AM101" s="492"/>
      <c r="AN101" s="492"/>
      <c r="AO101" s="492"/>
      <c r="AP101" s="492"/>
      <c r="AQ101" s="492"/>
      <c r="AR101" s="492"/>
      <c r="AS101" s="492"/>
      <c r="AT101" s="492"/>
      <c r="AU101" s="492"/>
      <c r="AV101" s="492"/>
      <c r="AW101" s="492"/>
      <c r="AX101" s="492"/>
      <c r="AY101" s="492"/>
      <c r="AZ101" s="492"/>
      <c r="BA101" s="492"/>
      <c r="BB101" s="493">
        <v>32303</v>
      </c>
      <c r="BC101" s="494">
        <v>0.375</v>
      </c>
      <c r="BD101" s="493">
        <v>47989</v>
      </c>
      <c r="BE101" s="494">
        <v>0.99998842592592596</v>
      </c>
      <c r="BF101" s="493">
        <v>32639</v>
      </c>
      <c r="BG101" s="494">
        <v>0</v>
      </c>
      <c r="BH101" s="492" t="s">
        <v>1303</v>
      </c>
      <c r="BI101" s="492">
        <v>597.20000000000005</v>
      </c>
      <c r="BJ101" s="492" t="s">
        <v>1304</v>
      </c>
      <c r="BK101" s="492"/>
      <c r="BL101" s="493">
        <v>45551</v>
      </c>
      <c r="BM101" s="492" t="s">
        <v>1305</v>
      </c>
      <c r="BN101" s="492" t="s">
        <v>1301</v>
      </c>
      <c r="BO101" s="492">
        <v>0.16432140619605901</v>
      </c>
      <c r="BP101" s="492">
        <v>5.0513892581900005E-4</v>
      </c>
    </row>
    <row r="102" spans="1:68" ht="75">
      <c r="A102" s="492" t="s">
        <v>722</v>
      </c>
      <c r="B102" s="492">
        <v>391650</v>
      </c>
      <c r="C102" s="492">
        <v>8187641</v>
      </c>
      <c r="D102" s="492">
        <v>174</v>
      </c>
      <c r="E102" s="492">
        <v>289</v>
      </c>
      <c r="F102" s="492">
        <v>60</v>
      </c>
      <c r="G102" s="492" t="b">
        <v>0</v>
      </c>
      <c r="H102" s="492" t="b">
        <v>0</v>
      </c>
      <c r="I102" s="492">
        <v>10</v>
      </c>
      <c r="J102" s="492" t="b">
        <v>0</v>
      </c>
      <c r="K102" s="492">
        <v>135</v>
      </c>
      <c r="L102" s="492" t="s">
        <v>1295</v>
      </c>
      <c r="M102" s="492" t="s">
        <v>1296</v>
      </c>
      <c r="N102" s="492" t="s">
        <v>2</v>
      </c>
      <c r="O102" s="492">
        <v>135</v>
      </c>
      <c r="P102" s="492" t="s">
        <v>109</v>
      </c>
      <c r="Q102" s="492">
        <v>3</v>
      </c>
      <c r="R102" s="492"/>
      <c r="S102" s="492"/>
      <c r="T102" s="492"/>
      <c r="U102" s="492"/>
      <c r="V102" s="492"/>
      <c r="W102" s="492"/>
      <c r="X102" s="492"/>
      <c r="Y102" s="492">
        <v>391650</v>
      </c>
      <c r="Z102" s="492">
        <v>8187641</v>
      </c>
      <c r="AA102" s="492">
        <v>10091.0477469097</v>
      </c>
      <c r="AB102" s="492">
        <v>12718.427218229501</v>
      </c>
      <c r="AC102" s="492">
        <v>6</v>
      </c>
      <c r="AD102" s="492">
        <v>23443</v>
      </c>
      <c r="AE102" s="492" t="s">
        <v>1297</v>
      </c>
      <c r="AF102" s="492" t="s">
        <v>1298</v>
      </c>
      <c r="AG102" s="492" t="s">
        <v>1299</v>
      </c>
      <c r="AH102" s="492" t="s">
        <v>1300</v>
      </c>
      <c r="AI102" s="492">
        <v>1</v>
      </c>
      <c r="AJ102" s="492" t="s">
        <v>1301</v>
      </c>
      <c r="AK102" s="492" t="s">
        <v>1302</v>
      </c>
      <c r="AL102" s="492"/>
      <c r="AM102" s="492"/>
      <c r="AN102" s="492"/>
      <c r="AO102" s="492"/>
      <c r="AP102" s="492"/>
      <c r="AQ102" s="492"/>
      <c r="AR102" s="492"/>
      <c r="AS102" s="492"/>
      <c r="AT102" s="492"/>
      <c r="AU102" s="492"/>
      <c r="AV102" s="492"/>
      <c r="AW102" s="492"/>
      <c r="AX102" s="492"/>
      <c r="AY102" s="492"/>
      <c r="AZ102" s="492"/>
      <c r="BA102" s="492"/>
      <c r="BB102" s="493">
        <v>32303</v>
      </c>
      <c r="BC102" s="494">
        <v>0.375</v>
      </c>
      <c r="BD102" s="493">
        <v>47989</v>
      </c>
      <c r="BE102" s="494">
        <v>0.99998842592592596</v>
      </c>
      <c r="BF102" s="493">
        <v>32639</v>
      </c>
      <c r="BG102" s="494">
        <v>0</v>
      </c>
      <c r="BH102" s="492" t="s">
        <v>1303</v>
      </c>
      <c r="BI102" s="492">
        <v>597.20000000000005</v>
      </c>
      <c r="BJ102" s="492" t="s">
        <v>1304</v>
      </c>
      <c r="BK102" s="492"/>
      <c r="BL102" s="493">
        <v>45551</v>
      </c>
      <c r="BM102" s="492" t="s">
        <v>1305</v>
      </c>
      <c r="BN102" s="492" t="s">
        <v>1301</v>
      </c>
      <c r="BO102" s="492">
        <v>0.16432140619605901</v>
      </c>
      <c r="BP102" s="492">
        <v>5.0513892581900005E-4</v>
      </c>
    </row>
    <row r="103" spans="1:68" ht="75">
      <c r="A103" s="492" t="s">
        <v>778</v>
      </c>
      <c r="B103" s="492">
        <v>391289</v>
      </c>
      <c r="C103" s="492">
        <v>8186033</v>
      </c>
      <c r="D103" s="492">
        <v>174</v>
      </c>
      <c r="E103" s="492">
        <v>109</v>
      </c>
      <c r="F103" s="492">
        <v>57</v>
      </c>
      <c r="G103" s="492" t="b">
        <v>0</v>
      </c>
      <c r="H103" s="492" t="b">
        <v>0</v>
      </c>
      <c r="I103" s="492">
        <v>10</v>
      </c>
      <c r="J103" s="492" t="b">
        <v>0</v>
      </c>
      <c r="K103" s="492">
        <v>115</v>
      </c>
      <c r="L103" s="492" t="s">
        <v>1311</v>
      </c>
      <c r="M103" s="492" t="s">
        <v>1296</v>
      </c>
      <c r="N103" s="492" t="s">
        <v>2</v>
      </c>
      <c r="O103" s="492">
        <v>115</v>
      </c>
      <c r="P103" s="492" t="s">
        <v>109</v>
      </c>
      <c r="Q103" s="492">
        <v>3</v>
      </c>
      <c r="R103" s="492"/>
      <c r="S103" s="492"/>
      <c r="T103" s="492"/>
      <c r="U103" s="492"/>
      <c r="V103" s="492"/>
      <c r="W103" s="492"/>
      <c r="X103" s="492"/>
      <c r="Y103" s="492">
        <v>391289</v>
      </c>
      <c r="Z103" s="492">
        <v>8186033</v>
      </c>
      <c r="AA103" s="492">
        <v>10270.1066247895</v>
      </c>
      <c r="AB103" s="492">
        <v>11079.675010289</v>
      </c>
      <c r="AC103" s="492">
        <v>6</v>
      </c>
      <c r="AD103" s="492">
        <v>23443</v>
      </c>
      <c r="AE103" s="492" t="s">
        <v>1297</v>
      </c>
      <c r="AF103" s="492" t="s">
        <v>1298</v>
      </c>
      <c r="AG103" s="492" t="s">
        <v>1299</v>
      </c>
      <c r="AH103" s="492" t="s">
        <v>1300</v>
      </c>
      <c r="AI103" s="492">
        <v>1</v>
      </c>
      <c r="AJ103" s="492" t="s">
        <v>1301</v>
      </c>
      <c r="AK103" s="492" t="s">
        <v>1302</v>
      </c>
      <c r="AL103" s="492"/>
      <c r="AM103" s="492"/>
      <c r="AN103" s="492"/>
      <c r="AO103" s="492"/>
      <c r="AP103" s="492"/>
      <c r="AQ103" s="492"/>
      <c r="AR103" s="492"/>
      <c r="AS103" s="492"/>
      <c r="AT103" s="492"/>
      <c r="AU103" s="492"/>
      <c r="AV103" s="492"/>
      <c r="AW103" s="492"/>
      <c r="AX103" s="492"/>
      <c r="AY103" s="492"/>
      <c r="AZ103" s="492"/>
      <c r="BA103" s="492"/>
      <c r="BB103" s="493">
        <v>32303</v>
      </c>
      <c r="BC103" s="494">
        <v>0.375</v>
      </c>
      <c r="BD103" s="493">
        <v>47989</v>
      </c>
      <c r="BE103" s="494">
        <v>0.99998842592592596</v>
      </c>
      <c r="BF103" s="493">
        <v>32639</v>
      </c>
      <c r="BG103" s="494">
        <v>0</v>
      </c>
      <c r="BH103" s="492" t="s">
        <v>1303</v>
      </c>
      <c r="BI103" s="492">
        <v>597.20000000000005</v>
      </c>
      <c r="BJ103" s="492" t="s">
        <v>1304</v>
      </c>
      <c r="BK103" s="492"/>
      <c r="BL103" s="493">
        <v>45551</v>
      </c>
      <c r="BM103" s="492" t="s">
        <v>1305</v>
      </c>
      <c r="BN103" s="492" t="s">
        <v>1301</v>
      </c>
      <c r="BO103" s="492">
        <v>0.16432140619605901</v>
      </c>
      <c r="BP103" s="492">
        <v>5.0513892581900005E-4</v>
      </c>
    </row>
    <row r="104" spans="1:68" ht="75">
      <c r="A104" s="492" t="s">
        <v>476</v>
      </c>
      <c r="B104" s="492">
        <v>391327</v>
      </c>
      <c r="C104" s="492">
        <v>8186020</v>
      </c>
      <c r="D104" s="492">
        <v>174</v>
      </c>
      <c r="E104" s="492">
        <v>109</v>
      </c>
      <c r="F104" s="492">
        <v>55</v>
      </c>
      <c r="G104" s="492" t="b">
        <v>0</v>
      </c>
      <c r="H104" s="492" t="b">
        <v>0</v>
      </c>
      <c r="I104" s="492">
        <v>10</v>
      </c>
      <c r="J104" s="492" t="b">
        <v>0</v>
      </c>
      <c r="K104" s="492">
        <v>110</v>
      </c>
      <c r="L104" s="492" t="s">
        <v>1311</v>
      </c>
      <c r="M104" s="492" t="s">
        <v>1296</v>
      </c>
      <c r="N104" s="492" t="s">
        <v>1</v>
      </c>
      <c r="O104" s="492">
        <v>110</v>
      </c>
      <c r="P104" s="492" t="s">
        <v>109</v>
      </c>
      <c r="Q104" s="492">
        <v>3</v>
      </c>
      <c r="R104" s="492" t="b">
        <v>1</v>
      </c>
      <c r="S104" s="492" t="b">
        <v>1</v>
      </c>
      <c r="T104" s="492" t="s">
        <v>1340</v>
      </c>
      <c r="U104" s="495">
        <v>45843</v>
      </c>
      <c r="V104" s="492"/>
      <c r="W104" s="492"/>
      <c r="X104" s="492"/>
      <c r="Y104" s="492">
        <v>391332.41921071202</v>
      </c>
      <c r="Z104" s="492">
        <v>8186036.2576321298</v>
      </c>
      <c r="AA104" s="492">
        <v>10310.144688823701</v>
      </c>
      <c r="AB104" s="492">
        <v>11096.818535244</v>
      </c>
      <c r="AC104" s="492">
        <v>6</v>
      </c>
      <c r="AD104" s="492">
        <v>23443</v>
      </c>
      <c r="AE104" s="492" t="s">
        <v>1297</v>
      </c>
      <c r="AF104" s="492" t="s">
        <v>1298</v>
      </c>
      <c r="AG104" s="492" t="s">
        <v>1299</v>
      </c>
      <c r="AH104" s="492" t="s">
        <v>1300</v>
      </c>
      <c r="AI104" s="492">
        <v>1</v>
      </c>
      <c r="AJ104" s="492" t="s">
        <v>1301</v>
      </c>
      <c r="AK104" s="492" t="s">
        <v>1302</v>
      </c>
      <c r="AL104" s="492"/>
      <c r="AM104" s="492"/>
      <c r="AN104" s="492"/>
      <c r="AO104" s="492"/>
      <c r="AP104" s="492"/>
      <c r="AQ104" s="492"/>
      <c r="AR104" s="492"/>
      <c r="AS104" s="492"/>
      <c r="AT104" s="492"/>
      <c r="AU104" s="492"/>
      <c r="AV104" s="492"/>
      <c r="AW104" s="492"/>
      <c r="AX104" s="492"/>
      <c r="AY104" s="492"/>
      <c r="AZ104" s="492"/>
      <c r="BA104" s="492"/>
      <c r="BB104" s="493">
        <v>32303</v>
      </c>
      <c r="BC104" s="494">
        <v>0.375</v>
      </c>
      <c r="BD104" s="493">
        <v>47989</v>
      </c>
      <c r="BE104" s="494">
        <v>0.99998842592592596</v>
      </c>
      <c r="BF104" s="493">
        <v>32639</v>
      </c>
      <c r="BG104" s="494">
        <v>0</v>
      </c>
      <c r="BH104" s="492" t="s">
        <v>1303</v>
      </c>
      <c r="BI104" s="492">
        <v>597.20000000000005</v>
      </c>
      <c r="BJ104" s="492" t="s">
        <v>1304</v>
      </c>
      <c r="BK104" s="492"/>
      <c r="BL104" s="493">
        <v>45551</v>
      </c>
      <c r="BM104" s="492" t="s">
        <v>1305</v>
      </c>
      <c r="BN104" s="492" t="s">
        <v>1301</v>
      </c>
      <c r="BO104" s="492">
        <v>0.16432140619605901</v>
      </c>
      <c r="BP104" s="492">
        <v>5.0513892581900005E-4</v>
      </c>
    </row>
    <row r="105" spans="1:68" ht="75">
      <c r="A105" s="492" t="s">
        <v>775</v>
      </c>
      <c r="B105" s="492">
        <v>391343</v>
      </c>
      <c r="C105" s="492">
        <v>8186099</v>
      </c>
      <c r="D105" s="492">
        <v>176</v>
      </c>
      <c r="E105" s="492">
        <v>109</v>
      </c>
      <c r="F105" s="492">
        <v>60</v>
      </c>
      <c r="G105" s="492" t="b">
        <v>0</v>
      </c>
      <c r="H105" s="492" t="b">
        <v>0</v>
      </c>
      <c r="I105" s="492">
        <v>10</v>
      </c>
      <c r="J105" s="492" t="b">
        <v>0</v>
      </c>
      <c r="K105" s="492">
        <v>78</v>
      </c>
      <c r="L105" s="492" t="s">
        <v>1311</v>
      </c>
      <c r="M105" s="492" t="s">
        <v>1296</v>
      </c>
      <c r="N105" s="492" t="s">
        <v>2</v>
      </c>
      <c r="O105" s="492">
        <v>78</v>
      </c>
      <c r="P105" s="492" t="s">
        <v>109</v>
      </c>
      <c r="Q105" s="492">
        <v>3</v>
      </c>
      <c r="R105" s="492"/>
      <c r="S105" s="492"/>
      <c r="T105" s="492"/>
      <c r="U105" s="492"/>
      <c r="V105" s="492"/>
      <c r="W105" s="492"/>
      <c r="X105" s="492"/>
      <c r="Y105" s="492">
        <v>391343</v>
      </c>
      <c r="Z105" s="492">
        <v>8186099</v>
      </c>
      <c r="AA105" s="492">
        <v>10299.840768116899</v>
      </c>
      <c r="AB105" s="492">
        <v>11159.625788195901</v>
      </c>
      <c r="AC105" s="492">
        <v>6</v>
      </c>
      <c r="AD105" s="492">
        <v>23443</v>
      </c>
      <c r="AE105" s="492" t="s">
        <v>1297</v>
      </c>
      <c r="AF105" s="492" t="s">
        <v>1298</v>
      </c>
      <c r="AG105" s="492" t="s">
        <v>1299</v>
      </c>
      <c r="AH105" s="492" t="s">
        <v>1300</v>
      </c>
      <c r="AI105" s="492">
        <v>1</v>
      </c>
      <c r="AJ105" s="492" t="s">
        <v>1301</v>
      </c>
      <c r="AK105" s="492" t="s">
        <v>1302</v>
      </c>
      <c r="AL105" s="492"/>
      <c r="AM105" s="492"/>
      <c r="AN105" s="492"/>
      <c r="AO105" s="492"/>
      <c r="AP105" s="492"/>
      <c r="AQ105" s="492"/>
      <c r="AR105" s="492"/>
      <c r="AS105" s="492"/>
      <c r="AT105" s="492"/>
      <c r="AU105" s="492"/>
      <c r="AV105" s="492"/>
      <c r="AW105" s="492"/>
      <c r="AX105" s="492"/>
      <c r="AY105" s="492"/>
      <c r="AZ105" s="492"/>
      <c r="BA105" s="492"/>
      <c r="BB105" s="493">
        <v>32303</v>
      </c>
      <c r="BC105" s="494">
        <v>0.375</v>
      </c>
      <c r="BD105" s="493">
        <v>47989</v>
      </c>
      <c r="BE105" s="494">
        <v>0.99998842592592596</v>
      </c>
      <c r="BF105" s="493">
        <v>32639</v>
      </c>
      <c r="BG105" s="494">
        <v>0</v>
      </c>
      <c r="BH105" s="492" t="s">
        <v>1303</v>
      </c>
      <c r="BI105" s="492">
        <v>597.20000000000005</v>
      </c>
      <c r="BJ105" s="492" t="s">
        <v>1304</v>
      </c>
      <c r="BK105" s="492"/>
      <c r="BL105" s="493">
        <v>45551</v>
      </c>
      <c r="BM105" s="492" t="s">
        <v>1305</v>
      </c>
      <c r="BN105" s="492" t="s">
        <v>1301</v>
      </c>
      <c r="BO105" s="492">
        <v>0.16432140619605901</v>
      </c>
      <c r="BP105" s="492">
        <v>5.0513892581900005E-4</v>
      </c>
    </row>
    <row r="106" spans="1:68" ht="75">
      <c r="A106" s="492" t="s">
        <v>772</v>
      </c>
      <c r="B106" s="492">
        <v>391407</v>
      </c>
      <c r="C106" s="492">
        <v>8186162</v>
      </c>
      <c r="D106" s="492">
        <v>176</v>
      </c>
      <c r="E106" s="492">
        <v>109</v>
      </c>
      <c r="F106" s="492">
        <v>60</v>
      </c>
      <c r="G106" s="492" t="b">
        <v>0</v>
      </c>
      <c r="H106" s="492" t="b">
        <v>0</v>
      </c>
      <c r="I106" s="492">
        <v>10</v>
      </c>
      <c r="J106" s="492" t="b">
        <v>0</v>
      </c>
      <c r="K106" s="492">
        <v>134</v>
      </c>
      <c r="L106" s="492" t="s">
        <v>1311</v>
      </c>
      <c r="M106" s="492" t="s">
        <v>1296</v>
      </c>
      <c r="N106" s="492" t="s">
        <v>2</v>
      </c>
      <c r="O106" s="492">
        <v>134</v>
      </c>
      <c r="P106" s="492" t="s">
        <v>109</v>
      </c>
      <c r="Q106" s="492">
        <v>3</v>
      </c>
      <c r="R106" s="492"/>
      <c r="S106" s="492"/>
      <c r="T106" s="492"/>
      <c r="U106" s="492"/>
      <c r="V106" s="492"/>
      <c r="W106" s="492"/>
      <c r="X106" s="492"/>
      <c r="Y106" s="492">
        <v>391407</v>
      </c>
      <c r="Z106" s="492">
        <v>8186162</v>
      </c>
      <c r="AA106" s="492">
        <v>10340.010639779201</v>
      </c>
      <c r="AB106" s="492">
        <v>11239.9755897866</v>
      </c>
      <c r="AC106" s="492">
        <v>6</v>
      </c>
      <c r="AD106" s="492">
        <v>23443</v>
      </c>
      <c r="AE106" s="492" t="s">
        <v>1297</v>
      </c>
      <c r="AF106" s="492" t="s">
        <v>1298</v>
      </c>
      <c r="AG106" s="492" t="s">
        <v>1299</v>
      </c>
      <c r="AH106" s="492" t="s">
        <v>1300</v>
      </c>
      <c r="AI106" s="492">
        <v>1</v>
      </c>
      <c r="AJ106" s="492" t="s">
        <v>1301</v>
      </c>
      <c r="AK106" s="492" t="s">
        <v>1302</v>
      </c>
      <c r="AL106" s="492"/>
      <c r="AM106" s="492"/>
      <c r="AN106" s="492"/>
      <c r="AO106" s="492"/>
      <c r="AP106" s="492"/>
      <c r="AQ106" s="492"/>
      <c r="AR106" s="492"/>
      <c r="AS106" s="492"/>
      <c r="AT106" s="492"/>
      <c r="AU106" s="492"/>
      <c r="AV106" s="492"/>
      <c r="AW106" s="492"/>
      <c r="AX106" s="492"/>
      <c r="AY106" s="492"/>
      <c r="AZ106" s="492"/>
      <c r="BA106" s="492"/>
      <c r="BB106" s="493">
        <v>32303</v>
      </c>
      <c r="BC106" s="494">
        <v>0.375</v>
      </c>
      <c r="BD106" s="493">
        <v>47989</v>
      </c>
      <c r="BE106" s="494">
        <v>0.99998842592592596</v>
      </c>
      <c r="BF106" s="493">
        <v>32639</v>
      </c>
      <c r="BG106" s="494">
        <v>0</v>
      </c>
      <c r="BH106" s="492" t="s">
        <v>1303</v>
      </c>
      <c r="BI106" s="492">
        <v>597.20000000000005</v>
      </c>
      <c r="BJ106" s="492" t="s">
        <v>1304</v>
      </c>
      <c r="BK106" s="492"/>
      <c r="BL106" s="493">
        <v>45551</v>
      </c>
      <c r="BM106" s="492" t="s">
        <v>1305</v>
      </c>
      <c r="BN106" s="492" t="s">
        <v>1301</v>
      </c>
      <c r="BO106" s="492">
        <v>0.16432140619605901</v>
      </c>
      <c r="BP106" s="492">
        <v>5.0513892581900005E-4</v>
      </c>
    </row>
    <row r="107" spans="1:68" ht="75">
      <c r="A107" s="492" t="s">
        <v>773</v>
      </c>
      <c r="B107" s="492">
        <v>391369</v>
      </c>
      <c r="C107" s="492">
        <v>8186175</v>
      </c>
      <c r="D107" s="492">
        <v>176</v>
      </c>
      <c r="E107" s="492">
        <v>109</v>
      </c>
      <c r="F107" s="492">
        <v>60</v>
      </c>
      <c r="G107" s="492" t="b">
        <v>0</v>
      </c>
      <c r="H107" s="492" t="b">
        <v>0</v>
      </c>
      <c r="I107" s="492">
        <v>10</v>
      </c>
      <c r="J107" s="492" t="b">
        <v>0</v>
      </c>
      <c r="K107" s="492">
        <v>134</v>
      </c>
      <c r="L107" s="492" t="s">
        <v>1311</v>
      </c>
      <c r="M107" s="492" t="s">
        <v>1296</v>
      </c>
      <c r="N107" s="492" t="s">
        <v>2</v>
      </c>
      <c r="O107" s="492">
        <v>134</v>
      </c>
      <c r="P107" s="492" t="s">
        <v>109</v>
      </c>
      <c r="Q107" s="492">
        <v>3</v>
      </c>
      <c r="R107" s="492"/>
      <c r="S107" s="492"/>
      <c r="T107" s="492"/>
      <c r="U107" s="492"/>
      <c r="V107" s="492"/>
      <c r="W107" s="492"/>
      <c r="X107" s="492"/>
      <c r="Y107" s="492">
        <v>391369</v>
      </c>
      <c r="Z107" s="492">
        <v>8186175</v>
      </c>
      <c r="AA107" s="492">
        <v>10299.8367448067</v>
      </c>
      <c r="AB107" s="492">
        <v>11239.973578130801</v>
      </c>
      <c r="AC107" s="492">
        <v>6</v>
      </c>
      <c r="AD107" s="492">
        <v>23443</v>
      </c>
      <c r="AE107" s="492" t="s">
        <v>1297</v>
      </c>
      <c r="AF107" s="492" t="s">
        <v>1298</v>
      </c>
      <c r="AG107" s="492" t="s">
        <v>1299</v>
      </c>
      <c r="AH107" s="492" t="s">
        <v>1300</v>
      </c>
      <c r="AI107" s="492">
        <v>1</v>
      </c>
      <c r="AJ107" s="492" t="s">
        <v>1301</v>
      </c>
      <c r="AK107" s="492" t="s">
        <v>1302</v>
      </c>
      <c r="AL107" s="492"/>
      <c r="AM107" s="492"/>
      <c r="AN107" s="492"/>
      <c r="AO107" s="492"/>
      <c r="AP107" s="492"/>
      <c r="AQ107" s="492"/>
      <c r="AR107" s="492"/>
      <c r="AS107" s="492"/>
      <c r="AT107" s="492"/>
      <c r="AU107" s="492"/>
      <c r="AV107" s="492"/>
      <c r="AW107" s="492"/>
      <c r="AX107" s="492"/>
      <c r="AY107" s="492"/>
      <c r="AZ107" s="492"/>
      <c r="BA107" s="492"/>
      <c r="BB107" s="493">
        <v>32303</v>
      </c>
      <c r="BC107" s="494">
        <v>0.375</v>
      </c>
      <c r="BD107" s="493">
        <v>47989</v>
      </c>
      <c r="BE107" s="494">
        <v>0.99998842592592596</v>
      </c>
      <c r="BF107" s="493">
        <v>32639</v>
      </c>
      <c r="BG107" s="494">
        <v>0</v>
      </c>
      <c r="BH107" s="492" t="s">
        <v>1303</v>
      </c>
      <c r="BI107" s="492">
        <v>597.20000000000005</v>
      </c>
      <c r="BJ107" s="492" t="s">
        <v>1304</v>
      </c>
      <c r="BK107" s="492"/>
      <c r="BL107" s="493">
        <v>45551</v>
      </c>
      <c r="BM107" s="492" t="s">
        <v>1305</v>
      </c>
      <c r="BN107" s="492" t="s">
        <v>1301</v>
      </c>
      <c r="BO107" s="492">
        <v>0.16432140619605901</v>
      </c>
      <c r="BP107" s="492">
        <v>5.0513892581900005E-4</v>
      </c>
    </row>
    <row r="108" spans="1:68" ht="75">
      <c r="A108" s="492" t="s">
        <v>1026</v>
      </c>
      <c r="B108" s="492">
        <v>391331</v>
      </c>
      <c r="C108" s="492">
        <v>8186188</v>
      </c>
      <c r="D108" s="492">
        <v>176</v>
      </c>
      <c r="E108" s="492">
        <v>109</v>
      </c>
      <c r="F108" s="492">
        <v>60</v>
      </c>
      <c r="G108" s="492" t="b">
        <v>0</v>
      </c>
      <c r="H108" s="492" t="b">
        <v>0</v>
      </c>
      <c r="I108" s="492">
        <v>10</v>
      </c>
      <c r="J108" s="492" t="b">
        <v>0</v>
      </c>
      <c r="K108" s="492">
        <v>205</v>
      </c>
      <c r="L108" s="492" t="s">
        <v>1311</v>
      </c>
      <c r="M108" s="492" t="s">
        <v>1296</v>
      </c>
      <c r="N108" s="492" t="s">
        <v>2</v>
      </c>
      <c r="O108" s="492">
        <v>205</v>
      </c>
      <c r="P108" s="492" t="s">
        <v>109</v>
      </c>
      <c r="Q108" s="492">
        <v>3</v>
      </c>
      <c r="R108" s="492"/>
      <c r="S108" s="492"/>
      <c r="T108" s="492"/>
      <c r="U108" s="492"/>
      <c r="V108" s="492"/>
      <c r="W108" s="492"/>
      <c r="X108" s="492"/>
      <c r="Y108" s="492">
        <v>391331</v>
      </c>
      <c r="Z108" s="492">
        <v>8186188</v>
      </c>
      <c r="AA108" s="492">
        <v>10259.6628498393</v>
      </c>
      <c r="AB108" s="492">
        <v>11239.9715664749</v>
      </c>
      <c r="AC108" s="492">
        <v>6</v>
      </c>
      <c r="AD108" s="492">
        <v>23443</v>
      </c>
      <c r="AE108" s="492" t="s">
        <v>1297</v>
      </c>
      <c r="AF108" s="492" t="s">
        <v>1298</v>
      </c>
      <c r="AG108" s="492" t="s">
        <v>1299</v>
      </c>
      <c r="AH108" s="492" t="s">
        <v>1300</v>
      </c>
      <c r="AI108" s="492">
        <v>1</v>
      </c>
      <c r="AJ108" s="492" t="s">
        <v>1301</v>
      </c>
      <c r="AK108" s="492" t="s">
        <v>1302</v>
      </c>
      <c r="AL108" s="492"/>
      <c r="AM108" s="492"/>
      <c r="AN108" s="492"/>
      <c r="AO108" s="492"/>
      <c r="AP108" s="492"/>
      <c r="AQ108" s="492"/>
      <c r="AR108" s="492"/>
      <c r="AS108" s="492"/>
      <c r="AT108" s="492"/>
      <c r="AU108" s="492"/>
      <c r="AV108" s="492"/>
      <c r="AW108" s="492"/>
      <c r="AX108" s="492"/>
      <c r="AY108" s="492"/>
      <c r="AZ108" s="492"/>
      <c r="BA108" s="492"/>
      <c r="BB108" s="493">
        <v>32303</v>
      </c>
      <c r="BC108" s="494">
        <v>0.375</v>
      </c>
      <c r="BD108" s="493">
        <v>47989</v>
      </c>
      <c r="BE108" s="494">
        <v>0.99998842592592596</v>
      </c>
      <c r="BF108" s="493">
        <v>32639</v>
      </c>
      <c r="BG108" s="494">
        <v>0</v>
      </c>
      <c r="BH108" s="492" t="s">
        <v>1303</v>
      </c>
      <c r="BI108" s="492">
        <v>597.20000000000005</v>
      </c>
      <c r="BJ108" s="492" t="s">
        <v>1304</v>
      </c>
      <c r="BK108" s="492"/>
      <c r="BL108" s="493">
        <v>45551</v>
      </c>
      <c r="BM108" s="492" t="s">
        <v>1305</v>
      </c>
      <c r="BN108" s="492" t="s">
        <v>1301</v>
      </c>
      <c r="BO108" s="492">
        <v>0.16432140619605901</v>
      </c>
      <c r="BP108" s="492">
        <v>5.0513892581900005E-4</v>
      </c>
    </row>
    <row r="109" spans="1:68" ht="75">
      <c r="A109" s="492" t="s">
        <v>738</v>
      </c>
      <c r="B109" s="492">
        <v>391548</v>
      </c>
      <c r="C109" s="492">
        <v>8187422</v>
      </c>
      <c r="D109" s="492">
        <v>171</v>
      </c>
      <c r="E109" s="492">
        <v>289</v>
      </c>
      <c r="F109" s="492">
        <v>60</v>
      </c>
      <c r="G109" s="492" t="b">
        <v>0</v>
      </c>
      <c r="H109" s="492" t="b">
        <v>0</v>
      </c>
      <c r="I109" s="492">
        <v>10</v>
      </c>
      <c r="J109" s="492" t="b">
        <v>0</v>
      </c>
      <c r="K109" s="492">
        <v>135</v>
      </c>
      <c r="L109" s="492" t="s">
        <v>1295</v>
      </c>
      <c r="M109" s="492" t="s">
        <v>1296</v>
      </c>
      <c r="N109" s="492" t="s">
        <v>2</v>
      </c>
      <c r="O109" s="492">
        <v>135</v>
      </c>
      <c r="P109" s="492" t="s">
        <v>109</v>
      </c>
      <c r="Q109" s="492">
        <v>3</v>
      </c>
      <c r="R109" s="492"/>
      <c r="S109" s="492"/>
      <c r="T109" s="492"/>
      <c r="U109" s="492"/>
      <c r="V109" s="492"/>
      <c r="W109" s="492"/>
      <c r="X109" s="492"/>
      <c r="Y109" s="492">
        <v>391548</v>
      </c>
      <c r="Z109" s="492">
        <v>8187422</v>
      </c>
      <c r="AA109" s="492">
        <v>10065.4311756142</v>
      </c>
      <c r="AB109" s="492">
        <v>12478.1297547221</v>
      </c>
      <c r="AC109" s="492">
        <v>6</v>
      </c>
      <c r="AD109" s="492">
        <v>23443</v>
      </c>
      <c r="AE109" s="492" t="s">
        <v>1297</v>
      </c>
      <c r="AF109" s="492" t="s">
        <v>1298</v>
      </c>
      <c r="AG109" s="492" t="s">
        <v>1299</v>
      </c>
      <c r="AH109" s="492" t="s">
        <v>1300</v>
      </c>
      <c r="AI109" s="492">
        <v>1</v>
      </c>
      <c r="AJ109" s="492" t="s">
        <v>1301</v>
      </c>
      <c r="AK109" s="492" t="s">
        <v>1302</v>
      </c>
      <c r="AL109" s="492"/>
      <c r="AM109" s="492"/>
      <c r="AN109" s="492"/>
      <c r="AO109" s="492"/>
      <c r="AP109" s="492"/>
      <c r="AQ109" s="492"/>
      <c r="AR109" s="492"/>
      <c r="AS109" s="492"/>
      <c r="AT109" s="492"/>
      <c r="AU109" s="492"/>
      <c r="AV109" s="492"/>
      <c r="AW109" s="492"/>
      <c r="AX109" s="492"/>
      <c r="AY109" s="492"/>
      <c r="AZ109" s="492"/>
      <c r="BA109" s="492"/>
      <c r="BB109" s="493">
        <v>32303</v>
      </c>
      <c r="BC109" s="494">
        <v>0.375</v>
      </c>
      <c r="BD109" s="493">
        <v>47989</v>
      </c>
      <c r="BE109" s="494">
        <v>0.99998842592592596</v>
      </c>
      <c r="BF109" s="493">
        <v>32639</v>
      </c>
      <c r="BG109" s="494">
        <v>0</v>
      </c>
      <c r="BH109" s="492" t="s">
        <v>1303</v>
      </c>
      <c r="BI109" s="492">
        <v>597.20000000000005</v>
      </c>
      <c r="BJ109" s="492" t="s">
        <v>1304</v>
      </c>
      <c r="BK109" s="492"/>
      <c r="BL109" s="493">
        <v>45551</v>
      </c>
      <c r="BM109" s="492" t="s">
        <v>1305</v>
      </c>
      <c r="BN109" s="492" t="s">
        <v>1301</v>
      </c>
      <c r="BO109" s="492">
        <v>0.16432140619605901</v>
      </c>
      <c r="BP109" s="492">
        <v>5.0513892581900005E-4</v>
      </c>
    </row>
    <row r="110" spans="1:68" ht="75">
      <c r="A110" s="492" t="s">
        <v>446</v>
      </c>
      <c r="B110" s="492">
        <v>391526</v>
      </c>
      <c r="C110" s="492">
        <v>8187430</v>
      </c>
      <c r="D110" s="492">
        <v>172</v>
      </c>
      <c r="E110" s="492">
        <v>289</v>
      </c>
      <c r="F110" s="492">
        <v>60</v>
      </c>
      <c r="G110" s="492" t="b">
        <v>0</v>
      </c>
      <c r="H110" s="492" t="b">
        <v>0</v>
      </c>
      <c r="I110" s="492">
        <v>10</v>
      </c>
      <c r="J110" s="492" t="b">
        <v>0</v>
      </c>
      <c r="K110" s="492">
        <v>90</v>
      </c>
      <c r="L110" s="492" t="s">
        <v>1295</v>
      </c>
      <c r="M110" s="492" t="s">
        <v>1296</v>
      </c>
      <c r="N110" s="492" t="s">
        <v>1</v>
      </c>
      <c r="O110" s="492">
        <v>90</v>
      </c>
      <c r="P110" s="492" t="s">
        <v>109</v>
      </c>
      <c r="Q110" s="492">
        <v>3</v>
      </c>
      <c r="R110" s="492" t="b">
        <v>1</v>
      </c>
      <c r="S110" s="492" t="b">
        <v>1</v>
      </c>
      <c r="T110" s="492"/>
      <c r="U110" s="492"/>
      <c r="V110" s="495">
        <v>45877</v>
      </c>
      <c r="W110" s="492"/>
      <c r="X110" s="492"/>
      <c r="Y110" s="492">
        <v>391523.79889091401</v>
      </c>
      <c r="Z110" s="492">
        <v>8187427.0651878798</v>
      </c>
      <c r="AA110" s="492">
        <v>10040.8864084174</v>
      </c>
      <c r="AB110" s="492">
        <v>12475.086535467701</v>
      </c>
      <c r="AC110" s="492">
        <v>6</v>
      </c>
      <c r="AD110" s="492">
        <v>23443</v>
      </c>
      <c r="AE110" s="492" t="s">
        <v>1297</v>
      </c>
      <c r="AF110" s="492" t="s">
        <v>1298</v>
      </c>
      <c r="AG110" s="492" t="s">
        <v>1299</v>
      </c>
      <c r="AH110" s="492" t="s">
        <v>1300</v>
      </c>
      <c r="AI110" s="492">
        <v>1</v>
      </c>
      <c r="AJ110" s="492" t="s">
        <v>1301</v>
      </c>
      <c r="AK110" s="492" t="s">
        <v>1302</v>
      </c>
      <c r="AL110" s="492"/>
      <c r="AM110" s="492"/>
      <c r="AN110" s="492"/>
      <c r="AO110" s="492"/>
      <c r="AP110" s="492"/>
      <c r="AQ110" s="492"/>
      <c r="AR110" s="492"/>
      <c r="AS110" s="492"/>
      <c r="AT110" s="492"/>
      <c r="AU110" s="492"/>
      <c r="AV110" s="492"/>
      <c r="AW110" s="492"/>
      <c r="AX110" s="492"/>
      <c r="AY110" s="492"/>
      <c r="AZ110" s="492"/>
      <c r="BA110" s="492"/>
      <c r="BB110" s="493">
        <v>32303</v>
      </c>
      <c r="BC110" s="494">
        <v>0.375</v>
      </c>
      <c r="BD110" s="493">
        <v>47989</v>
      </c>
      <c r="BE110" s="494">
        <v>0.99998842592592596</v>
      </c>
      <c r="BF110" s="493">
        <v>32639</v>
      </c>
      <c r="BG110" s="494">
        <v>0</v>
      </c>
      <c r="BH110" s="492" t="s">
        <v>1303</v>
      </c>
      <c r="BI110" s="492">
        <v>597.20000000000005</v>
      </c>
      <c r="BJ110" s="492" t="s">
        <v>1304</v>
      </c>
      <c r="BK110" s="492"/>
      <c r="BL110" s="493">
        <v>45551</v>
      </c>
      <c r="BM110" s="492" t="s">
        <v>1305</v>
      </c>
      <c r="BN110" s="492" t="s">
        <v>1301</v>
      </c>
      <c r="BO110" s="492">
        <v>0.16432140619605901</v>
      </c>
      <c r="BP110" s="492">
        <v>5.0513892581900005E-4</v>
      </c>
    </row>
    <row r="111" spans="1:68" ht="75">
      <c r="A111" s="492" t="s">
        <v>709</v>
      </c>
      <c r="B111" s="492">
        <v>391767</v>
      </c>
      <c r="C111" s="492">
        <v>8187854</v>
      </c>
      <c r="D111" s="492">
        <v>175</v>
      </c>
      <c r="E111" s="492">
        <v>289</v>
      </c>
      <c r="F111" s="492">
        <v>60</v>
      </c>
      <c r="G111" s="492" t="b">
        <v>0</v>
      </c>
      <c r="H111" s="492" t="b">
        <v>0</v>
      </c>
      <c r="I111" s="492">
        <v>10</v>
      </c>
      <c r="J111" s="492" t="b">
        <v>0</v>
      </c>
      <c r="K111" s="492">
        <v>135</v>
      </c>
      <c r="L111" s="492" t="s">
        <v>1295</v>
      </c>
      <c r="M111" s="492" t="s">
        <v>1296</v>
      </c>
      <c r="N111" s="492" t="s">
        <v>2</v>
      </c>
      <c r="O111" s="492">
        <v>135</v>
      </c>
      <c r="P111" s="492" t="s">
        <v>109</v>
      </c>
      <c r="Q111" s="492">
        <v>3</v>
      </c>
      <c r="R111" s="492" t="b">
        <v>0</v>
      </c>
      <c r="S111" s="492"/>
      <c r="T111" s="492"/>
      <c r="U111" s="492"/>
      <c r="V111" s="492"/>
      <c r="W111" s="492"/>
      <c r="X111" s="492"/>
      <c r="Y111" s="492">
        <v>391767</v>
      </c>
      <c r="Z111" s="492">
        <v>8187854</v>
      </c>
      <c r="AA111" s="492">
        <v>10132.8036550488</v>
      </c>
      <c r="AB111" s="492">
        <v>12957.9035813137</v>
      </c>
      <c r="AC111" s="492">
        <v>6</v>
      </c>
      <c r="AD111" s="492">
        <v>23443</v>
      </c>
      <c r="AE111" s="492" t="s">
        <v>1297</v>
      </c>
      <c r="AF111" s="492" t="s">
        <v>1298</v>
      </c>
      <c r="AG111" s="492" t="s">
        <v>1299</v>
      </c>
      <c r="AH111" s="492" t="s">
        <v>1300</v>
      </c>
      <c r="AI111" s="492">
        <v>1</v>
      </c>
      <c r="AJ111" s="492" t="s">
        <v>1301</v>
      </c>
      <c r="AK111" s="492" t="s">
        <v>1302</v>
      </c>
      <c r="AL111" s="492"/>
      <c r="AM111" s="492"/>
      <c r="AN111" s="492"/>
      <c r="AO111" s="492"/>
      <c r="AP111" s="492"/>
      <c r="AQ111" s="492"/>
      <c r="AR111" s="492"/>
      <c r="AS111" s="492"/>
      <c r="AT111" s="492"/>
      <c r="AU111" s="492"/>
      <c r="AV111" s="492"/>
      <c r="AW111" s="492"/>
      <c r="AX111" s="492"/>
      <c r="AY111" s="492"/>
      <c r="AZ111" s="492"/>
      <c r="BA111" s="492"/>
      <c r="BB111" s="493">
        <v>32303</v>
      </c>
      <c r="BC111" s="494">
        <v>0.375</v>
      </c>
      <c r="BD111" s="493">
        <v>47989</v>
      </c>
      <c r="BE111" s="494">
        <v>0.99998842592592596</v>
      </c>
      <c r="BF111" s="493">
        <v>32639</v>
      </c>
      <c r="BG111" s="494">
        <v>0</v>
      </c>
      <c r="BH111" s="492" t="s">
        <v>1303</v>
      </c>
      <c r="BI111" s="492">
        <v>597.20000000000005</v>
      </c>
      <c r="BJ111" s="492" t="s">
        <v>1304</v>
      </c>
      <c r="BK111" s="492"/>
      <c r="BL111" s="493">
        <v>45551</v>
      </c>
      <c r="BM111" s="492" t="s">
        <v>1305</v>
      </c>
      <c r="BN111" s="492" t="s">
        <v>1301</v>
      </c>
      <c r="BO111" s="492">
        <v>0.16432140619605901</v>
      </c>
      <c r="BP111" s="492">
        <v>5.0513892581900005E-4</v>
      </c>
    </row>
    <row r="112" spans="1:68" ht="75">
      <c r="A112" s="492" t="s">
        <v>281</v>
      </c>
      <c r="B112" s="492">
        <v>391744</v>
      </c>
      <c r="C112" s="492">
        <v>8187862</v>
      </c>
      <c r="D112" s="492">
        <v>176</v>
      </c>
      <c r="E112" s="492">
        <v>289</v>
      </c>
      <c r="F112" s="492">
        <v>60</v>
      </c>
      <c r="G112" s="492" t="b">
        <v>0</v>
      </c>
      <c r="H112" s="492" t="b">
        <v>0</v>
      </c>
      <c r="I112" s="492">
        <v>10</v>
      </c>
      <c r="J112" s="492" t="b">
        <v>0</v>
      </c>
      <c r="K112" s="492">
        <v>90</v>
      </c>
      <c r="L112" s="492" t="s">
        <v>1295</v>
      </c>
      <c r="M112" s="492" t="s">
        <v>1296</v>
      </c>
      <c r="N112" s="492" t="s">
        <v>1</v>
      </c>
      <c r="O112" s="492">
        <v>90</v>
      </c>
      <c r="P112" s="492" t="s">
        <v>109</v>
      </c>
      <c r="Q112" s="492">
        <v>3</v>
      </c>
      <c r="R112" s="492"/>
      <c r="S112" s="492"/>
      <c r="T112" s="492"/>
      <c r="U112" s="492"/>
      <c r="V112" s="492"/>
      <c r="W112" s="492"/>
      <c r="X112" s="492"/>
      <c r="Y112" s="492">
        <v>391744</v>
      </c>
      <c r="Z112" s="492">
        <v>8187862</v>
      </c>
      <c r="AA112" s="492">
        <v>10108.4452673615</v>
      </c>
      <c r="AB112" s="492">
        <v>12958.026893203099</v>
      </c>
      <c r="AC112" s="492">
        <v>6</v>
      </c>
      <c r="AD112" s="492">
        <v>23443</v>
      </c>
      <c r="AE112" s="492" t="s">
        <v>1297</v>
      </c>
      <c r="AF112" s="492" t="s">
        <v>1298</v>
      </c>
      <c r="AG112" s="492" t="s">
        <v>1299</v>
      </c>
      <c r="AH112" s="492" t="s">
        <v>1300</v>
      </c>
      <c r="AI112" s="492">
        <v>1</v>
      </c>
      <c r="AJ112" s="492" t="s">
        <v>1301</v>
      </c>
      <c r="AK112" s="492" t="s">
        <v>1302</v>
      </c>
      <c r="AL112" s="492"/>
      <c r="AM112" s="492"/>
      <c r="AN112" s="492"/>
      <c r="AO112" s="492"/>
      <c r="AP112" s="492"/>
      <c r="AQ112" s="492"/>
      <c r="AR112" s="492"/>
      <c r="AS112" s="492"/>
      <c r="AT112" s="492"/>
      <c r="AU112" s="492"/>
      <c r="AV112" s="492"/>
      <c r="AW112" s="492"/>
      <c r="AX112" s="492"/>
      <c r="AY112" s="492"/>
      <c r="AZ112" s="492"/>
      <c r="BA112" s="492"/>
      <c r="BB112" s="493">
        <v>32303</v>
      </c>
      <c r="BC112" s="494">
        <v>0.375</v>
      </c>
      <c r="BD112" s="493">
        <v>47989</v>
      </c>
      <c r="BE112" s="494">
        <v>0.99998842592592596</v>
      </c>
      <c r="BF112" s="493">
        <v>32639</v>
      </c>
      <c r="BG112" s="494">
        <v>0</v>
      </c>
      <c r="BH112" s="492" t="s">
        <v>1303</v>
      </c>
      <c r="BI112" s="492">
        <v>597.20000000000005</v>
      </c>
      <c r="BJ112" s="492" t="s">
        <v>1304</v>
      </c>
      <c r="BK112" s="492"/>
      <c r="BL112" s="493">
        <v>45551</v>
      </c>
      <c r="BM112" s="492" t="s">
        <v>1305</v>
      </c>
      <c r="BN112" s="492" t="s">
        <v>1301</v>
      </c>
      <c r="BO112" s="492">
        <v>0.16432140619605901</v>
      </c>
      <c r="BP112" s="492">
        <v>5.0513892581900005E-4</v>
      </c>
    </row>
    <row r="113" spans="1:68" ht="75">
      <c r="A113" s="492" t="s">
        <v>707</v>
      </c>
      <c r="B113" s="492">
        <v>391722</v>
      </c>
      <c r="C113" s="492">
        <v>8187870</v>
      </c>
      <c r="D113" s="492">
        <v>176</v>
      </c>
      <c r="E113" s="492">
        <v>289</v>
      </c>
      <c r="F113" s="492">
        <v>60</v>
      </c>
      <c r="G113" s="492" t="b">
        <v>0</v>
      </c>
      <c r="H113" s="492" t="b">
        <v>0</v>
      </c>
      <c r="I113" s="492">
        <v>10</v>
      </c>
      <c r="J113" s="492" t="b">
        <v>0</v>
      </c>
      <c r="K113" s="492">
        <v>45</v>
      </c>
      <c r="L113" s="492" t="s">
        <v>1295</v>
      </c>
      <c r="M113" s="492" t="s">
        <v>1296</v>
      </c>
      <c r="N113" s="492" t="s">
        <v>2</v>
      </c>
      <c r="O113" s="492">
        <v>45</v>
      </c>
      <c r="P113" s="492" t="s">
        <v>109</v>
      </c>
      <c r="Q113" s="492">
        <v>3</v>
      </c>
      <c r="R113" s="492" t="b">
        <v>0</v>
      </c>
      <c r="S113" s="492"/>
      <c r="T113" s="492"/>
      <c r="U113" s="492"/>
      <c r="V113" s="492"/>
      <c r="W113" s="492"/>
      <c r="X113" s="492"/>
      <c r="Y113" s="492">
        <v>391722</v>
      </c>
      <c r="Z113" s="492">
        <v>8187870</v>
      </c>
      <c r="AA113" s="492">
        <v>10085.0333036389</v>
      </c>
      <c r="AB113" s="492">
        <v>12958.474034647399</v>
      </c>
      <c r="AC113" s="492">
        <v>6</v>
      </c>
      <c r="AD113" s="492">
        <v>23443</v>
      </c>
      <c r="AE113" s="492" t="s">
        <v>1297</v>
      </c>
      <c r="AF113" s="492" t="s">
        <v>1298</v>
      </c>
      <c r="AG113" s="492" t="s">
        <v>1299</v>
      </c>
      <c r="AH113" s="492" t="s">
        <v>1300</v>
      </c>
      <c r="AI113" s="492">
        <v>1</v>
      </c>
      <c r="AJ113" s="492" t="s">
        <v>1301</v>
      </c>
      <c r="AK113" s="492" t="s">
        <v>1302</v>
      </c>
      <c r="AL113" s="492"/>
      <c r="AM113" s="492"/>
      <c r="AN113" s="492"/>
      <c r="AO113" s="492"/>
      <c r="AP113" s="492"/>
      <c r="AQ113" s="492"/>
      <c r="AR113" s="492"/>
      <c r="AS113" s="492"/>
      <c r="AT113" s="492"/>
      <c r="AU113" s="492"/>
      <c r="AV113" s="492"/>
      <c r="AW113" s="492"/>
      <c r="AX113" s="492"/>
      <c r="AY113" s="492"/>
      <c r="AZ113" s="492"/>
      <c r="BA113" s="492"/>
      <c r="BB113" s="493">
        <v>32303</v>
      </c>
      <c r="BC113" s="494">
        <v>0.375</v>
      </c>
      <c r="BD113" s="493">
        <v>47989</v>
      </c>
      <c r="BE113" s="494">
        <v>0.99998842592592596</v>
      </c>
      <c r="BF113" s="493">
        <v>32639</v>
      </c>
      <c r="BG113" s="494">
        <v>0</v>
      </c>
      <c r="BH113" s="492" t="s">
        <v>1303</v>
      </c>
      <c r="BI113" s="492">
        <v>597.20000000000005</v>
      </c>
      <c r="BJ113" s="492" t="s">
        <v>1304</v>
      </c>
      <c r="BK113" s="492"/>
      <c r="BL113" s="493">
        <v>45551</v>
      </c>
      <c r="BM113" s="492" t="s">
        <v>1305</v>
      </c>
      <c r="BN113" s="492" t="s">
        <v>1301</v>
      </c>
      <c r="BO113" s="492">
        <v>0.16432140619605901</v>
      </c>
      <c r="BP113" s="492">
        <v>5.0513892581900005E-4</v>
      </c>
    </row>
    <row r="114" spans="1:68" ht="75">
      <c r="A114" s="492" t="s">
        <v>705</v>
      </c>
      <c r="B114" s="492">
        <v>391812</v>
      </c>
      <c r="C114" s="492">
        <v>8187924</v>
      </c>
      <c r="D114" s="492">
        <v>175</v>
      </c>
      <c r="E114" s="492">
        <v>289</v>
      </c>
      <c r="F114" s="492">
        <v>60</v>
      </c>
      <c r="G114" s="492" t="b">
        <v>0</v>
      </c>
      <c r="H114" s="492" t="b">
        <v>0</v>
      </c>
      <c r="I114" s="492">
        <v>10</v>
      </c>
      <c r="J114" s="492" t="b">
        <v>0</v>
      </c>
      <c r="K114" s="492">
        <v>135</v>
      </c>
      <c r="L114" s="492" t="s">
        <v>1295</v>
      </c>
      <c r="M114" s="492" t="s">
        <v>1296</v>
      </c>
      <c r="N114" s="492" t="s">
        <v>2</v>
      </c>
      <c r="O114" s="492">
        <v>135</v>
      </c>
      <c r="P114" s="492" t="s">
        <v>109</v>
      </c>
      <c r="Q114" s="492">
        <v>3</v>
      </c>
      <c r="R114" s="492" t="b">
        <v>0</v>
      </c>
      <c r="S114" s="492"/>
      <c r="T114" s="492"/>
      <c r="U114" s="492"/>
      <c r="V114" s="492"/>
      <c r="W114" s="492"/>
      <c r="X114" s="492"/>
      <c r="Y114" s="492">
        <v>391812</v>
      </c>
      <c r="Z114" s="492">
        <v>8187924</v>
      </c>
      <c r="AA114" s="492">
        <v>10152.7246644478</v>
      </c>
      <c r="AB114" s="492">
        <v>13038.7255890574</v>
      </c>
      <c r="AC114" s="492">
        <v>6</v>
      </c>
      <c r="AD114" s="492">
        <v>23443</v>
      </c>
      <c r="AE114" s="492" t="s">
        <v>1297</v>
      </c>
      <c r="AF114" s="492" t="s">
        <v>1298</v>
      </c>
      <c r="AG114" s="492" t="s">
        <v>1299</v>
      </c>
      <c r="AH114" s="492" t="s">
        <v>1300</v>
      </c>
      <c r="AI114" s="492">
        <v>1</v>
      </c>
      <c r="AJ114" s="492" t="s">
        <v>1301</v>
      </c>
      <c r="AK114" s="492" t="s">
        <v>1302</v>
      </c>
      <c r="AL114" s="492"/>
      <c r="AM114" s="492"/>
      <c r="AN114" s="492"/>
      <c r="AO114" s="492"/>
      <c r="AP114" s="492"/>
      <c r="AQ114" s="492"/>
      <c r="AR114" s="492"/>
      <c r="AS114" s="492"/>
      <c r="AT114" s="492"/>
      <c r="AU114" s="492"/>
      <c r="AV114" s="492"/>
      <c r="AW114" s="492"/>
      <c r="AX114" s="492"/>
      <c r="AY114" s="492"/>
      <c r="AZ114" s="492"/>
      <c r="BA114" s="492"/>
      <c r="BB114" s="493">
        <v>32303</v>
      </c>
      <c r="BC114" s="494">
        <v>0.375</v>
      </c>
      <c r="BD114" s="493">
        <v>47989</v>
      </c>
      <c r="BE114" s="494">
        <v>0.99998842592592596</v>
      </c>
      <c r="BF114" s="493">
        <v>32639</v>
      </c>
      <c r="BG114" s="494">
        <v>0</v>
      </c>
      <c r="BH114" s="492" t="s">
        <v>1303</v>
      </c>
      <c r="BI114" s="492">
        <v>597.20000000000005</v>
      </c>
      <c r="BJ114" s="492" t="s">
        <v>1304</v>
      </c>
      <c r="BK114" s="492"/>
      <c r="BL114" s="493">
        <v>45551</v>
      </c>
      <c r="BM114" s="492" t="s">
        <v>1305</v>
      </c>
      <c r="BN114" s="492" t="s">
        <v>1301</v>
      </c>
      <c r="BO114" s="492">
        <v>0.16432140619605901</v>
      </c>
      <c r="BP114" s="492">
        <v>5.0513892581900005E-4</v>
      </c>
    </row>
    <row r="115" spans="1:68" ht="75">
      <c r="A115" s="492" t="s">
        <v>702</v>
      </c>
      <c r="B115" s="492">
        <v>391766</v>
      </c>
      <c r="C115" s="492">
        <v>8187939</v>
      </c>
      <c r="D115" s="492">
        <v>178</v>
      </c>
      <c r="E115" s="492">
        <v>289</v>
      </c>
      <c r="F115" s="492">
        <v>60</v>
      </c>
      <c r="G115" s="492" t="b">
        <v>0</v>
      </c>
      <c r="H115" s="492" t="b">
        <v>0</v>
      </c>
      <c r="I115" s="492">
        <v>10</v>
      </c>
      <c r="J115" s="492" t="b">
        <v>0</v>
      </c>
      <c r="K115" s="492">
        <v>45</v>
      </c>
      <c r="L115" s="492" t="s">
        <v>1295</v>
      </c>
      <c r="M115" s="492" t="s">
        <v>1296</v>
      </c>
      <c r="N115" s="492" t="s">
        <v>2</v>
      </c>
      <c r="O115" s="492">
        <v>45</v>
      </c>
      <c r="P115" s="492" t="s">
        <v>109</v>
      </c>
      <c r="Q115" s="492">
        <v>3</v>
      </c>
      <c r="R115" s="492" t="b">
        <v>1</v>
      </c>
      <c r="S115" s="492" t="b">
        <v>0</v>
      </c>
      <c r="T115" s="492"/>
      <c r="U115" s="492"/>
      <c r="V115" s="492"/>
      <c r="W115" s="492"/>
      <c r="X115" s="492"/>
      <c r="Y115" s="492">
        <v>391760.25744460901</v>
      </c>
      <c r="Z115" s="492">
        <v>8187925.3868589196</v>
      </c>
      <c r="AA115" s="492">
        <v>10103.305164044201</v>
      </c>
      <c r="AB115" s="492">
        <v>13023.2823767298</v>
      </c>
      <c r="AC115" s="492">
        <v>6</v>
      </c>
      <c r="AD115" s="492">
        <v>23443</v>
      </c>
      <c r="AE115" s="492" t="s">
        <v>1297</v>
      </c>
      <c r="AF115" s="492" t="s">
        <v>1298</v>
      </c>
      <c r="AG115" s="492" t="s">
        <v>1299</v>
      </c>
      <c r="AH115" s="492" t="s">
        <v>1300</v>
      </c>
      <c r="AI115" s="492">
        <v>1</v>
      </c>
      <c r="AJ115" s="492" t="s">
        <v>1301</v>
      </c>
      <c r="AK115" s="492" t="s">
        <v>1302</v>
      </c>
      <c r="AL115" s="492"/>
      <c r="AM115" s="492"/>
      <c r="AN115" s="492"/>
      <c r="AO115" s="492"/>
      <c r="AP115" s="492"/>
      <c r="AQ115" s="492"/>
      <c r="AR115" s="492"/>
      <c r="AS115" s="492"/>
      <c r="AT115" s="492"/>
      <c r="AU115" s="492"/>
      <c r="AV115" s="492"/>
      <c r="AW115" s="492"/>
      <c r="AX115" s="492"/>
      <c r="AY115" s="492"/>
      <c r="AZ115" s="492"/>
      <c r="BA115" s="492"/>
      <c r="BB115" s="493">
        <v>32303</v>
      </c>
      <c r="BC115" s="494">
        <v>0.375</v>
      </c>
      <c r="BD115" s="493">
        <v>47989</v>
      </c>
      <c r="BE115" s="494">
        <v>0.99998842592592596</v>
      </c>
      <c r="BF115" s="493">
        <v>32639</v>
      </c>
      <c r="BG115" s="494">
        <v>0</v>
      </c>
      <c r="BH115" s="492" t="s">
        <v>1303</v>
      </c>
      <c r="BI115" s="492">
        <v>597.20000000000005</v>
      </c>
      <c r="BJ115" s="492" t="s">
        <v>1304</v>
      </c>
      <c r="BK115" s="492"/>
      <c r="BL115" s="493">
        <v>45551</v>
      </c>
      <c r="BM115" s="492" t="s">
        <v>1305</v>
      </c>
      <c r="BN115" s="492" t="s">
        <v>1301</v>
      </c>
      <c r="BO115" s="492">
        <v>0.16432140619605901</v>
      </c>
      <c r="BP115" s="492">
        <v>5.0513892581900005E-4</v>
      </c>
    </row>
    <row r="116" spans="1:68" ht="75">
      <c r="A116" s="492" t="s">
        <v>703</v>
      </c>
      <c r="B116" s="492">
        <v>391789</v>
      </c>
      <c r="C116" s="492">
        <v>8187931</v>
      </c>
      <c r="D116" s="492">
        <v>176</v>
      </c>
      <c r="E116" s="492">
        <v>289</v>
      </c>
      <c r="F116" s="492">
        <v>60</v>
      </c>
      <c r="G116" s="492" t="b">
        <v>0</v>
      </c>
      <c r="H116" s="492" t="b">
        <v>0</v>
      </c>
      <c r="I116" s="492">
        <v>10</v>
      </c>
      <c r="J116" s="492" t="b">
        <v>0</v>
      </c>
      <c r="K116" s="492">
        <v>90</v>
      </c>
      <c r="L116" s="492" t="s">
        <v>1295</v>
      </c>
      <c r="M116" s="492" t="s">
        <v>1296</v>
      </c>
      <c r="N116" s="492" t="s">
        <v>2</v>
      </c>
      <c r="O116" s="492">
        <v>90</v>
      </c>
      <c r="P116" s="492" t="s">
        <v>109</v>
      </c>
      <c r="Q116" s="492">
        <v>3</v>
      </c>
      <c r="R116" s="492" t="b">
        <v>0</v>
      </c>
      <c r="S116" s="492"/>
      <c r="T116" s="492"/>
      <c r="U116" s="492"/>
      <c r="V116" s="492"/>
      <c r="W116" s="492"/>
      <c r="X116" s="492"/>
      <c r="Y116" s="492">
        <v>391789</v>
      </c>
      <c r="Z116" s="492">
        <v>8187931</v>
      </c>
      <c r="AA116" s="492">
        <v>10128.6901063225</v>
      </c>
      <c r="AB116" s="492">
        <v>13037.9024769794</v>
      </c>
      <c r="AC116" s="492">
        <v>6</v>
      </c>
      <c r="AD116" s="492">
        <v>23443</v>
      </c>
      <c r="AE116" s="492" t="s">
        <v>1297</v>
      </c>
      <c r="AF116" s="492" t="s">
        <v>1298</v>
      </c>
      <c r="AG116" s="492" t="s">
        <v>1299</v>
      </c>
      <c r="AH116" s="492" t="s">
        <v>1300</v>
      </c>
      <c r="AI116" s="492">
        <v>1</v>
      </c>
      <c r="AJ116" s="492" t="s">
        <v>1301</v>
      </c>
      <c r="AK116" s="492" t="s">
        <v>1302</v>
      </c>
      <c r="AL116" s="492"/>
      <c r="AM116" s="492"/>
      <c r="AN116" s="492"/>
      <c r="AO116" s="492"/>
      <c r="AP116" s="492"/>
      <c r="AQ116" s="492"/>
      <c r="AR116" s="492"/>
      <c r="AS116" s="492"/>
      <c r="AT116" s="492"/>
      <c r="AU116" s="492"/>
      <c r="AV116" s="492"/>
      <c r="AW116" s="492"/>
      <c r="AX116" s="492"/>
      <c r="AY116" s="492"/>
      <c r="AZ116" s="492"/>
      <c r="BA116" s="492"/>
      <c r="BB116" s="493">
        <v>32303</v>
      </c>
      <c r="BC116" s="494">
        <v>0.375</v>
      </c>
      <c r="BD116" s="493">
        <v>47989</v>
      </c>
      <c r="BE116" s="494">
        <v>0.99998842592592596</v>
      </c>
      <c r="BF116" s="493">
        <v>32639</v>
      </c>
      <c r="BG116" s="494">
        <v>0</v>
      </c>
      <c r="BH116" s="492" t="s">
        <v>1303</v>
      </c>
      <c r="BI116" s="492">
        <v>597.20000000000005</v>
      </c>
      <c r="BJ116" s="492" t="s">
        <v>1304</v>
      </c>
      <c r="BK116" s="492"/>
      <c r="BL116" s="493">
        <v>45551</v>
      </c>
      <c r="BM116" s="492" t="s">
        <v>1305</v>
      </c>
      <c r="BN116" s="492" t="s">
        <v>1301</v>
      </c>
      <c r="BO116" s="492">
        <v>0.16432140619605901</v>
      </c>
      <c r="BP116" s="492">
        <v>5.0513892581900005E-4</v>
      </c>
    </row>
    <row r="117" spans="1:68" ht="75">
      <c r="A117" s="492" t="s">
        <v>699</v>
      </c>
      <c r="B117" s="492">
        <v>391850</v>
      </c>
      <c r="C117" s="492">
        <v>8187995</v>
      </c>
      <c r="D117" s="492">
        <v>183</v>
      </c>
      <c r="E117" s="492">
        <v>109</v>
      </c>
      <c r="F117" s="492">
        <v>60</v>
      </c>
      <c r="G117" s="492" t="b">
        <v>0</v>
      </c>
      <c r="H117" s="492" t="b">
        <v>0</v>
      </c>
      <c r="I117" s="492">
        <v>10</v>
      </c>
      <c r="J117" s="492" t="b">
        <v>0</v>
      </c>
      <c r="K117" s="492">
        <v>35</v>
      </c>
      <c r="L117" s="492" t="s">
        <v>1295</v>
      </c>
      <c r="M117" s="492" t="s">
        <v>1296</v>
      </c>
      <c r="N117" s="492" t="s">
        <v>2</v>
      </c>
      <c r="O117" s="492">
        <v>35</v>
      </c>
      <c r="P117" s="492" t="s">
        <v>109</v>
      </c>
      <c r="Q117" s="492">
        <v>3</v>
      </c>
      <c r="R117" s="492" t="b">
        <v>1</v>
      </c>
      <c r="S117" s="492" t="b">
        <v>1</v>
      </c>
      <c r="T117" s="492"/>
      <c r="U117" s="492"/>
      <c r="V117" s="492"/>
      <c r="W117" s="492"/>
      <c r="X117" s="492"/>
      <c r="Y117" s="492">
        <v>391782.69166512502</v>
      </c>
      <c r="Z117" s="492">
        <v>8188020.1648279</v>
      </c>
      <c r="AA117" s="492">
        <v>10093.8455401803</v>
      </c>
      <c r="AB117" s="492">
        <v>13120.247381740201</v>
      </c>
      <c r="AC117" s="492">
        <v>6</v>
      </c>
      <c r="AD117" s="492">
        <v>23443</v>
      </c>
      <c r="AE117" s="492" t="s">
        <v>1297</v>
      </c>
      <c r="AF117" s="492" t="s">
        <v>1298</v>
      </c>
      <c r="AG117" s="492" t="s">
        <v>1299</v>
      </c>
      <c r="AH117" s="492" t="s">
        <v>1300</v>
      </c>
      <c r="AI117" s="492">
        <v>1</v>
      </c>
      <c r="AJ117" s="492" t="s">
        <v>1301</v>
      </c>
      <c r="AK117" s="492" t="s">
        <v>1302</v>
      </c>
      <c r="AL117" s="492"/>
      <c r="AM117" s="492"/>
      <c r="AN117" s="492"/>
      <c r="AO117" s="492"/>
      <c r="AP117" s="492"/>
      <c r="AQ117" s="492"/>
      <c r="AR117" s="492"/>
      <c r="AS117" s="492"/>
      <c r="AT117" s="492"/>
      <c r="AU117" s="492"/>
      <c r="AV117" s="492"/>
      <c r="AW117" s="492"/>
      <c r="AX117" s="492"/>
      <c r="AY117" s="492"/>
      <c r="AZ117" s="492"/>
      <c r="BA117" s="492"/>
      <c r="BB117" s="493">
        <v>32303</v>
      </c>
      <c r="BC117" s="494">
        <v>0.375</v>
      </c>
      <c r="BD117" s="493">
        <v>47989</v>
      </c>
      <c r="BE117" s="494">
        <v>0.99998842592592596</v>
      </c>
      <c r="BF117" s="493">
        <v>32639</v>
      </c>
      <c r="BG117" s="494">
        <v>0</v>
      </c>
      <c r="BH117" s="492" t="s">
        <v>1303</v>
      </c>
      <c r="BI117" s="492">
        <v>597.20000000000005</v>
      </c>
      <c r="BJ117" s="492" t="s">
        <v>1304</v>
      </c>
      <c r="BK117" s="492"/>
      <c r="BL117" s="493">
        <v>45551</v>
      </c>
      <c r="BM117" s="492" t="s">
        <v>1305</v>
      </c>
      <c r="BN117" s="492" t="s">
        <v>1301</v>
      </c>
      <c r="BO117" s="492">
        <v>0.16432140619605901</v>
      </c>
      <c r="BP117" s="492">
        <v>5.0513892581900005E-4</v>
      </c>
    </row>
    <row r="118" spans="1:68" ht="75">
      <c r="A118" s="492" t="s">
        <v>700</v>
      </c>
      <c r="B118" s="492">
        <v>391827</v>
      </c>
      <c r="C118" s="492">
        <v>8188003</v>
      </c>
      <c r="D118" s="492">
        <v>181</v>
      </c>
      <c r="E118" s="492">
        <v>109</v>
      </c>
      <c r="F118" s="492">
        <v>60</v>
      </c>
      <c r="G118" s="492" t="b">
        <v>0</v>
      </c>
      <c r="H118" s="492" t="b">
        <v>0</v>
      </c>
      <c r="I118" s="492">
        <v>10</v>
      </c>
      <c r="J118" s="492" t="b">
        <v>0</v>
      </c>
      <c r="K118" s="492">
        <v>90</v>
      </c>
      <c r="L118" s="492" t="s">
        <v>1295</v>
      </c>
      <c r="M118" s="492" t="s">
        <v>1296</v>
      </c>
      <c r="N118" s="492" t="s">
        <v>2</v>
      </c>
      <c r="O118" s="492">
        <v>90</v>
      </c>
      <c r="P118" s="492" t="s">
        <v>109</v>
      </c>
      <c r="Q118" s="492">
        <v>3</v>
      </c>
      <c r="R118" s="492" t="b">
        <v>1</v>
      </c>
      <c r="S118" s="492" t="b">
        <v>1</v>
      </c>
      <c r="T118" s="492"/>
      <c r="U118" s="492"/>
      <c r="V118" s="492"/>
      <c r="W118" s="492"/>
      <c r="X118" s="492"/>
      <c r="Y118" s="492">
        <v>391764.84590698499</v>
      </c>
      <c r="Z118" s="492">
        <v>8188026.3456837097</v>
      </c>
      <c r="AA118" s="492">
        <v>10074.954343175499</v>
      </c>
      <c r="AB118" s="492">
        <v>13120.318107838701</v>
      </c>
      <c r="AC118" s="492">
        <v>6</v>
      </c>
      <c r="AD118" s="492">
        <v>23443</v>
      </c>
      <c r="AE118" s="492" t="s">
        <v>1297</v>
      </c>
      <c r="AF118" s="492" t="s">
        <v>1298</v>
      </c>
      <c r="AG118" s="492" t="s">
        <v>1299</v>
      </c>
      <c r="AH118" s="492" t="s">
        <v>1300</v>
      </c>
      <c r="AI118" s="492">
        <v>1</v>
      </c>
      <c r="AJ118" s="492" t="s">
        <v>1301</v>
      </c>
      <c r="AK118" s="492" t="s">
        <v>1302</v>
      </c>
      <c r="AL118" s="492"/>
      <c r="AM118" s="492"/>
      <c r="AN118" s="492"/>
      <c r="AO118" s="492"/>
      <c r="AP118" s="492"/>
      <c r="AQ118" s="492"/>
      <c r="AR118" s="492"/>
      <c r="AS118" s="492"/>
      <c r="AT118" s="492"/>
      <c r="AU118" s="492"/>
      <c r="AV118" s="492"/>
      <c r="AW118" s="492"/>
      <c r="AX118" s="492"/>
      <c r="AY118" s="492"/>
      <c r="AZ118" s="492"/>
      <c r="BA118" s="492"/>
      <c r="BB118" s="493">
        <v>32303</v>
      </c>
      <c r="BC118" s="494">
        <v>0.375</v>
      </c>
      <c r="BD118" s="493">
        <v>47989</v>
      </c>
      <c r="BE118" s="494">
        <v>0.99998842592592596</v>
      </c>
      <c r="BF118" s="493">
        <v>32639</v>
      </c>
      <c r="BG118" s="494">
        <v>0</v>
      </c>
      <c r="BH118" s="492" t="s">
        <v>1303</v>
      </c>
      <c r="BI118" s="492">
        <v>597.20000000000005</v>
      </c>
      <c r="BJ118" s="492" t="s">
        <v>1304</v>
      </c>
      <c r="BK118" s="492"/>
      <c r="BL118" s="493">
        <v>45551</v>
      </c>
      <c r="BM118" s="492" t="s">
        <v>1305</v>
      </c>
      <c r="BN118" s="492" t="s">
        <v>1301</v>
      </c>
      <c r="BO118" s="492">
        <v>0.16432140619605901</v>
      </c>
      <c r="BP118" s="492">
        <v>5.0513892581900005E-4</v>
      </c>
    </row>
    <row r="119" spans="1:68" ht="75">
      <c r="A119" s="492" t="s">
        <v>286</v>
      </c>
      <c r="B119" s="492">
        <v>391627</v>
      </c>
      <c r="C119" s="492">
        <v>8187649</v>
      </c>
      <c r="D119" s="492">
        <v>174</v>
      </c>
      <c r="E119" s="492">
        <v>289</v>
      </c>
      <c r="F119" s="492">
        <v>60</v>
      </c>
      <c r="G119" s="492" t="b">
        <v>0</v>
      </c>
      <c r="H119" s="492" t="b">
        <v>0</v>
      </c>
      <c r="I119" s="492">
        <v>10</v>
      </c>
      <c r="J119" s="492" t="b">
        <v>0</v>
      </c>
      <c r="K119" s="492">
        <v>90</v>
      </c>
      <c r="L119" s="492" t="s">
        <v>1295</v>
      </c>
      <c r="M119" s="492" t="s">
        <v>1296</v>
      </c>
      <c r="N119" s="492" t="s">
        <v>1</v>
      </c>
      <c r="O119" s="492">
        <v>90</v>
      </c>
      <c r="P119" s="492" t="s">
        <v>109</v>
      </c>
      <c r="Q119" s="492">
        <v>3</v>
      </c>
      <c r="R119" s="492"/>
      <c r="S119" s="492"/>
      <c r="T119" s="492"/>
      <c r="U119" s="492"/>
      <c r="V119" s="492"/>
      <c r="W119" s="492"/>
      <c r="X119" s="492"/>
      <c r="Y119" s="492">
        <v>391627</v>
      </c>
      <c r="Z119" s="492">
        <v>8187649</v>
      </c>
      <c r="AA119" s="492">
        <v>10066.689359223899</v>
      </c>
      <c r="AB119" s="492">
        <v>12718.550530117</v>
      </c>
      <c r="AC119" s="492">
        <v>6</v>
      </c>
      <c r="AD119" s="492">
        <v>23443</v>
      </c>
      <c r="AE119" s="492" t="s">
        <v>1297</v>
      </c>
      <c r="AF119" s="492" t="s">
        <v>1298</v>
      </c>
      <c r="AG119" s="492" t="s">
        <v>1299</v>
      </c>
      <c r="AH119" s="492" t="s">
        <v>1300</v>
      </c>
      <c r="AI119" s="492">
        <v>1</v>
      </c>
      <c r="AJ119" s="492" t="s">
        <v>1301</v>
      </c>
      <c r="AK119" s="492" t="s">
        <v>1302</v>
      </c>
      <c r="AL119" s="492"/>
      <c r="AM119" s="492"/>
      <c r="AN119" s="492"/>
      <c r="AO119" s="492"/>
      <c r="AP119" s="492"/>
      <c r="AQ119" s="492"/>
      <c r="AR119" s="492"/>
      <c r="AS119" s="492"/>
      <c r="AT119" s="492"/>
      <c r="AU119" s="492"/>
      <c r="AV119" s="492"/>
      <c r="AW119" s="492"/>
      <c r="AX119" s="492"/>
      <c r="AY119" s="492"/>
      <c r="AZ119" s="492"/>
      <c r="BA119" s="492"/>
      <c r="BB119" s="493">
        <v>32303</v>
      </c>
      <c r="BC119" s="494">
        <v>0.375</v>
      </c>
      <c r="BD119" s="493">
        <v>47989</v>
      </c>
      <c r="BE119" s="494">
        <v>0.99998842592592596</v>
      </c>
      <c r="BF119" s="493">
        <v>32639</v>
      </c>
      <c r="BG119" s="494">
        <v>0</v>
      </c>
      <c r="BH119" s="492" t="s">
        <v>1303</v>
      </c>
      <c r="BI119" s="492">
        <v>597.20000000000005</v>
      </c>
      <c r="BJ119" s="492" t="s">
        <v>1304</v>
      </c>
      <c r="BK119" s="492"/>
      <c r="BL119" s="493">
        <v>45551</v>
      </c>
      <c r="BM119" s="492" t="s">
        <v>1305</v>
      </c>
      <c r="BN119" s="492" t="s">
        <v>1301</v>
      </c>
      <c r="BO119" s="492">
        <v>0.16432140619605901</v>
      </c>
      <c r="BP119" s="492">
        <v>5.0513892581900005E-4</v>
      </c>
    </row>
    <row r="120" spans="1:68" ht="75">
      <c r="A120" s="492" t="s">
        <v>721</v>
      </c>
      <c r="B120" s="492">
        <v>391605</v>
      </c>
      <c r="C120" s="492">
        <v>8187656</v>
      </c>
      <c r="D120" s="492">
        <v>174</v>
      </c>
      <c r="E120" s="492">
        <v>289</v>
      </c>
      <c r="F120" s="492">
        <v>60</v>
      </c>
      <c r="G120" s="492" t="b">
        <v>0</v>
      </c>
      <c r="H120" s="492" t="b">
        <v>0</v>
      </c>
      <c r="I120" s="492">
        <v>10</v>
      </c>
      <c r="J120" s="492" t="b">
        <v>0</v>
      </c>
      <c r="K120" s="492">
        <v>45</v>
      </c>
      <c r="L120" s="492" t="s">
        <v>1295</v>
      </c>
      <c r="M120" s="492" t="s">
        <v>1296</v>
      </c>
      <c r="N120" s="492" t="s">
        <v>2</v>
      </c>
      <c r="O120" s="492">
        <v>45</v>
      </c>
      <c r="P120" s="492" t="s">
        <v>109</v>
      </c>
      <c r="Q120" s="492">
        <v>3</v>
      </c>
      <c r="R120" s="492"/>
      <c r="S120" s="492"/>
      <c r="T120" s="492"/>
      <c r="U120" s="492"/>
      <c r="V120" s="492"/>
      <c r="W120" s="492"/>
      <c r="X120" s="492"/>
      <c r="Y120" s="492">
        <v>391605</v>
      </c>
      <c r="Z120" s="492">
        <v>8187656</v>
      </c>
      <c r="AA120" s="492">
        <v>10043.6012250608</v>
      </c>
      <c r="AB120" s="492">
        <v>12718.0512475986</v>
      </c>
      <c r="AC120" s="492">
        <v>6</v>
      </c>
      <c r="AD120" s="492">
        <v>23443</v>
      </c>
      <c r="AE120" s="492" t="s">
        <v>1297</v>
      </c>
      <c r="AF120" s="492" t="s">
        <v>1298</v>
      </c>
      <c r="AG120" s="492" t="s">
        <v>1299</v>
      </c>
      <c r="AH120" s="492" t="s">
        <v>1300</v>
      </c>
      <c r="AI120" s="492">
        <v>1</v>
      </c>
      <c r="AJ120" s="492" t="s">
        <v>1301</v>
      </c>
      <c r="AK120" s="492" t="s">
        <v>1302</v>
      </c>
      <c r="AL120" s="492"/>
      <c r="AM120" s="492"/>
      <c r="AN120" s="492"/>
      <c r="AO120" s="492"/>
      <c r="AP120" s="492"/>
      <c r="AQ120" s="492"/>
      <c r="AR120" s="492"/>
      <c r="AS120" s="492"/>
      <c r="AT120" s="492"/>
      <c r="AU120" s="492"/>
      <c r="AV120" s="492"/>
      <c r="AW120" s="492"/>
      <c r="AX120" s="492"/>
      <c r="AY120" s="492"/>
      <c r="AZ120" s="492"/>
      <c r="BA120" s="492"/>
      <c r="BB120" s="493">
        <v>32303</v>
      </c>
      <c r="BC120" s="494">
        <v>0.375</v>
      </c>
      <c r="BD120" s="493">
        <v>47989</v>
      </c>
      <c r="BE120" s="494">
        <v>0.99998842592592596</v>
      </c>
      <c r="BF120" s="493">
        <v>32639</v>
      </c>
      <c r="BG120" s="494">
        <v>0</v>
      </c>
      <c r="BH120" s="492" t="s">
        <v>1303</v>
      </c>
      <c r="BI120" s="492">
        <v>597.20000000000005</v>
      </c>
      <c r="BJ120" s="492" t="s">
        <v>1304</v>
      </c>
      <c r="BK120" s="492"/>
      <c r="BL120" s="493">
        <v>45551</v>
      </c>
      <c r="BM120" s="492" t="s">
        <v>1305</v>
      </c>
      <c r="BN120" s="492" t="s">
        <v>1301</v>
      </c>
      <c r="BO120" s="492">
        <v>0.16432140619605901</v>
      </c>
      <c r="BP120" s="492">
        <v>5.0513892581900005E-4</v>
      </c>
    </row>
    <row r="121" spans="1:68" ht="75">
      <c r="A121" s="492" t="s">
        <v>719</v>
      </c>
      <c r="B121" s="492">
        <v>391693</v>
      </c>
      <c r="C121" s="492">
        <v>8187711</v>
      </c>
      <c r="D121" s="492">
        <v>175</v>
      </c>
      <c r="E121" s="492">
        <v>289</v>
      </c>
      <c r="F121" s="492">
        <v>60</v>
      </c>
      <c r="G121" s="492" t="b">
        <v>0</v>
      </c>
      <c r="H121" s="492" t="b">
        <v>0</v>
      </c>
      <c r="I121" s="492">
        <v>10</v>
      </c>
      <c r="J121" s="492" t="b">
        <v>0</v>
      </c>
      <c r="K121" s="492">
        <v>135</v>
      </c>
      <c r="L121" s="492" t="s">
        <v>1295</v>
      </c>
      <c r="M121" s="492" t="s">
        <v>1296</v>
      </c>
      <c r="N121" s="492" t="s">
        <v>2</v>
      </c>
      <c r="O121" s="492">
        <v>135</v>
      </c>
      <c r="P121" s="492" t="s">
        <v>109</v>
      </c>
      <c r="Q121" s="492">
        <v>3</v>
      </c>
      <c r="R121" s="492"/>
      <c r="S121" s="492"/>
      <c r="T121" s="492"/>
      <c r="U121" s="492"/>
      <c r="V121" s="492"/>
      <c r="W121" s="492"/>
      <c r="X121" s="492"/>
      <c r="Y121" s="492">
        <v>391693</v>
      </c>
      <c r="Z121" s="492">
        <v>8187711</v>
      </c>
      <c r="AA121" s="492">
        <v>10109.0759083786</v>
      </c>
      <c r="AB121" s="492">
        <v>12798.6015668576</v>
      </c>
      <c r="AC121" s="492">
        <v>6</v>
      </c>
      <c r="AD121" s="492">
        <v>23443</v>
      </c>
      <c r="AE121" s="492" t="s">
        <v>1297</v>
      </c>
      <c r="AF121" s="492" t="s">
        <v>1298</v>
      </c>
      <c r="AG121" s="492" t="s">
        <v>1299</v>
      </c>
      <c r="AH121" s="492" t="s">
        <v>1300</v>
      </c>
      <c r="AI121" s="492">
        <v>1</v>
      </c>
      <c r="AJ121" s="492" t="s">
        <v>1301</v>
      </c>
      <c r="AK121" s="492" t="s">
        <v>1302</v>
      </c>
      <c r="AL121" s="492"/>
      <c r="AM121" s="492"/>
      <c r="AN121" s="492"/>
      <c r="AO121" s="492"/>
      <c r="AP121" s="492"/>
      <c r="AQ121" s="492"/>
      <c r="AR121" s="492"/>
      <c r="AS121" s="492"/>
      <c r="AT121" s="492"/>
      <c r="AU121" s="492"/>
      <c r="AV121" s="492"/>
      <c r="AW121" s="492"/>
      <c r="AX121" s="492"/>
      <c r="AY121" s="492"/>
      <c r="AZ121" s="492"/>
      <c r="BA121" s="492"/>
      <c r="BB121" s="493">
        <v>32303</v>
      </c>
      <c r="BC121" s="494">
        <v>0.375</v>
      </c>
      <c r="BD121" s="493">
        <v>47989</v>
      </c>
      <c r="BE121" s="494">
        <v>0.99998842592592596</v>
      </c>
      <c r="BF121" s="493">
        <v>32639</v>
      </c>
      <c r="BG121" s="494">
        <v>0</v>
      </c>
      <c r="BH121" s="492" t="s">
        <v>1303</v>
      </c>
      <c r="BI121" s="492">
        <v>597.20000000000005</v>
      </c>
      <c r="BJ121" s="492" t="s">
        <v>1304</v>
      </c>
      <c r="BK121" s="492"/>
      <c r="BL121" s="493">
        <v>45551</v>
      </c>
      <c r="BM121" s="492" t="s">
        <v>1305</v>
      </c>
      <c r="BN121" s="492" t="s">
        <v>1301</v>
      </c>
      <c r="BO121" s="492">
        <v>0.16432140619605901</v>
      </c>
      <c r="BP121" s="492">
        <v>5.0513892581900005E-4</v>
      </c>
    </row>
    <row r="122" spans="1:68" ht="75">
      <c r="A122" s="492" t="s">
        <v>718</v>
      </c>
      <c r="B122" s="492">
        <v>391670</v>
      </c>
      <c r="C122" s="492">
        <v>8187719</v>
      </c>
      <c r="D122" s="492">
        <v>175</v>
      </c>
      <c r="E122" s="492">
        <v>289</v>
      </c>
      <c r="F122" s="492">
        <v>60</v>
      </c>
      <c r="G122" s="492" t="b">
        <v>0</v>
      </c>
      <c r="H122" s="492" t="b">
        <v>0</v>
      </c>
      <c r="I122" s="492">
        <v>10</v>
      </c>
      <c r="J122" s="492" t="b">
        <v>0</v>
      </c>
      <c r="K122" s="492">
        <v>90</v>
      </c>
      <c r="L122" s="492" t="s">
        <v>1295</v>
      </c>
      <c r="M122" s="492" t="s">
        <v>1296</v>
      </c>
      <c r="N122" s="492" t="s">
        <v>2</v>
      </c>
      <c r="O122" s="492">
        <v>90</v>
      </c>
      <c r="P122" s="492" t="s">
        <v>109</v>
      </c>
      <c r="Q122" s="492">
        <v>3</v>
      </c>
      <c r="R122" s="492"/>
      <c r="S122" s="492"/>
      <c r="T122" s="492"/>
      <c r="U122" s="492"/>
      <c r="V122" s="492"/>
      <c r="W122" s="492"/>
      <c r="X122" s="492"/>
      <c r="Y122" s="492">
        <v>391670</v>
      </c>
      <c r="Z122" s="492">
        <v>8187719</v>
      </c>
      <c r="AA122" s="492">
        <v>10084.7175206919</v>
      </c>
      <c r="AB122" s="492">
        <v>12798.724878747</v>
      </c>
      <c r="AC122" s="492">
        <v>6</v>
      </c>
      <c r="AD122" s="492">
        <v>23443</v>
      </c>
      <c r="AE122" s="492" t="s">
        <v>1297</v>
      </c>
      <c r="AF122" s="492" t="s">
        <v>1298</v>
      </c>
      <c r="AG122" s="492" t="s">
        <v>1299</v>
      </c>
      <c r="AH122" s="492" t="s">
        <v>1300</v>
      </c>
      <c r="AI122" s="492">
        <v>1</v>
      </c>
      <c r="AJ122" s="492" t="s">
        <v>1301</v>
      </c>
      <c r="AK122" s="492" t="s">
        <v>1302</v>
      </c>
      <c r="AL122" s="492"/>
      <c r="AM122" s="492"/>
      <c r="AN122" s="492"/>
      <c r="AO122" s="492"/>
      <c r="AP122" s="492"/>
      <c r="AQ122" s="492"/>
      <c r="AR122" s="492"/>
      <c r="AS122" s="492"/>
      <c r="AT122" s="492"/>
      <c r="AU122" s="492"/>
      <c r="AV122" s="492"/>
      <c r="AW122" s="492"/>
      <c r="AX122" s="492"/>
      <c r="AY122" s="492"/>
      <c r="AZ122" s="492"/>
      <c r="BA122" s="492"/>
      <c r="BB122" s="493">
        <v>32303</v>
      </c>
      <c r="BC122" s="494">
        <v>0.375</v>
      </c>
      <c r="BD122" s="493">
        <v>47989</v>
      </c>
      <c r="BE122" s="494">
        <v>0.99998842592592596</v>
      </c>
      <c r="BF122" s="493">
        <v>32639</v>
      </c>
      <c r="BG122" s="494">
        <v>0</v>
      </c>
      <c r="BH122" s="492" t="s">
        <v>1303</v>
      </c>
      <c r="BI122" s="492">
        <v>597.20000000000005</v>
      </c>
      <c r="BJ122" s="492" t="s">
        <v>1304</v>
      </c>
      <c r="BK122" s="492"/>
      <c r="BL122" s="493">
        <v>45551</v>
      </c>
      <c r="BM122" s="492" t="s">
        <v>1305</v>
      </c>
      <c r="BN122" s="492" t="s">
        <v>1301</v>
      </c>
      <c r="BO122" s="492">
        <v>0.16432140619605901</v>
      </c>
      <c r="BP122" s="492">
        <v>5.0513892581900005E-4</v>
      </c>
    </row>
    <row r="123" spans="1:68" ht="75">
      <c r="A123" s="492" t="s">
        <v>717</v>
      </c>
      <c r="B123" s="492">
        <v>391647</v>
      </c>
      <c r="C123" s="492">
        <v>8187726</v>
      </c>
      <c r="D123" s="492">
        <v>175</v>
      </c>
      <c r="E123" s="492">
        <v>289</v>
      </c>
      <c r="F123" s="492">
        <v>60</v>
      </c>
      <c r="G123" s="492" t="b">
        <v>0</v>
      </c>
      <c r="H123" s="492" t="b">
        <v>0</v>
      </c>
      <c r="I123" s="492">
        <v>10</v>
      </c>
      <c r="J123" s="492" t="b">
        <v>0</v>
      </c>
      <c r="K123" s="492">
        <v>45</v>
      </c>
      <c r="L123" s="492" t="s">
        <v>1295</v>
      </c>
      <c r="M123" s="492" t="s">
        <v>1296</v>
      </c>
      <c r="N123" s="492" t="s">
        <v>2</v>
      </c>
      <c r="O123" s="492">
        <v>45</v>
      </c>
      <c r="P123" s="492" t="s">
        <v>109</v>
      </c>
      <c r="Q123" s="492">
        <v>3</v>
      </c>
      <c r="R123" s="492"/>
      <c r="S123" s="492"/>
      <c r="T123" s="492"/>
      <c r="U123" s="492"/>
      <c r="V123" s="492"/>
      <c r="W123" s="492"/>
      <c r="X123" s="492"/>
      <c r="Y123" s="492">
        <v>391647</v>
      </c>
      <c r="Z123" s="492">
        <v>8187726</v>
      </c>
      <c r="AA123" s="492">
        <v>10060.6829625624</v>
      </c>
      <c r="AB123" s="492">
        <v>12797.901766667999</v>
      </c>
      <c r="AC123" s="492">
        <v>6</v>
      </c>
      <c r="AD123" s="492">
        <v>23443</v>
      </c>
      <c r="AE123" s="492" t="s">
        <v>1297</v>
      </c>
      <c r="AF123" s="492" t="s">
        <v>1298</v>
      </c>
      <c r="AG123" s="492" t="s">
        <v>1299</v>
      </c>
      <c r="AH123" s="492" t="s">
        <v>1300</v>
      </c>
      <c r="AI123" s="492">
        <v>1</v>
      </c>
      <c r="AJ123" s="492" t="s">
        <v>1301</v>
      </c>
      <c r="AK123" s="492" t="s">
        <v>1302</v>
      </c>
      <c r="AL123" s="492"/>
      <c r="AM123" s="492"/>
      <c r="AN123" s="492"/>
      <c r="AO123" s="492"/>
      <c r="AP123" s="492"/>
      <c r="AQ123" s="492"/>
      <c r="AR123" s="492"/>
      <c r="AS123" s="492"/>
      <c r="AT123" s="492"/>
      <c r="AU123" s="492"/>
      <c r="AV123" s="492"/>
      <c r="AW123" s="492"/>
      <c r="AX123" s="492"/>
      <c r="AY123" s="492"/>
      <c r="AZ123" s="492"/>
      <c r="BA123" s="492"/>
      <c r="BB123" s="493">
        <v>32303</v>
      </c>
      <c r="BC123" s="494">
        <v>0.375</v>
      </c>
      <c r="BD123" s="493">
        <v>47989</v>
      </c>
      <c r="BE123" s="494">
        <v>0.99998842592592596</v>
      </c>
      <c r="BF123" s="493">
        <v>32639</v>
      </c>
      <c r="BG123" s="494">
        <v>0</v>
      </c>
      <c r="BH123" s="492" t="s">
        <v>1303</v>
      </c>
      <c r="BI123" s="492">
        <v>597.20000000000005</v>
      </c>
      <c r="BJ123" s="492" t="s">
        <v>1304</v>
      </c>
      <c r="BK123" s="492"/>
      <c r="BL123" s="493">
        <v>45551</v>
      </c>
      <c r="BM123" s="492" t="s">
        <v>1305</v>
      </c>
      <c r="BN123" s="492" t="s">
        <v>1301</v>
      </c>
      <c r="BO123" s="492">
        <v>0.16432140619605901</v>
      </c>
      <c r="BP123" s="492">
        <v>5.0513892581900005E-4</v>
      </c>
    </row>
    <row r="124" spans="1:68" ht="75">
      <c r="A124" s="492" t="s">
        <v>715</v>
      </c>
      <c r="B124" s="492">
        <v>391728</v>
      </c>
      <c r="C124" s="492">
        <v>8187783</v>
      </c>
      <c r="D124" s="492">
        <v>174</v>
      </c>
      <c r="E124" s="492">
        <v>289</v>
      </c>
      <c r="F124" s="492">
        <v>60</v>
      </c>
      <c r="G124" s="492" t="b">
        <v>0</v>
      </c>
      <c r="H124" s="492" t="b">
        <v>0</v>
      </c>
      <c r="I124" s="492">
        <v>10</v>
      </c>
      <c r="J124" s="492" t="b">
        <v>0</v>
      </c>
      <c r="K124" s="492">
        <v>135</v>
      </c>
      <c r="L124" s="492" t="s">
        <v>1295</v>
      </c>
      <c r="M124" s="492" t="s">
        <v>1296</v>
      </c>
      <c r="N124" s="492" t="s">
        <v>2</v>
      </c>
      <c r="O124" s="492">
        <v>135</v>
      </c>
      <c r="P124" s="492" t="s">
        <v>109</v>
      </c>
      <c r="Q124" s="492">
        <v>3</v>
      </c>
      <c r="R124" s="492" t="b">
        <v>1</v>
      </c>
      <c r="S124" s="492" t="b">
        <v>1</v>
      </c>
      <c r="T124" s="492"/>
      <c r="U124" s="492"/>
      <c r="V124" s="492"/>
      <c r="W124" s="492"/>
      <c r="X124" s="492"/>
      <c r="Y124" s="492">
        <v>391726.60327128798</v>
      </c>
      <c r="Z124" s="492">
        <v>8187779.9571568398</v>
      </c>
      <c r="AA124" s="492">
        <v>10118.5484840301</v>
      </c>
      <c r="AB124" s="492">
        <v>12874.746005220301</v>
      </c>
      <c r="AC124" s="492">
        <v>6</v>
      </c>
      <c r="AD124" s="492">
        <v>23443</v>
      </c>
      <c r="AE124" s="492" t="s">
        <v>1297</v>
      </c>
      <c r="AF124" s="492" t="s">
        <v>1298</v>
      </c>
      <c r="AG124" s="492" t="s">
        <v>1299</v>
      </c>
      <c r="AH124" s="492" t="s">
        <v>1300</v>
      </c>
      <c r="AI124" s="492">
        <v>1</v>
      </c>
      <c r="AJ124" s="492" t="s">
        <v>1301</v>
      </c>
      <c r="AK124" s="492" t="s">
        <v>1302</v>
      </c>
      <c r="AL124" s="492"/>
      <c r="AM124" s="492"/>
      <c r="AN124" s="492"/>
      <c r="AO124" s="492"/>
      <c r="AP124" s="492"/>
      <c r="AQ124" s="492"/>
      <c r="AR124" s="492"/>
      <c r="AS124" s="492"/>
      <c r="AT124" s="492"/>
      <c r="AU124" s="492"/>
      <c r="AV124" s="492"/>
      <c r="AW124" s="492"/>
      <c r="AX124" s="492"/>
      <c r="AY124" s="492"/>
      <c r="AZ124" s="492"/>
      <c r="BA124" s="492"/>
      <c r="BB124" s="493">
        <v>32303</v>
      </c>
      <c r="BC124" s="494">
        <v>0.375</v>
      </c>
      <c r="BD124" s="493">
        <v>47989</v>
      </c>
      <c r="BE124" s="494">
        <v>0.99998842592592596</v>
      </c>
      <c r="BF124" s="493">
        <v>32639</v>
      </c>
      <c r="BG124" s="494">
        <v>0</v>
      </c>
      <c r="BH124" s="492" t="s">
        <v>1303</v>
      </c>
      <c r="BI124" s="492">
        <v>597.20000000000005</v>
      </c>
      <c r="BJ124" s="492" t="s">
        <v>1304</v>
      </c>
      <c r="BK124" s="492"/>
      <c r="BL124" s="493">
        <v>45551</v>
      </c>
      <c r="BM124" s="492" t="s">
        <v>1305</v>
      </c>
      <c r="BN124" s="492" t="s">
        <v>1301</v>
      </c>
      <c r="BO124" s="492">
        <v>0.16432140619605901</v>
      </c>
      <c r="BP124" s="492">
        <v>5.0513892581900005E-4</v>
      </c>
    </row>
    <row r="125" spans="1:68" ht="75">
      <c r="A125" s="492" t="s">
        <v>714</v>
      </c>
      <c r="B125" s="492">
        <v>391705</v>
      </c>
      <c r="C125" s="492">
        <v>8187791</v>
      </c>
      <c r="D125" s="492">
        <v>176</v>
      </c>
      <c r="E125" s="492">
        <v>289</v>
      </c>
      <c r="F125" s="492">
        <v>60</v>
      </c>
      <c r="G125" s="492" t="b">
        <v>0</v>
      </c>
      <c r="H125" s="492" t="b">
        <v>0</v>
      </c>
      <c r="I125" s="492">
        <v>10</v>
      </c>
      <c r="J125" s="492" t="b">
        <v>0</v>
      </c>
      <c r="K125" s="492">
        <v>90</v>
      </c>
      <c r="L125" s="492" t="s">
        <v>1295</v>
      </c>
      <c r="M125" s="492" t="s">
        <v>1296</v>
      </c>
      <c r="N125" s="492" t="s">
        <v>2</v>
      </c>
      <c r="O125" s="492">
        <v>90</v>
      </c>
      <c r="P125" s="492" t="s">
        <v>109</v>
      </c>
      <c r="Q125" s="492">
        <v>3</v>
      </c>
      <c r="R125" s="492" t="b">
        <v>1</v>
      </c>
      <c r="S125" s="492" t="b">
        <v>1</v>
      </c>
      <c r="T125" s="492"/>
      <c r="U125" s="492"/>
      <c r="V125" s="492"/>
      <c r="W125" s="492"/>
      <c r="X125" s="492"/>
      <c r="Y125" s="492">
        <v>391700.81910361297</v>
      </c>
      <c r="Z125" s="492">
        <v>8187788.7195244301</v>
      </c>
      <c r="AA125" s="492">
        <v>10091.308216170801</v>
      </c>
      <c r="AB125" s="492">
        <v>12874.6892442833</v>
      </c>
      <c r="AC125" s="492">
        <v>6</v>
      </c>
      <c r="AD125" s="492">
        <v>23443</v>
      </c>
      <c r="AE125" s="492" t="s">
        <v>1297</v>
      </c>
      <c r="AF125" s="492" t="s">
        <v>1298</v>
      </c>
      <c r="AG125" s="492" t="s">
        <v>1299</v>
      </c>
      <c r="AH125" s="492" t="s">
        <v>1300</v>
      </c>
      <c r="AI125" s="492">
        <v>1</v>
      </c>
      <c r="AJ125" s="492" t="s">
        <v>1301</v>
      </c>
      <c r="AK125" s="492" t="s">
        <v>1302</v>
      </c>
      <c r="AL125" s="492"/>
      <c r="AM125" s="492"/>
      <c r="AN125" s="492"/>
      <c r="AO125" s="492"/>
      <c r="AP125" s="492"/>
      <c r="AQ125" s="492"/>
      <c r="AR125" s="492"/>
      <c r="AS125" s="492"/>
      <c r="AT125" s="492"/>
      <c r="AU125" s="492"/>
      <c r="AV125" s="492"/>
      <c r="AW125" s="492"/>
      <c r="AX125" s="492"/>
      <c r="AY125" s="492"/>
      <c r="AZ125" s="492"/>
      <c r="BA125" s="492"/>
      <c r="BB125" s="493">
        <v>32303</v>
      </c>
      <c r="BC125" s="494">
        <v>0.375</v>
      </c>
      <c r="BD125" s="493">
        <v>47989</v>
      </c>
      <c r="BE125" s="494">
        <v>0.99998842592592596</v>
      </c>
      <c r="BF125" s="493">
        <v>32639</v>
      </c>
      <c r="BG125" s="494">
        <v>0</v>
      </c>
      <c r="BH125" s="492" t="s">
        <v>1303</v>
      </c>
      <c r="BI125" s="492">
        <v>597.20000000000005</v>
      </c>
      <c r="BJ125" s="492" t="s">
        <v>1304</v>
      </c>
      <c r="BK125" s="492"/>
      <c r="BL125" s="493">
        <v>45551</v>
      </c>
      <c r="BM125" s="492" t="s">
        <v>1305</v>
      </c>
      <c r="BN125" s="492" t="s">
        <v>1301</v>
      </c>
      <c r="BO125" s="492">
        <v>0.16432140619605901</v>
      </c>
      <c r="BP125" s="492">
        <v>5.0513892581900005E-4</v>
      </c>
    </row>
    <row r="126" spans="1:68" ht="75">
      <c r="A126" s="492" t="s">
        <v>710</v>
      </c>
      <c r="B126" s="492">
        <v>391682</v>
      </c>
      <c r="C126" s="492">
        <v>8187799</v>
      </c>
      <c r="D126" s="492">
        <v>176</v>
      </c>
      <c r="E126" s="492">
        <v>289</v>
      </c>
      <c r="F126" s="492">
        <v>60</v>
      </c>
      <c r="G126" s="492" t="b">
        <v>0</v>
      </c>
      <c r="H126" s="492" t="b">
        <v>0</v>
      </c>
      <c r="I126" s="492">
        <v>10</v>
      </c>
      <c r="J126" s="492" t="b">
        <v>0</v>
      </c>
      <c r="K126" s="492">
        <v>45</v>
      </c>
      <c r="L126" s="492" t="s">
        <v>1295</v>
      </c>
      <c r="M126" s="492" t="s">
        <v>1296</v>
      </c>
      <c r="N126" s="492" t="s">
        <v>2</v>
      </c>
      <c r="O126" s="492">
        <v>45</v>
      </c>
      <c r="P126" s="492" t="s">
        <v>109</v>
      </c>
      <c r="Q126" s="492">
        <v>3</v>
      </c>
      <c r="R126" s="492"/>
      <c r="S126" s="492"/>
      <c r="T126" s="492"/>
      <c r="U126" s="492"/>
      <c r="V126" s="492"/>
      <c r="W126" s="492"/>
      <c r="X126" s="492"/>
      <c r="Y126" s="492">
        <v>391682</v>
      </c>
      <c r="Z126" s="492">
        <v>8187799</v>
      </c>
      <c r="AA126" s="492">
        <v>10070.168243627901</v>
      </c>
      <c r="AB126" s="492">
        <v>12878.3247507298</v>
      </c>
      <c r="AC126" s="492">
        <v>6</v>
      </c>
      <c r="AD126" s="492">
        <v>23443</v>
      </c>
      <c r="AE126" s="492" t="s">
        <v>1297</v>
      </c>
      <c r="AF126" s="492" t="s">
        <v>1298</v>
      </c>
      <c r="AG126" s="492" t="s">
        <v>1299</v>
      </c>
      <c r="AH126" s="492" t="s">
        <v>1300</v>
      </c>
      <c r="AI126" s="492">
        <v>1</v>
      </c>
      <c r="AJ126" s="492" t="s">
        <v>1301</v>
      </c>
      <c r="AK126" s="492" t="s">
        <v>1302</v>
      </c>
      <c r="AL126" s="492"/>
      <c r="AM126" s="492"/>
      <c r="AN126" s="492"/>
      <c r="AO126" s="492"/>
      <c r="AP126" s="492"/>
      <c r="AQ126" s="492"/>
      <c r="AR126" s="492"/>
      <c r="AS126" s="492"/>
      <c r="AT126" s="492"/>
      <c r="AU126" s="492"/>
      <c r="AV126" s="492"/>
      <c r="AW126" s="492"/>
      <c r="AX126" s="492"/>
      <c r="AY126" s="492"/>
      <c r="AZ126" s="492"/>
      <c r="BA126" s="492"/>
      <c r="BB126" s="493">
        <v>32303</v>
      </c>
      <c r="BC126" s="494">
        <v>0.375</v>
      </c>
      <c r="BD126" s="493">
        <v>47989</v>
      </c>
      <c r="BE126" s="494">
        <v>0.99998842592592596</v>
      </c>
      <c r="BF126" s="493">
        <v>32639</v>
      </c>
      <c r="BG126" s="494">
        <v>0</v>
      </c>
      <c r="BH126" s="492" t="s">
        <v>1303</v>
      </c>
      <c r="BI126" s="492">
        <v>597.20000000000005</v>
      </c>
      <c r="BJ126" s="492" t="s">
        <v>1304</v>
      </c>
      <c r="BK126" s="492"/>
      <c r="BL126" s="493">
        <v>45551</v>
      </c>
      <c r="BM126" s="492" t="s">
        <v>1305</v>
      </c>
      <c r="BN126" s="492" t="s">
        <v>1301</v>
      </c>
      <c r="BO126" s="492">
        <v>0.16432140619605901</v>
      </c>
      <c r="BP126" s="492">
        <v>5.0513892581900005E-4</v>
      </c>
    </row>
    <row r="127" spans="1:68" ht="75">
      <c r="A127" s="492" t="s">
        <v>760</v>
      </c>
      <c r="B127" s="492">
        <v>391173</v>
      </c>
      <c r="C127" s="492">
        <v>8186157</v>
      </c>
      <c r="D127" s="492">
        <v>182</v>
      </c>
      <c r="E127" s="492">
        <v>289</v>
      </c>
      <c r="F127" s="492">
        <v>60</v>
      </c>
      <c r="G127" s="492" t="b">
        <v>0</v>
      </c>
      <c r="H127" s="492" t="b">
        <v>0</v>
      </c>
      <c r="I127" s="492">
        <v>10</v>
      </c>
      <c r="J127" s="492" t="b">
        <v>0</v>
      </c>
      <c r="K127" s="492">
        <v>180</v>
      </c>
      <c r="L127" s="492" t="s">
        <v>1013</v>
      </c>
      <c r="M127" s="492" t="s">
        <v>1296</v>
      </c>
      <c r="N127" s="492" t="s">
        <v>2</v>
      </c>
      <c r="O127" s="492">
        <v>180</v>
      </c>
      <c r="P127" s="492" t="s">
        <v>109</v>
      </c>
      <c r="Q127" s="492">
        <v>3</v>
      </c>
      <c r="R127" s="492"/>
      <c r="S127" s="492"/>
      <c r="T127" s="492"/>
      <c r="U127" s="492"/>
      <c r="V127" s="495">
        <v>45878</v>
      </c>
      <c r="W127" s="492"/>
      <c r="X127" s="492"/>
      <c r="Y127" s="492">
        <v>391173</v>
      </c>
      <c r="Z127" s="492">
        <v>8186157</v>
      </c>
      <c r="AA127" s="492">
        <v>10120.166579492799</v>
      </c>
      <c r="AB127" s="492">
        <v>11159.467353316901</v>
      </c>
      <c r="AC127" s="492">
        <v>6</v>
      </c>
      <c r="AD127" s="492">
        <v>23443</v>
      </c>
      <c r="AE127" s="492" t="s">
        <v>1297</v>
      </c>
      <c r="AF127" s="492" t="s">
        <v>1298</v>
      </c>
      <c r="AG127" s="492" t="s">
        <v>1299</v>
      </c>
      <c r="AH127" s="492" t="s">
        <v>1300</v>
      </c>
      <c r="AI127" s="492">
        <v>1</v>
      </c>
      <c r="AJ127" s="492" t="s">
        <v>1301</v>
      </c>
      <c r="AK127" s="492" t="s">
        <v>1302</v>
      </c>
      <c r="AL127" s="492"/>
      <c r="AM127" s="492"/>
      <c r="AN127" s="492"/>
      <c r="AO127" s="492"/>
      <c r="AP127" s="492"/>
      <c r="AQ127" s="492"/>
      <c r="AR127" s="492"/>
      <c r="AS127" s="492"/>
      <c r="AT127" s="492"/>
      <c r="AU127" s="492"/>
      <c r="AV127" s="492"/>
      <c r="AW127" s="492"/>
      <c r="AX127" s="492"/>
      <c r="AY127" s="492"/>
      <c r="AZ127" s="492"/>
      <c r="BA127" s="492"/>
      <c r="BB127" s="493">
        <v>32303</v>
      </c>
      <c r="BC127" s="494">
        <v>0.375</v>
      </c>
      <c r="BD127" s="493">
        <v>47989</v>
      </c>
      <c r="BE127" s="494">
        <v>0.99998842592592596</v>
      </c>
      <c r="BF127" s="493">
        <v>32639</v>
      </c>
      <c r="BG127" s="494">
        <v>0</v>
      </c>
      <c r="BH127" s="492" t="s">
        <v>1303</v>
      </c>
      <c r="BI127" s="492">
        <v>597.20000000000005</v>
      </c>
      <c r="BJ127" s="492" t="s">
        <v>1304</v>
      </c>
      <c r="BK127" s="492"/>
      <c r="BL127" s="493">
        <v>45551</v>
      </c>
      <c r="BM127" s="492" t="s">
        <v>1305</v>
      </c>
      <c r="BN127" s="492" t="s">
        <v>1301</v>
      </c>
      <c r="BO127" s="492">
        <v>0.16432140619605901</v>
      </c>
      <c r="BP127" s="492">
        <v>5.0513892581900005E-4</v>
      </c>
    </row>
    <row r="128" spans="1:68" ht="75">
      <c r="A128" s="492" t="s">
        <v>763</v>
      </c>
      <c r="B128" s="492">
        <v>391177</v>
      </c>
      <c r="C128" s="492">
        <v>8186198</v>
      </c>
      <c r="D128" s="492">
        <v>183</v>
      </c>
      <c r="E128" s="492">
        <v>289</v>
      </c>
      <c r="F128" s="492">
        <v>60</v>
      </c>
      <c r="G128" s="492" t="b">
        <v>0</v>
      </c>
      <c r="H128" s="492" t="b">
        <v>0</v>
      </c>
      <c r="I128" s="492">
        <v>10</v>
      </c>
      <c r="J128" s="492" t="b">
        <v>0</v>
      </c>
      <c r="K128" s="492">
        <v>180</v>
      </c>
      <c r="L128" s="492" t="s">
        <v>1013</v>
      </c>
      <c r="M128" s="492" t="s">
        <v>1296</v>
      </c>
      <c r="N128" s="492" t="s">
        <v>2</v>
      </c>
      <c r="O128" s="492">
        <v>180</v>
      </c>
      <c r="P128" s="492" t="s">
        <v>109</v>
      </c>
      <c r="Q128" s="492">
        <v>3</v>
      </c>
      <c r="R128" s="492"/>
      <c r="S128" s="492"/>
      <c r="T128" s="492"/>
      <c r="U128" s="492"/>
      <c r="V128" s="495">
        <v>45878</v>
      </c>
      <c r="W128" s="492"/>
      <c r="X128" s="492"/>
      <c r="Y128" s="492">
        <v>391177</v>
      </c>
      <c r="Z128" s="492">
        <v>8186198</v>
      </c>
      <c r="AA128" s="492">
        <v>10110.675263470501</v>
      </c>
      <c r="AB128" s="492">
        <v>11199.5660541569</v>
      </c>
      <c r="AC128" s="492">
        <v>6</v>
      </c>
      <c r="AD128" s="492">
        <v>23443</v>
      </c>
      <c r="AE128" s="492" t="s">
        <v>1297</v>
      </c>
      <c r="AF128" s="492" t="s">
        <v>1298</v>
      </c>
      <c r="AG128" s="492" t="s">
        <v>1299</v>
      </c>
      <c r="AH128" s="492" t="s">
        <v>1300</v>
      </c>
      <c r="AI128" s="492">
        <v>1</v>
      </c>
      <c r="AJ128" s="492" t="s">
        <v>1301</v>
      </c>
      <c r="AK128" s="492" t="s">
        <v>1302</v>
      </c>
      <c r="AL128" s="492"/>
      <c r="AM128" s="492"/>
      <c r="AN128" s="492"/>
      <c r="AO128" s="492"/>
      <c r="AP128" s="492"/>
      <c r="AQ128" s="492"/>
      <c r="AR128" s="492"/>
      <c r="AS128" s="492"/>
      <c r="AT128" s="492"/>
      <c r="AU128" s="492"/>
      <c r="AV128" s="492"/>
      <c r="AW128" s="492"/>
      <c r="AX128" s="492"/>
      <c r="AY128" s="492"/>
      <c r="AZ128" s="492"/>
      <c r="BA128" s="492"/>
      <c r="BB128" s="493">
        <v>32303</v>
      </c>
      <c r="BC128" s="494">
        <v>0.375</v>
      </c>
      <c r="BD128" s="493">
        <v>47989</v>
      </c>
      <c r="BE128" s="494">
        <v>0.99998842592592596</v>
      </c>
      <c r="BF128" s="493">
        <v>32639</v>
      </c>
      <c r="BG128" s="494">
        <v>0</v>
      </c>
      <c r="BH128" s="492" t="s">
        <v>1303</v>
      </c>
      <c r="BI128" s="492">
        <v>597.20000000000005</v>
      </c>
      <c r="BJ128" s="492" t="s">
        <v>1304</v>
      </c>
      <c r="BK128" s="492"/>
      <c r="BL128" s="493">
        <v>45551</v>
      </c>
      <c r="BM128" s="492" t="s">
        <v>1305</v>
      </c>
      <c r="BN128" s="492" t="s">
        <v>1301</v>
      </c>
      <c r="BO128" s="492">
        <v>0.16432140619605901</v>
      </c>
      <c r="BP128" s="492">
        <v>5.0513892581900005E-4</v>
      </c>
    </row>
    <row r="129" spans="1:68" ht="75">
      <c r="A129" s="492" t="s">
        <v>764</v>
      </c>
      <c r="B129" s="492">
        <v>391181</v>
      </c>
      <c r="C129" s="492">
        <v>8186239</v>
      </c>
      <c r="D129" s="492">
        <v>184</v>
      </c>
      <c r="E129" s="492">
        <v>289</v>
      </c>
      <c r="F129" s="492">
        <v>60</v>
      </c>
      <c r="G129" s="492" t="b">
        <v>0</v>
      </c>
      <c r="H129" s="492" t="b">
        <v>0</v>
      </c>
      <c r="I129" s="492">
        <v>10</v>
      </c>
      <c r="J129" s="492" t="b">
        <v>0</v>
      </c>
      <c r="K129" s="492">
        <v>170</v>
      </c>
      <c r="L129" s="492" t="s">
        <v>1013</v>
      </c>
      <c r="M129" s="492" t="s">
        <v>1296</v>
      </c>
      <c r="N129" s="492" t="s">
        <v>2</v>
      </c>
      <c r="O129" s="492">
        <v>170</v>
      </c>
      <c r="P129" s="492" t="s">
        <v>109</v>
      </c>
      <c r="Q129" s="492">
        <v>3</v>
      </c>
      <c r="R129" s="492"/>
      <c r="S129" s="492"/>
      <c r="T129" s="492"/>
      <c r="U129" s="492"/>
      <c r="V129" s="492"/>
      <c r="W129" s="492"/>
      <c r="X129" s="492"/>
      <c r="Y129" s="492">
        <v>391181</v>
      </c>
      <c r="Z129" s="492">
        <v>8186239</v>
      </c>
      <c r="AA129" s="492">
        <v>10101.1839474476</v>
      </c>
      <c r="AB129" s="492">
        <v>11239.6647549998</v>
      </c>
      <c r="AC129" s="492">
        <v>6</v>
      </c>
      <c r="AD129" s="492">
        <v>23443</v>
      </c>
      <c r="AE129" s="492" t="s">
        <v>1297</v>
      </c>
      <c r="AF129" s="492" t="s">
        <v>1298</v>
      </c>
      <c r="AG129" s="492" t="s">
        <v>1299</v>
      </c>
      <c r="AH129" s="492" t="s">
        <v>1300</v>
      </c>
      <c r="AI129" s="492">
        <v>1</v>
      </c>
      <c r="AJ129" s="492" t="s">
        <v>1301</v>
      </c>
      <c r="AK129" s="492" t="s">
        <v>1302</v>
      </c>
      <c r="AL129" s="492"/>
      <c r="AM129" s="492"/>
      <c r="AN129" s="492"/>
      <c r="AO129" s="492"/>
      <c r="AP129" s="492"/>
      <c r="AQ129" s="492"/>
      <c r="AR129" s="492"/>
      <c r="AS129" s="492"/>
      <c r="AT129" s="492"/>
      <c r="AU129" s="492"/>
      <c r="AV129" s="492"/>
      <c r="AW129" s="492"/>
      <c r="AX129" s="492"/>
      <c r="AY129" s="492"/>
      <c r="AZ129" s="492"/>
      <c r="BA129" s="492"/>
      <c r="BB129" s="493">
        <v>32303</v>
      </c>
      <c r="BC129" s="494">
        <v>0.375</v>
      </c>
      <c r="BD129" s="493">
        <v>47989</v>
      </c>
      <c r="BE129" s="494">
        <v>0.99998842592592596</v>
      </c>
      <c r="BF129" s="493">
        <v>32639</v>
      </c>
      <c r="BG129" s="494">
        <v>0</v>
      </c>
      <c r="BH129" s="492" t="s">
        <v>1303</v>
      </c>
      <c r="BI129" s="492">
        <v>597.20000000000005</v>
      </c>
      <c r="BJ129" s="492" t="s">
        <v>1304</v>
      </c>
      <c r="BK129" s="492"/>
      <c r="BL129" s="493">
        <v>45551</v>
      </c>
      <c r="BM129" s="492" t="s">
        <v>1305</v>
      </c>
      <c r="BN129" s="492" t="s">
        <v>1301</v>
      </c>
      <c r="BO129" s="492">
        <v>0.16432140619605901</v>
      </c>
      <c r="BP129" s="492">
        <v>5.0513892581900005E-4</v>
      </c>
    </row>
    <row r="130" spans="1:68" ht="75">
      <c r="A130" s="492" t="s">
        <v>339</v>
      </c>
      <c r="B130" s="492">
        <v>391188</v>
      </c>
      <c r="C130" s="492">
        <v>8186489</v>
      </c>
      <c r="D130" s="492">
        <v>193</v>
      </c>
      <c r="E130" s="492">
        <v>0</v>
      </c>
      <c r="F130" s="492">
        <v>90</v>
      </c>
      <c r="G130" s="492" t="b">
        <v>0</v>
      </c>
      <c r="H130" s="492" t="b">
        <v>0</v>
      </c>
      <c r="I130" s="492">
        <v>10</v>
      </c>
      <c r="J130" s="492" t="b">
        <v>0</v>
      </c>
      <c r="K130" s="492">
        <v>80</v>
      </c>
      <c r="L130" s="492" t="s">
        <v>1341</v>
      </c>
      <c r="M130" s="492" t="s">
        <v>1296</v>
      </c>
      <c r="N130" s="492" t="s">
        <v>1</v>
      </c>
      <c r="O130" s="492">
        <v>80</v>
      </c>
      <c r="P130" s="492" t="s">
        <v>11</v>
      </c>
      <c r="Q130" s="492">
        <v>1</v>
      </c>
      <c r="R130" s="492"/>
      <c r="S130" s="492"/>
      <c r="T130" s="492"/>
      <c r="U130" s="492"/>
      <c r="V130" s="495">
        <v>45827</v>
      </c>
      <c r="W130" s="492"/>
      <c r="X130" s="492"/>
      <c r="Y130" s="492">
        <v>391188</v>
      </c>
      <c r="Z130" s="492">
        <v>8186489</v>
      </c>
      <c r="AA130" s="492">
        <v>10026.8515256433</v>
      </c>
      <c r="AB130" s="492">
        <v>11478.537553419301</v>
      </c>
      <c r="AC130" s="492">
        <v>6</v>
      </c>
      <c r="AD130" s="492">
        <v>23443</v>
      </c>
      <c r="AE130" s="492" t="s">
        <v>1297</v>
      </c>
      <c r="AF130" s="492" t="s">
        <v>1298</v>
      </c>
      <c r="AG130" s="492" t="s">
        <v>1299</v>
      </c>
      <c r="AH130" s="492" t="s">
        <v>1300</v>
      </c>
      <c r="AI130" s="492">
        <v>1</v>
      </c>
      <c r="AJ130" s="492" t="s">
        <v>1301</v>
      </c>
      <c r="AK130" s="492" t="s">
        <v>1302</v>
      </c>
      <c r="AL130" s="492"/>
      <c r="AM130" s="492"/>
      <c r="AN130" s="492"/>
      <c r="AO130" s="492"/>
      <c r="AP130" s="492"/>
      <c r="AQ130" s="492"/>
      <c r="AR130" s="492"/>
      <c r="AS130" s="492"/>
      <c r="AT130" s="492"/>
      <c r="AU130" s="492"/>
      <c r="AV130" s="492"/>
      <c r="AW130" s="492"/>
      <c r="AX130" s="492"/>
      <c r="AY130" s="492"/>
      <c r="AZ130" s="492"/>
      <c r="BA130" s="492"/>
      <c r="BB130" s="493">
        <v>32303</v>
      </c>
      <c r="BC130" s="494">
        <v>0.375</v>
      </c>
      <c r="BD130" s="493">
        <v>47989</v>
      </c>
      <c r="BE130" s="494">
        <v>0.99998842592592596</v>
      </c>
      <c r="BF130" s="493">
        <v>32639</v>
      </c>
      <c r="BG130" s="494">
        <v>0</v>
      </c>
      <c r="BH130" s="492" t="s">
        <v>1303</v>
      </c>
      <c r="BI130" s="492">
        <v>597.20000000000005</v>
      </c>
      <c r="BJ130" s="492" t="s">
        <v>1304</v>
      </c>
      <c r="BK130" s="492"/>
      <c r="BL130" s="493">
        <v>45551</v>
      </c>
      <c r="BM130" s="492" t="s">
        <v>1305</v>
      </c>
      <c r="BN130" s="492" t="s">
        <v>1301</v>
      </c>
      <c r="BO130" s="492">
        <v>0.16432140619605901</v>
      </c>
      <c r="BP130" s="492">
        <v>5.0513892581900005E-4</v>
      </c>
    </row>
    <row r="131" spans="1:68" ht="75">
      <c r="A131" s="492" t="s">
        <v>419</v>
      </c>
      <c r="B131" s="492">
        <v>391189</v>
      </c>
      <c r="C131" s="492">
        <v>8186490</v>
      </c>
      <c r="D131" s="492">
        <v>190</v>
      </c>
      <c r="E131" s="492">
        <v>290</v>
      </c>
      <c r="F131" s="492">
        <v>55</v>
      </c>
      <c r="G131" s="492" t="b">
        <v>0</v>
      </c>
      <c r="H131" s="492" t="b">
        <v>0</v>
      </c>
      <c r="I131" s="492">
        <v>10</v>
      </c>
      <c r="J131" s="492" t="b">
        <v>0</v>
      </c>
      <c r="K131" s="492">
        <v>110</v>
      </c>
      <c r="L131" s="492" t="s">
        <v>1313</v>
      </c>
      <c r="M131" s="492" t="s">
        <v>1296</v>
      </c>
      <c r="N131" s="492" t="s">
        <v>1</v>
      </c>
      <c r="O131" s="492">
        <v>110</v>
      </c>
      <c r="P131" s="492" t="s">
        <v>9</v>
      </c>
      <c r="Q131" s="492">
        <v>1</v>
      </c>
      <c r="R131" s="492"/>
      <c r="S131" s="492"/>
      <c r="T131" s="492"/>
      <c r="U131" s="492"/>
      <c r="V131" s="492"/>
      <c r="W131" s="492"/>
      <c r="X131" s="492"/>
      <c r="Y131" s="492">
        <v>391189</v>
      </c>
      <c r="Z131" s="492">
        <v>8186490</v>
      </c>
      <c r="AA131" s="492">
        <v>10027.474120052</v>
      </c>
      <c r="AB131" s="492">
        <v>11479.8078069444</v>
      </c>
      <c r="AC131" s="492">
        <v>6</v>
      </c>
      <c r="AD131" s="492">
        <v>23443</v>
      </c>
      <c r="AE131" s="492" t="s">
        <v>1297</v>
      </c>
      <c r="AF131" s="492" t="s">
        <v>1298</v>
      </c>
      <c r="AG131" s="492" t="s">
        <v>1299</v>
      </c>
      <c r="AH131" s="492" t="s">
        <v>1300</v>
      </c>
      <c r="AI131" s="492">
        <v>1</v>
      </c>
      <c r="AJ131" s="492" t="s">
        <v>1301</v>
      </c>
      <c r="AK131" s="492" t="s">
        <v>1302</v>
      </c>
      <c r="AL131" s="492"/>
      <c r="AM131" s="492"/>
      <c r="AN131" s="492"/>
      <c r="AO131" s="492"/>
      <c r="AP131" s="492"/>
      <c r="AQ131" s="492"/>
      <c r="AR131" s="492"/>
      <c r="AS131" s="492"/>
      <c r="AT131" s="492"/>
      <c r="AU131" s="492"/>
      <c r="AV131" s="492"/>
      <c r="AW131" s="492"/>
      <c r="AX131" s="492"/>
      <c r="AY131" s="492"/>
      <c r="AZ131" s="492"/>
      <c r="BA131" s="492"/>
      <c r="BB131" s="493">
        <v>32303</v>
      </c>
      <c r="BC131" s="494">
        <v>0.375</v>
      </c>
      <c r="BD131" s="493">
        <v>47989</v>
      </c>
      <c r="BE131" s="494">
        <v>0.99998842592592596</v>
      </c>
      <c r="BF131" s="493">
        <v>32639</v>
      </c>
      <c r="BG131" s="494">
        <v>0</v>
      </c>
      <c r="BH131" s="492" t="s">
        <v>1303</v>
      </c>
      <c r="BI131" s="492">
        <v>597.20000000000005</v>
      </c>
      <c r="BJ131" s="492" t="s">
        <v>1304</v>
      </c>
      <c r="BK131" s="492"/>
      <c r="BL131" s="493">
        <v>45551</v>
      </c>
      <c r="BM131" s="492" t="s">
        <v>1305</v>
      </c>
      <c r="BN131" s="492" t="s">
        <v>1301</v>
      </c>
      <c r="BO131" s="492">
        <v>0.16432140619605901</v>
      </c>
      <c r="BP131" s="492">
        <v>5.0513892581900005E-4</v>
      </c>
    </row>
    <row r="132" spans="1:68" ht="75">
      <c r="A132" s="492" t="s">
        <v>341</v>
      </c>
      <c r="B132" s="492">
        <v>391189</v>
      </c>
      <c r="C132" s="492">
        <v>8186489</v>
      </c>
      <c r="D132" s="492">
        <v>195</v>
      </c>
      <c r="E132" s="492">
        <v>0</v>
      </c>
      <c r="F132" s="492">
        <v>90</v>
      </c>
      <c r="G132" s="492" t="b">
        <v>0</v>
      </c>
      <c r="H132" s="492" t="b">
        <v>0</v>
      </c>
      <c r="I132" s="492">
        <v>10</v>
      </c>
      <c r="J132" s="492" t="b">
        <v>0</v>
      </c>
      <c r="K132" s="492">
        <v>80</v>
      </c>
      <c r="L132" s="492" t="s">
        <v>1341</v>
      </c>
      <c r="M132" s="492" t="s">
        <v>1296</v>
      </c>
      <c r="N132" s="492" t="s">
        <v>1</v>
      </c>
      <c r="O132" s="492">
        <v>80</v>
      </c>
      <c r="P132" s="492" t="s">
        <v>11</v>
      </c>
      <c r="Q132" s="492">
        <v>1</v>
      </c>
      <c r="R132" s="492"/>
      <c r="S132" s="492"/>
      <c r="T132" s="492"/>
      <c r="U132" s="492"/>
      <c r="V132" s="495">
        <v>45829</v>
      </c>
      <c r="W132" s="492"/>
      <c r="X132" s="492"/>
      <c r="Y132" s="492">
        <v>391189</v>
      </c>
      <c r="Z132" s="492">
        <v>8186489</v>
      </c>
      <c r="AA132" s="492">
        <v>10027.7979496098</v>
      </c>
      <c r="AB132" s="492">
        <v>11478.861382978001</v>
      </c>
      <c r="AC132" s="492">
        <v>6</v>
      </c>
      <c r="AD132" s="492">
        <v>23443</v>
      </c>
      <c r="AE132" s="492" t="s">
        <v>1297</v>
      </c>
      <c r="AF132" s="492" t="s">
        <v>1298</v>
      </c>
      <c r="AG132" s="492" t="s">
        <v>1299</v>
      </c>
      <c r="AH132" s="492" t="s">
        <v>1300</v>
      </c>
      <c r="AI132" s="492">
        <v>1</v>
      </c>
      <c r="AJ132" s="492" t="s">
        <v>1301</v>
      </c>
      <c r="AK132" s="492" t="s">
        <v>1302</v>
      </c>
      <c r="AL132" s="492"/>
      <c r="AM132" s="492"/>
      <c r="AN132" s="492"/>
      <c r="AO132" s="492"/>
      <c r="AP132" s="492"/>
      <c r="AQ132" s="492"/>
      <c r="AR132" s="492"/>
      <c r="AS132" s="492"/>
      <c r="AT132" s="492"/>
      <c r="AU132" s="492"/>
      <c r="AV132" s="492"/>
      <c r="AW132" s="492"/>
      <c r="AX132" s="492"/>
      <c r="AY132" s="492"/>
      <c r="AZ132" s="492"/>
      <c r="BA132" s="492"/>
      <c r="BB132" s="493">
        <v>32303</v>
      </c>
      <c r="BC132" s="494">
        <v>0.375</v>
      </c>
      <c r="BD132" s="493">
        <v>47989</v>
      </c>
      <c r="BE132" s="494">
        <v>0.99998842592592596</v>
      </c>
      <c r="BF132" s="493">
        <v>32639</v>
      </c>
      <c r="BG132" s="494">
        <v>0</v>
      </c>
      <c r="BH132" s="492" t="s">
        <v>1303</v>
      </c>
      <c r="BI132" s="492">
        <v>597.20000000000005</v>
      </c>
      <c r="BJ132" s="492" t="s">
        <v>1304</v>
      </c>
      <c r="BK132" s="492"/>
      <c r="BL132" s="493">
        <v>45551</v>
      </c>
      <c r="BM132" s="492" t="s">
        <v>1305</v>
      </c>
      <c r="BN132" s="492" t="s">
        <v>1301</v>
      </c>
      <c r="BO132" s="492">
        <v>0.16432140619605901</v>
      </c>
      <c r="BP132" s="492">
        <v>5.0513892581900005E-4</v>
      </c>
    </row>
    <row r="133" spans="1:68" ht="75">
      <c r="A133" s="492" t="s">
        <v>739</v>
      </c>
      <c r="B133" s="492">
        <v>391207</v>
      </c>
      <c r="C133" s="492">
        <v>8186315</v>
      </c>
      <c r="D133" s="492">
        <v>184</v>
      </c>
      <c r="E133" s="492">
        <v>289</v>
      </c>
      <c r="F133" s="492">
        <v>60</v>
      </c>
      <c r="G133" s="492" t="b">
        <v>0</v>
      </c>
      <c r="H133" s="492" t="b">
        <v>0</v>
      </c>
      <c r="I133" s="492">
        <v>10</v>
      </c>
      <c r="J133" s="492" t="b">
        <v>0</v>
      </c>
      <c r="K133" s="492">
        <v>160</v>
      </c>
      <c r="L133" s="492" t="s">
        <v>1013</v>
      </c>
      <c r="M133" s="492" t="s">
        <v>1296</v>
      </c>
      <c r="N133" s="492" t="s">
        <v>2</v>
      </c>
      <c r="O133" s="492">
        <v>160</v>
      </c>
      <c r="P133" s="492" t="s">
        <v>109</v>
      </c>
      <c r="Q133" s="492">
        <v>3</v>
      </c>
      <c r="R133" s="492"/>
      <c r="S133" s="492"/>
      <c r="T133" s="492"/>
      <c r="U133" s="492"/>
      <c r="V133" s="492"/>
      <c r="W133" s="492"/>
      <c r="X133" s="492"/>
      <c r="Y133" s="492">
        <v>391207</v>
      </c>
      <c r="Z133" s="492">
        <v>8186315</v>
      </c>
      <c r="AA133" s="492">
        <v>10101.179924136901</v>
      </c>
      <c r="AB133" s="492">
        <v>11320.0125449355</v>
      </c>
      <c r="AC133" s="492">
        <v>6</v>
      </c>
      <c r="AD133" s="492">
        <v>23443</v>
      </c>
      <c r="AE133" s="492" t="s">
        <v>1297</v>
      </c>
      <c r="AF133" s="492" t="s">
        <v>1298</v>
      </c>
      <c r="AG133" s="492" t="s">
        <v>1299</v>
      </c>
      <c r="AH133" s="492" t="s">
        <v>1300</v>
      </c>
      <c r="AI133" s="492">
        <v>1</v>
      </c>
      <c r="AJ133" s="492" t="s">
        <v>1301</v>
      </c>
      <c r="AK133" s="492" t="s">
        <v>1302</v>
      </c>
      <c r="AL133" s="492"/>
      <c r="AM133" s="492"/>
      <c r="AN133" s="492"/>
      <c r="AO133" s="492"/>
      <c r="AP133" s="492"/>
      <c r="AQ133" s="492"/>
      <c r="AR133" s="492"/>
      <c r="AS133" s="492"/>
      <c r="AT133" s="492"/>
      <c r="AU133" s="492"/>
      <c r="AV133" s="492"/>
      <c r="AW133" s="492"/>
      <c r="AX133" s="492"/>
      <c r="AY133" s="492"/>
      <c r="AZ133" s="492"/>
      <c r="BA133" s="492"/>
      <c r="BB133" s="493">
        <v>32303</v>
      </c>
      <c r="BC133" s="494">
        <v>0.375</v>
      </c>
      <c r="BD133" s="493">
        <v>47989</v>
      </c>
      <c r="BE133" s="494">
        <v>0.99998842592592596</v>
      </c>
      <c r="BF133" s="493">
        <v>32639</v>
      </c>
      <c r="BG133" s="494">
        <v>0</v>
      </c>
      <c r="BH133" s="492" t="s">
        <v>1303</v>
      </c>
      <c r="BI133" s="492">
        <v>597.20000000000005</v>
      </c>
      <c r="BJ133" s="492" t="s">
        <v>1304</v>
      </c>
      <c r="BK133" s="492"/>
      <c r="BL133" s="493">
        <v>45551</v>
      </c>
      <c r="BM133" s="492" t="s">
        <v>1305</v>
      </c>
      <c r="BN133" s="492" t="s">
        <v>1301</v>
      </c>
      <c r="BO133" s="492">
        <v>0.16432140619605901</v>
      </c>
      <c r="BP133" s="492">
        <v>5.0513892581900005E-4</v>
      </c>
    </row>
    <row r="134" spans="1:68" ht="75">
      <c r="A134" s="492" t="s">
        <v>836</v>
      </c>
      <c r="B134" s="492">
        <v>391225</v>
      </c>
      <c r="C134" s="492">
        <v>8186393</v>
      </c>
      <c r="D134" s="492">
        <v>186</v>
      </c>
      <c r="E134" s="492">
        <v>289</v>
      </c>
      <c r="F134" s="492">
        <v>60</v>
      </c>
      <c r="G134" s="492" t="b">
        <v>0</v>
      </c>
      <c r="H134" s="492" t="b">
        <v>0</v>
      </c>
      <c r="I134" s="492">
        <v>10</v>
      </c>
      <c r="J134" s="492" t="b">
        <v>0</v>
      </c>
      <c r="K134" s="492">
        <v>170</v>
      </c>
      <c r="L134" s="492" t="s">
        <v>1013</v>
      </c>
      <c r="M134" s="492" t="s">
        <v>1296</v>
      </c>
      <c r="N134" s="492" t="s">
        <v>2</v>
      </c>
      <c r="O134" s="492">
        <v>170</v>
      </c>
      <c r="P134" s="492" t="s">
        <v>109</v>
      </c>
      <c r="Q134" s="492">
        <v>3</v>
      </c>
      <c r="R134" s="492"/>
      <c r="S134" s="492"/>
      <c r="T134" s="492"/>
      <c r="U134" s="492"/>
      <c r="V134" s="492"/>
      <c r="W134" s="492" t="s">
        <v>1307</v>
      </c>
      <c r="X134" s="492"/>
      <c r="Y134" s="492">
        <v>391225</v>
      </c>
      <c r="Z134" s="492">
        <v>8186393</v>
      </c>
      <c r="AA134" s="492">
        <v>10092.9568499829</v>
      </c>
      <c r="AB134" s="492">
        <v>11399.662546334701</v>
      </c>
      <c r="AC134" s="492">
        <v>6</v>
      </c>
      <c r="AD134" s="492">
        <v>23443</v>
      </c>
      <c r="AE134" s="492" t="s">
        <v>1297</v>
      </c>
      <c r="AF134" s="492" t="s">
        <v>1298</v>
      </c>
      <c r="AG134" s="492" t="s">
        <v>1299</v>
      </c>
      <c r="AH134" s="492" t="s">
        <v>1300</v>
      </c>
      <c r="AI134" s="492">
        <v>1</v>
      </c>
      <c r="AJ134" s="492" t="s">
        <v>1301</v>
      </c>
      <c r="AK134" s="492" t="s">
        <v>1302</v>
      </c>
      <c r="AL134" s="492"/>
      <c r="AM134" s="492"/>
      <c r="AN134" s="492"/>
      <c r="AO134" s="492"/>
      <c r="AP134" s="492"/>
      <c r="AQ134" s="492"/>
      <c r="AR134" s="492"/>
      <c r="AS134" s="492"/>
      <c r="AT134" s="492"/>
      <c r="AU134" s="492"/>
      <c r="AV134" s="492"/>
      <c r="AW134" s="492"/>
      <c r="AX134" s="492"/>
      <c r="AY134" s="492"/>
      <c r="AZ134" s="492"/>
      <c r="BA134" s="492"/>
      <c r="BB134" s="493">
        <v>32303</v>
      </c>
      <c r="BC134" s="494">
        <v>0.375</v>
      </c>
      <c r="BD134" s="493">
        <v>47989</v>
      </c>
      <c r="BE134" s="494">
        <v>0.99998842592592596</v>
      </c>
      <c r="BF134" s="493">
        <v>32639</v>
      </c>
      <c r="BG134" s="494">
        <v>0</v>
      </c>
      <c r="BH134" s="492" t="s">
        <v>1303</v>
      </c>
      <c r="BI134" s="492">
        <v>597.20000000000005</v>
      </c>
      <c r="BJ134" s="492" t="s">
        <v>1304</v>
      </c>
      <c r="BK134" s="492"/>
      <c r="BL134" s="493">
        <v>45551</v>
      </c>
      <c r="BM134" s="492" t="s">
        <v>1305</v>
      </c>
      <c r="BN134" s="492" t="s">
        <v>1301</v>
      </c>
      <c r="BO134" s="492">
        <v>0.16432140619605901</v>
      </c>
      <c r="BP134" s="492">
        <v>5.0513892581900005E-4</v>
      </c>
    </row>
    <row r="135" spans="1:68" ht="75">
      <c r="A135" s="492" t="s">
        <v>757</v>
      </c>
      <c r="B135" s="492">
        <v>391144</v>
      </c>
      <c r="C135" s="492">
        <v>8186125</v>
      </c>
      <c r="D135" s="492">
        <v>184</v>
      </c>
      <c r="E135" s="492">
        <v>289</v>
      </c>
      <c r="F135" s="492">
        <v>60</v>
      </c>
      <c r="G135" s="492" t="b">
        <v>0</v>
      </c>
      <c r="H135" s="492" t="b">
        <v>0</v>
      </c>
      <c r="I135" s="492">
        <v>10</v>
      </c>
      <c r="J135" s="492" t="b">
        <v>0</v>
      </c>
      <c r="K135" s="492">
        <v>140</v>
      </c>
      <c r="L135" s="492" t="s">
        <v>1013</v>
      </c>
      <c r="M135" s="492" t="s">
        <v>1296</v>
      </c>
      <c r="N135" s="492" t="s">
        <v>2</v>
      </c>
      <c r="O135" s="492">
        <v>140</v>
      </c>
      <c r="P135" s="492" t="s">
        <v>109</v>
      </c>
      <c r="Q135" s="492">
        <v>3</v>
      </c>
      <c r="R135" s="492"/>
      <c r="S135" s="492"/>
      <c r="T135" s="492"/>
      <c r="U135" s="492"/>
      <c r="V135" s="495">
        <v>45878</v>
      </c>
      <c r="W135" s="492"/>
      <c r="X135" s="492"/>
      <c r="Y135" s="492">
        <v>391144</v>
      </c>
      <c r="Z135" s="492">
        <v>8186125</v>
      </c>
      <c r="AA135" s="492">
        <v>10103.082830338701</v>
      </c>
      <c r="AB135" s="492">
        <v>11119.7907292116</v>
      </c>
      <c r="AC135" s="492">
        <v>6</v>
      </c>
      <c r="AD135" s="492">
        <v>23443</v>
      </c>
      <c r="AE135" s="492" t="s">
        <v>1297</v>
      </c>
      <c r="AF135" s="492" t="s">
        <v>1298</v>
      </c>
      <c r="AG135" s="492" t="s">
        <v>1299</v>
      </c>
      <c r="AH135" s="492" t="s">
        <v>1300</v>
      </c>
      <c r="AI135" s="492">
        <v>1</v>
      </c>
      <c r="AJ135" s="492" t="s">
        <v>1301</v>
      </c>
      <c r="AK135" s="492" t="s">
        <v>1302</v>
      </c>
      <c r="AL135" s="492"/>
      <c r="AM135" s="492"/>
      <c r="AN135" s="492"/>
      <c r="AO135" s="492"/>
      <c r="AP135" s="492"/>
      <c r="AQ135" s="492"/>
      <c r="AR135" s="492"/>
      <c r="AS135" s="492"/>
      <c r="AT135" s="492"/>
      <c r="AU135" s="492"/>
      <c r="AV135" s="492"/>
      <c r="AW135" s="492"/>
      <c r="AX135" s="492"/>
      <c r="AY135" s="492"/>
      <c r="AZ135" s="492"/>
      <c r="BA135" s="492"/>
      <c r="BB135" s="493">
        <v>32303</v>
      </c>
      <c r="BC135" s="494">
        <v>0.375</v>
      </c>
      <c r="BD135" s="493">
        <v>47989</v>
      </c>
      <c r="BE135" s="494">
        <v>0.99998842592592596</v>
      </c>
      <c r="BF135" s="493">
        <v>32639</v>
      </c>
      <c r="BG135" s="494">
        <v>0</v>
      </c>
      <c r="BH135" s="492" t="s">
        <v>1303</v>
      </c>
      <c r="BI135" s="492">
        <v>597.20000000000005</v>
      </c>
      <c r="BJ135" s="492" t="s">
        <v>1304</v>
      </c>
      <c r="BK135" s="492"/>
      <c r="BL135" s="493">
        <v>45551</v>
      </c>
      <c r="BM135" s="492" t="s">
        <v>1305</v>
      </c>
      <c r="BN135" s="492" t="s">
        <v>1301</v>
      </c>
      <c r="BO135" s="492">
        <v>0.16432140619605901</v>
      </c>
      <c r="BP135" s="492">
        <v>5.0513892581900005E-4</v>
      </c>
    </row>
    <row r="136" spans="1:68" ht="75">
      <c r="A136" s="492" t="s">
        <v>752</v>
      </c>
      <c r="B136" s="492">
        <v>391148</v>
      </c>
      <c r="C136" s="492">
        <v>8186039</v>
      </c>
      <c r="D136" s="492">
        <v>181</v>
      </c>
      <c r="E136" s="492">
        <v>289</v>
      </c>
      <c r="F136" s="492">
        <v>60</v>
      </c>
      <c r="G136" s="492" t="b">
        <v>0</v>
      </c>
      <c r="H136" s="492" t="b">
        <v>0</v>
      </c>
      <c r="I136" s="492">
        <v>10</v>
      </c>
      <c r="J136" s="492" t="b">
        <v>0</v>
      </c>
      <c r="K136" s="492">
        <v>190</v>
      </c>
      <c r="L136" s="492" t="s">
        <v>1013</v>
      </c>
      <c r="M136" s="492" t="s">
        <v>1296</v>
      </c>
      <c r="N136" s="492" t="s">
        <v>2</v>
      </c>
      <c r="O136" s="492">
        <v>190</v>
      </c>
      <c r="P136" s="492" t="s">
        <v>109</v>
      </c>
      <c r="Q136" s="492">
        <v>3</v>
      </c>
      <c r="R136" s="492"/>
      <c r="S136" s="492"/>
      <c r="T136" s="492"/>
      <c r="U136" s="492"/>
      <c r="V136" s="495">
        <v>45878</v>
      </c>
      <c r="W136" s="492"/>
      <c r="X136" s="492"/>
      <c r="Y136" s="492">
        <v>391148</v>
      </c>
      <c r="Z136" s="492">
        <v>8186039</v>
      </c>
      <c r="AA136" s="492">
        <v>10134.7178682135</v>
      </c>
      <c r="AB136" s="492">
        <v>11039.693586364299</v>
      </c>
      <c r="AC136" s="492">
        <v>6</v>
      </c>
      <c r="AD136" s="492">
        <v>23443</v>
      </c>
      <c r="AE136" s="492" t="s">
        <v>1297</v>
      </c>
      <c r="AF136" s="492" t="s">
        <v>1298</v>
      </c>
      <c r="AG136" s="492" t="s">
        <v>1299</v>
      </c>
      <c r="AH136" s="492" t="s">
        <v>1300</v>
      </c>
      <c r="AI136" s="492">
        <v>1</v>
      </c>
      <c r="AJ136" s="492" t="s">
        <v>1301</v>
      </c>
      <c r="AK136" s="492" t="s">
        <v>1302</v>
      </c>
      <c r="AL136" s="492"/>
      <c r="AM136" s="492"/>
      <c r="AN136" s="492"/>
      <c r="AO136" s="492"/>
      <c r="AP136" s="492"/>
      <c r="AQ136" s="492"/>
      <c r="AR136" s="492"/>
      <c r="AS136" s="492"/>
      <c r="AT136" s="492"/>
      <c r="AU136" s="492"/>
      <c r="AV136" s="492"/>
      <c r="AW136" s="492"/>
      <c r="AX136" s="492"/>
      <c r="AY136" s="492"/>
      <c r="AZ136" s="492"/>
      <c r="BA136" s="492"/>
      <c r="BB136" s="493">
        <v>32303</v>
      </c>
      <c r="BC136" s="494">
        <v>0.375</v>
      </c>
      <c r="BD136" s="493">
        <v>47989</v>
      </c>
      <c r="BE136" s="494">
        <v>0.99998842592592596</v>
      </c>
      <c r="BF136" s="493">
        <v>32639</v>
      </c>
      <c r="BG136" s="494">
        <v>0</v>
      </c>
      <c r="BH136" s="492" t="s">
        <v>1303</v>
      </c>
      <c r="BI136" s="492">
        <v>597.20000000000005</v>
      </c>
      <c r="BJ136" s="492" t="s">
        <v>1304</v>
      </c>
      <c r="BK136" s="492"/>
      <c r="BL136" s="493">
        <v>45551</v>
      </c>
      <c r="BM136" s="492" t="s">
        <v>1305</v>
      </c>
      <c r="BN136" s="492" t="s">
        <v>1301</v>
      </c>
      <c r="BO136" s="492">
        <v>0.16432140619605901</v>
      </c>
      <c r="BP136" s="492">
        <v>5.0513892581900005E-4</v>
      </c>
    </row>
    <row r="137" spans="1:68" ht="75">
      <c r="A137" s="492" t="s">
        <v>1059</v>
      </c>
      <c r="B137" s="492">
        <v>391148</v>
      </c>
      <c r="C137" s="492">
        <v>8186166</v>
      </c>
      <c r="D137" s="492">
        <v>184</v>
      </c>
      <c r="E137" s="492">
        <v>289</v>
      </c>
      <c r="F137" s="492">
        <v>60</v>
      </c>
      <c r="G137" s="492" t="b">
        <v>0</v>
      </c>
      <c r="H137" s="492" t="b">
        <v>0</v>
      </c>
      <c r="I137" s="492">
        <v>10</v>
      </c>
      <c r="J137" s="492" t="b">
        <v>0</v>
      </c>
      <c r="K137" s="492">
        <v>150</v>
      </c>
      <c r="L137" s="492" t="s">
        <v>1013</v>
      </c>
      <c r="M137" s="492" t="s">
        <v>1308</v>
      </c>
      <c r="N137" s="492" t="s">
        <v>2</v>
      </c>
      <c r="O137" s="492">
        <v>150</v>
      </c>
      <c r="P137" s="492" t="s">
        <v>109</v>
      </c>
      <c r="Q137" s="492">
        <v>3</v>
      </c>
      <c r="R137" s="492"/>
      <c r="S137" s="492"/>
      <c r="T137" s="492"/>
      <c r="U137" s="492"/>
      <c r="V137" s="492"/>
      <c r="W137" s="492"/>
      <c r="X137" s="492"/>
      <c r="Y137" s="492">
        <v>391148</v>
      </c>
      <c r="Z137" s="492">
        <v>8186166</v>
      </c>
      <c r="AA137" s="492">
        <v>10093.5915143154</v>
      </c>
      <c r="AB137" s="492">
        <v>11159.889430053499</v>
      </c>
      <c r="AC137" s="492">
        <v>6</v>
      </c>
      <c r="AD137" s="492">
        <v>23443</v>
      </c>
      <c r="AE137" s="492" t="s">
        <v>1297</v>
      </c>
      <c r="AF137" s="492" t="s">
        <v>1298</v>
      </c>
      <c r="AG137" s="492" t="s">
        <v>1299</v>
      </c>
      <c r="AH137" s="492" t="s">
        <v>1300</v>
      </c>
      <c r="AI137" s="492">
        <v>1</v>
      </c>
      <c r="AJ137" s="492" t="s">
        <v>1301</v>
      </c>
      <c r="AK137" s="492" t="s">
        <v>1302</v>
      </c>
      <c r="AL137" s="492"/>
      <c r="AM137" s="492"/>
      <c r="AN137" s="492"/>
      <c r="AO137" s="492"/>
      <c r="AP137" s="492"/>
      <c r="AQ137" s="492"/>
      <c r="AR137" s="492"/>
      <c r="AS137" s="492"/>
      <c r="AT137" s="492"/>
      <c r="AU137" s="492"/>
      <c r="AV137" s="492"/>
      <c r="AW137" s="492"/>
      <c r="AX137" s="492"/>
      <c r="AY137" s="492"/>
      <c r="AZ137" s="492"/>
      <c r="BA137" s="492"/>
      <c r="BB137" s="493">
        <v>32303</v>
      </c>
      <c r="BC137" s="494">
        <v>0.375</v>
      </c>
      <c r="BD137" s="493">
        <v>47989</v>
      </c>
      <c r="BE137" s="494">
        <v>0.99998842592592596</v>
      </c>
      <c r="BF137" s="493">
        <v>32639</v>
      </c>
      <c r="BG137" s="494">
        <v>0</v>
      </c>
      <c r="BH137" s="492" t="s">
        <v>1303</v>
      </c>
      <c r="BI137" s="492">
        <v>597.20000000000005</v>
      </c>
      <c r="BJ137" s="492" t="s">
        <v>1304</v>
      </c>
      <c r="BK137" s="492"/>
      <c r="BL137" s="493">
        <v>45551</v>
      </c>
      <c r="BM137" s="492" t="s">
        <v>1305</v>
      </c>
      <c r="BN137" s="492" t="s">
        <v>1301</v>
      </c>
      <c r="BO137" s="492">
        <v>0.16432140619605901</v>
      </c>
      <c r="BP137" s="492">
        <v>5.0513892581900005E-4</v>
      </c>
    </row>
    <row r="138" spans="1:68" ht="75">
      <c r="A138" s="492" t="s">
        <v>1054</v>
      </c>
      <c r="B138" s="492">
        <v>391149</v>
      </c>
      <c r="C138" s="492">
        <v>8186250</v>
      </c>
      <c r="D138" s="492">
        <v>191</v>
      </c>
      <c r="E138" s="492">
        <v>289</v>
      </c>
      <c r="F138" s="492">
        <v>60</v>
      </c>
      <c r="G138" s="492" t="b">
        <v>0</v>
      </c>
      <c r="H138" s="492" t="b">
        <v>0</v>
      </c>
      <c r="I138" s="492">
        <v>10</v>
      </c>
      <c r="J138" s="492" t="b">
        <v>0</v>
      </c>
      <c r="K138" s="492">
        <v>110</v>
      </c>
      <c r="L138" s="492" t="s">
        <v>1013</v>
      </c>
      <c r="M138" s="492" t="s">
        <v>1308</v>
      </c>
      <c r="N138" s="492" t="s">
        <v>2</v>
      </c>
      <c r="O138" s="492">
        <v>110</v>
      </c>
      <c r="P138" s="492" t="s">
        <v>109</v>
      </c>
      <c r="Q138" s="492">
        <v>3</v>
      </c>
      <c r="R138" s="492"/>
      <c r="S138" s="492"/>
      <c r="T138" s="492"/>
      <c r="U138" s="492"/>
      <c r="V138" s="492"/>
      <c r="W138" s="492"/>
      <c r="X138" s="492"/>
      <c r="Y138" s="492">
        <v>391149</v>
      </c>
      <c r="Z138" s="492">
        <v>8186250</v>
      </c>
      <c r="AA138" s="492">
        <v>10067.3362553878</v>
      </c>
      <c r="AB138" s="492">
        <v>11239.712872759401</v>
      </c>
      <c r="AC138" s="492">
        <v>6</v>
      </c>
      <c r="AD138" s="492">
        <v>23443</v>
      </c>
      <c r="AE138" s="492" t="s">
        <v>1297</v>
      </c>
      <c r="AF138" s="492" t="s">
        <v>1298</v>
      </c>
      <c r="AG138" s="492" t="s">
        <v>1299</v>
      </c>
      <c r="AH138" s="492" t="s">
        <v>1300</v>
      </c>
      <c r="AI138" s="492">
        <v>1</v>
      </c>
      <c r="AJ138" s="492" t="s">
        <v>1301</v>
      </c>
      <c r="AK138" s="492" t="s">
        <v>1302</v>
      </c>
      <c r="AL138" s="492"/>
      <c r="AM138" s="492"/>
      <c r="AN138" s="492"/>
      <c r="AO138" s="492"/>
      <c r="AP138" s="492"/>
      <c r="AQ138" s="492"/>
      <c r="AR138" s="492"/>
      <c r="AS138" s="492"/>
      <c r="AT138" s="492"/>
      <c r="AU138" s="492"/>
      <c r="AV138" s="492"/>
      <c r="AW138" s="492"/>
      <c r="AX138" s="492"/>
      <c r="AY138" s="492"/>
      <c r="AZ138" s="492"/>
      <c r="BA138" s="492"/>
      <c r="BB138" s="493">
        <v>32303</v>
      </c>
      <c r="BC138" s="494">
        <v>0.375</v>
      </c>
      <c r="BD138" s="493">
        <v>47989</v>
      </c>
      <c r="BE138" s="494">
        <v>0.99998842592592596</v>
      </c>
      <c r="BF138" s="493">
        <v>32639</v>
      </c>
      <c r="BG138" s="494">
        <v>0</v>
      </c>
      <c r="BH138" s="492" t="s">
        <v>1303</v>
      </c>
      <c r="BI138" s="492">
        <v>597.20000000000005</v>
      </c>
      <c r="BJ138" s="492" t="s">
        <v>1304</v>
      </c>
      <c r="BK138" s="492"/>
      <c r="BL138" s="493">
        <v>45551</v>
      </c>
      <c r="BM138" s="492" t="s">
        <v>1305</v>
      </c>
      <c r="BN138" s="492" t="s">
        <v>1301</v>
      </c>
      <c r="BO138" s="492">
        <v>0.16432140619605901</v>
      </c>
      <c r="BP138" s="492">
        <v>5.0513892581900005E-4</v>
      </c>
    </row>
    <row r="139" spans="1:68" ht="75">
      <c r="A139" s="492" t="s">
        <v>1049</v>
      </c>
      <c r="B139" s="492">
        <v>391151</v>
      </c>
      <c r="C139" s="492">
        <v>8186334</v>
      </c>
      <c r="D139" s="492">
        <v>200</v>
      </c>
      <c r="E139" s="492">
        <v>289</v>
      </c>
      <c r="F139" s="492">
        <v>60</v>
      </c>
      <c r="G139" s="492" t="b">
        <v>0</v>
      </c>
      <c r="H139" s="492" t="b">
        <v>0</v>
      </c>
      <c r="I139" s="492">
        <v>10</v>
      </c>
      <c r="J139" s="492" t="b">
        <v>0</v>
      </c>
      <c r="K139" s="492">
        <v>80</v>
      </c>
      <c r="L139" s="492" t="s">
        <v>1013</v>
      </c>
      <c r="M139" s="492" t="s">
        <v>1308</v>
      </c>
      <c r="N139" s="492" t="s">
        <v>2</v>
      </c>
      <c r="O139" s="492">
        <v>80</v>
      </c>
      <c r="P139" s="492" t="s">
        <v>109</v>
      </c>
      <c r="Q139" s="492">
        <v>3</v>
      </c>
      <c r="R139" s="492"/>
      <c r="S139" s="492"/>
      <c r="T139" s="492"/>
      <c r="U139" s="492"/>
      <c r="V139" s="492"/>
      <c r="W139" s="492" t="s">
        <v>1342</v>
      </c>
      <c r="X139" s="492"/>
      <c r="Y139" s="492">
        <v>391151</v>
      </c>
      <c r="Z139" s="492">
        <v>8186334</v>
      </c>
      <c r="AA139" s="492">
        <v>10042.0274204257</v>
      </c>
      <c r="AB139" s="492">
        <v>11319.860145024</v>
      </c>
      <c r="AC139" s="492">
        <v>6</v>
      </c>
      <c r="AD139" s="492">
        <v>23443</v>
      </c>
      <c r="AE139" s="492" t="s">
        <v>1297</v>
      </c>
      <c r="AF139" s="492" t="s">
        <v>1298</v>
      </c>
      <c r="AG139" s="492" t="s">
        <v>1299</v>
      </c>
      <c r="AH139" s="492" t="s">
        <v>1300</v>
      </c>
      <c r="AI139" s="492">
        <v>1</v>
      </c>
      <c r="AJ139" s="492" t="s">
        <v>1301</v>
      </c>
      <c r="AK139" s="492" t="s">
        <v>1302</v>
      </c>
      <c r="AL139" s="492"/>
      <c r="AM139" s="492"/>
      <c r="AN139" s="492"/>
      <c r="AO139" s="492"/>
      <c r="AP139" s="492"/>
      <c r="AQ139" s="492"/>
      <c r="AR139" s="492"/>
      <c r="AS139" s="492"/>
      <c r="AT139" s="492"/>
      <c r="AU139" s="492"/>
      <c r="AV139" s="492"/>
      <c r="AW139" s="492"/>
      <c r="AX139" s="492"/>
      <c r="AY139" s="492"/>
      <c r="AZ139" s="492"/>
      <c r="BA139" s="492"/>
      <c r="BB139" s="493">
        <v>32303</v>
      </c>
      <c r="BC139" s="494">
        <v>0.375</v>
      </c>
      <c r="BD139" s="493">
        <v>47989</v>
      </c>
      <c r="BE139" s="494">
        <v>0.99998842592592596</v>
      </c>
      <c r="BF139" s="493">
        <v>32639</v>
      </c>
      <c r="BG139" s="494">
        <v>0</v>
      </c>
      <c r="BH139" s="492" t="s">
        <v>1303</v>
      </c>
      <c r="BI139" s="492">
        <v>597.20000000000005</v>
      </c>
      <c r="BJ139" s="492" t="s">
        <v>1304</v>
      </c>
      <c r="BK139" s="492"/>
      <c r="BL139" s="493">
        <v>45551</v>
      </c>
      <c r="BM139" s="492" t="s">
        <v>1305</v>
      </c>
      <c r="BN139" s="492" t="s">
        <v>1301</v>
      </c>
      <c r="BO139" s="492">
        <v>0.16432140619605901</v>
      </c>
      <c r="BP139" s="492">
        <v>5.0513892581900005E-4</v>
      </c>
    </row>
    <row r="140" spans="1:68" ht="75">
      <c r="A140" s="492" t="s">
        <v>750</v>
      </c>
      <c r="B140" s="492">
        <v>391167</v>
      </c>
      <c r="C140" s="492">
        <v>8186075</v>
      </c>
      <c r="D140" s="492">
        <v>180</v>
      </c>
      <c r="E140" s="492">
        <v>289</v>
      </c>
      <c r="F140" s="492">
        <v>60</v>
      </c>
      <c r="G140" s="492" t="b">
        <v>0</v>
      </c>
      <c r="H140" s="492" t="b">
        <v>0</v>
      </c>
      <c r="I140" s="492">
        <v>10</v>
      </c>
      <c r="J140" s="492" t="b">
        <v>0</v>
      </c>
      <c r="K140" s="492">
        <v>200</v>
      </c>
      <c r="L140" s="492" t="s">
        <v>1013</v>
      </c>
      <c r="M140" s="492" t="s">
        <v>1296</v>
      </c>
      <c r="N140" s="492" t="s">
        <v>2</v>
      </c>
      <c r="O140" s="492">
        <v>200</v>
      </c>
      <c r="P140" s="492" t="s">
        <v>109</v>
      </c>
      <c r="Q140" s="492">
        <v>3</v>
      </c>
      <c r="R140" s="492"/>
      <c r="S140" s="492"/>
      <c r="T140" s="492"/>
      <c r="U140" s="492"/>
      <c r="V140" s="495">
        <v>45878</v>
      </c>
      <c r="W140" s="492"/>
      <c r="X140" s="492"/>
      <c r="Y140" s="492">
        <v>391167</v>
      </c>
      <c r="Z140" s="492">
        <v>8186075</v>
      </c>
      <c r="AA140" s="492">
        <v>10141.0420594732</v>
      </c>
      <c r="AB140" s="492">
        <v>11079.917610751399</v>
      </c>
      <c r="AC140" s="492">
        <v>6</v>
      </c>
      <c r="AD140" s="492">
        <v>23443</v>
      </c>
      <c r="AE140" s="492" t="s">
        <v>1297</v>
      </c>
      <c r="AF140" s="492" t="s">
        <v>1298</v>
      </c>
      <c r="AG140" s="492" t="s">
        <v>1299</v>
      </c>
      <c r="AH140" s="492" t="s">
        <v>1300</v>
      </c>
      <c r="AI140" s="492">
        <v>1</v>
      </c>
      <c r="AJ140" s="492" t="s">
        <v>1301</v>
      </c>
      <c r="AK140" s="492" t="s">
        <v>1302</v>
      </c>
      <c r="AL140" s="492"/>
      <c r="AM140" s="492"/>
      <c r="AN140" s="492"/>
      <c r="AO140" s="492"/>
      <c r="AP140" s="492"/>
      <c r="AQ140" s="492"/>
      <c r="AR140" s="492"/>
      <c r="AS140" s="492"/>
      <c r="AT140" s="492"/>
      <c r="AU140" s="492"/>
      <c r="AV140" s="492"/>
      <c r="AW140" s="492"/>
      <c r="AX140" s="492"/>
      <c r="AY140" s="492"/>
      <c r="AZ140" s="492"/>
      <c r="BA140" s="492"/>
      <c r="BB140" s="493">
        <v>32303</v>
      </c>
      <c r="BC140" s="494">
        <v>0.375</v>
      </c>
      <c r="BD140" s="493">
        <v>47989</v>
      </c>
      <c r="BE140" s="494">
        <v>0.99998842592592596</v>
      </c>
      <c r="BF140" s="493">
        <v>32639</v>
      </c>
      <c r="BG140" s="494">
        <v>0</v>
      </c>
      <c r="BH140" s="492" t="s">
        <v>1303</v>
      </c>
      <c r="BI140" s="492">
        <v>597.20000000000005</v>
      </c>
      <c r="BJ140" s="492" t="s">
        <v>1304</v>
      </c>
      <c r="BK140" s="492"/>
      <c r="BL140" s="493">
        <v>45551</v>
      </c>
      <c r="BM140" s="492" t="s">
        <v>1305</v>
      </c>
      <c r="BN140" s="492" t="s">
        <v>1301</v>
      </c>
      <c r="BO140" s="492">
        <v>0.16432140619605901</v>
      </c>
      <c r="BP140" s="492">
        <v>5.0513892581900005E-4</v>
      </c>
    </row>
    <row r="141" spans="1:68" ht="75">
      <c r="A141" s="492" t="s">
        <v>1047</v>
      </c>
      <c r="B141" s="492">
        <v>391171</v>
      </c>
      <c r="C141" s="492">
        <v>8186369</v>
      </c>
      <c r="D141" s="492">
        <v>197</v>
      </c>
      <c r="E141" s="492">
        <v>289</v>
      </c>
      <c r="F141" s="492">
        <v>55</v>
      </c>
      <c r="G141" s="492" t="b">
        <v>0</v>
      </c>
      <c r="H141" s="492" t="b">
        <v>0</v>
      </c>
      <c r="I141" s="492">
        <v>10</v>
      </c>
      <c r="J141" s="492" t="b">
        <v>0</v>
      </c>
      <c r="K141" s="492">
        <v>80</v>
      </c>
      <c r="L141" s="492" t="s">
        <v>1013</v>
      </c>
      <c r="M141" s="492" t="s">
        <v>1308</v>
      </c>
      <c r="N141" s="492" t="s">
        <v>2</v>
      </c>
      <c r="O141" s="492">
        <v>80</v>
      </c>
      <c r="P141" s="492" t="s">
        <v>109</v>
      </c>
      <c r="Q141" s="492">
        <v>3</v>
      </c>
      <c r="R141" s="492"/>
      <c r="S141" s="492"/>
      <c r="T141" s="492"/>
      <c r="U141" s="492"/>
      <c r="V141" s="492"/>
      <c r="W141" s="492"/>
      <c r="X141" s="492"/>
      <c r="Y141" s="492">
        <v>391171</v>
      </c>
      <c r="Z141" s="492">
        <v>8186369</v>
      </c>
      <c r="AA141" s="492">
        <v>10049.6218652105</v>
      </c>
      <c r="AB141" s="492">
        <v>11359.461575003301</v>
      </c>
      <c r="AC141" s="492">
        <v>6</v>
      </c>
      <c r="AD141" s="492">
        <v>23443</v>
      </c>
      <c r="AE141" s="492" t="s">
        <v>1297</v>
      </c>
      <c r="AF141" s="492" t="s">
        <v>1298</v>
      </c>
      <c r="AG141" s="492" t="s">
        <v>1299</v>
      </c>
      <c r="AH141" s="492" t="s">
        <v>1300</v>
      </c>
      <c r="AI141" s="492">
        <v>1</v>
      </c>
      <c r="AJ141" s="492" t="s">
        <v>1301</v>
      </c>
      <c r="AK141" s="492" t="s">
        <v>1302</v>
      </c>
      <c r="AL141" s="492"/>
      <c r="AM141" s="492"/>
      <c r="AN141" s="492"/>
      <c r="AO141" s="492"/>
      <c r="AP141" s="492"/>
      <c r="AQ141" s="492"/>
      <c r="AR141" s="492"/>
      <c r="AS141" s="492"/>
      <c r="AT141" s="492"/>
      <c r="AU141" s="492"/>
      <c r="AV141" s="492"/>
      <c r="AW141" s="492"/>
      <c r="AX141" s="492"/>
      <c r="AY141" s="492"/>
      <c r="AZ141" s="492"/>
      <c r="BA141" s="492"/>
      <c r="BB141" s="493">
        <v>32303</v>
      </c>
      <c r="BC141" s="494">
        <v>0.375</v>
      </c>
      <c r="BD141" s="493">
        <v>47989</v>
      </c>
      <c r="BE141" s="494">
        <v>0.99998842592592596</v>
      </c>
      <c r="BF141" s="493">
        <v>32639</v>
      </c>
      <c r="BG141" s="494">
        <v>0</v>
      </c>
      <c r="BH141" s="492" t="s">
        <v>1303</v>
      </c>
      <c r="BI141" s="492">
        <v>597.20000000000005</v>
      </c>
      <c r="BJ141" s="492" t="s">
        <v>1304</v>
      </c>
      <c r="BK141" s="492"/>
      <c r="BL141" s="493">
        <v>45551</v>
      </c>
      <c r="BM141" s="492" t="s">
        <v>1305</v>
      </c>
      <c r="BN141" s="492" t="s">
        <v>1301</v>
      </c>
      <c r="BO141" s="492">
        <v>0.16432140619605901</v>
      </c>
      <c r="BP141" s="492">
        <v>5.0513892581900005E-4</v>
      </c>
    </row>
    <row r="142" spans="1:68" ht="75">
      <c r="A142" s="492" t="s">
        <v>749</v>
      </c>
      <c r="B142" s="492">
        <v>391173</v>
      </c>
      <c r="C142" s="492">
        <v>8186115</v>
      </c>
      <c r="D142" s="492">
        <v>181</v>
      </c>
      <c r="E142" s="492">
        <v>289</v>
      </c>
      <c r="F142" s="492">
        <v>60</v>
      </c>
      <c r="G142" s="492" t="b">
        <v>0</v>
      </c>
      <c r="H142" s="492" t="b">
        <v>0</v>
      </c>
      <c r="I142" s="492">
        <v>10</v>
      </c>
      <c r="J142" s="492" t="b">
        <v>0</v>
      </c>
      <c r="K142" s="492">
        <v>190</v>
      </c>
      <c r="L142" s="492" t="s">
        <v>1013</v>
      </c>
      <c r="M142" s="492" t="s">
        <v>1296</v>
      </c>
      <c r="N142" s="492" t="s">
        <v>2</v>
      </c>
      <c r="O142" s="492">
        <v>190</v>
      </c>
      <c r="P142" s="492" t="s">
        <v>109</v>
      </c>
      <c r="Q142" s="492">
        <v>3</v>
      </c>
      <c r="R142" s="492"/>
      <c r="S142" s="492"/>
      <c r="T142" s="492"/>
      <c r="U142" s="492"/>
      <c r="V142" s="495">
        <v>45878</v>
      </c>
      <c r="W142" s="492" t="s">
        <v>1307</v>
      </c>
      <c r="X142" s="492"/>
      <c r="Y142" s="492">
        <v>391173</v>
      </c>
      <c r="Z142" s="492">
        <v>8186115</v>
      </c>
      <c r="AA142" s="492">
        <v>10133.767420939599</v>
      </c>
      <c r="AB142" s="492">
        <v>11119.7175467424</v>
      </c>
      <c r="AC142" s="492">
        <v>6</v>
      </c>
      <c r="AD142" s="492">
        <v>23443</v>
      </c>
      <c r="AE142" s="492" t="s">
        <v>1297</v>
      </c>
      <c r="AF142" s="492" t="s">
        <v>1298</v>
      </c>
      <c r="AG142" s="492" t="s">
        <v>1299</v>
      </c>
      <c r="AH142" s="492" t="s">
        <v>1300</v>
      </c>
      <c r="AI142" s="492">
        <v>1</v>
      </c>
      <c r="AJ142" s="492" t="s">
        <v>1301</v>
      </c>
      <c r="AK142" s="492" t="s">
        <v>1302</v>
      </c>
      <c r="AL142" s="492"/>
      <c r="AM142" s="492"/>
      <c r="AN142" s="492"/>
      <c r="AO142" s="492"/>
      <c r="AP142" s="492"/>
      <c r="AQ142" s="492"/>
      <c r="AR142" s="492"/>
      <c r="AS142" s="492"/>
      <c r="AT142" s="492"/>
      <c r="AU142" s="492"/>
      <c r="AV142" s="492"/>
      <c r="AW142" s="492"/>
      <c r="AX142" s="492"/>
      <c r="AY142" s="492"/>
      <c r="AZ142" s="492"/>
      <c r="BA142" s="492"/>
      <c r="BB142" s="493">
        <v>32303</v>
      </c>
      <c r="BC142" s="494">
        <v>0.375</v>
      </c>
      <c r="BD142" s="493">
        <v>47989</v>
      </c>
      <c r="BE142" s="494">
        <v>0.99998842592592596</v>
      </c>
      <c r="BF142" s="493">
        <v>32639</v>
      </c>
      <c r="BG142" s="494">
        <v>0</v>
      </c>
      <c r="BH142" s="492" t="s">
        <v>1303</v>
      </c>
      <c r="BI142" s="492">
        <v>597.20000000000005</v>
      </c>
      <c r="BJ142" s="492" t="s">
        <v>1304</v>
      </c>
      <c r="BK142" s="492"/>
      <c r="BL142" s="493">
        <v>45551</v>
      </c>
      <c r="BM142" s="492" t="s">
        <v>1305</v>
      </c>
      <c r="BN142" s="492" t="s">
        <v>1301</v>
      </c>
      <c r="BO142" s="492">
        <v>0.16432140619605901</v>
      </c>
      <c r="BP142" s="492">
        <v>5.0513892581900005E-4</v>
      </c>
    </row>
    <row r="143" spans="1:68" ht="75">
      <c r="A143" s="492" t="s">
        <v>1152</v>
      </c>
      <c r="B143" s="492">
        <v>390714</v>
      </c>
      <c r="C143" s="492">
        <v>8184102</v>
      </c>
      <c r="D143" s="492">
        <v>170</v>
      </c>
      <c r="E143" s="492">
        <v>300</v>
      </c>
      <c r="F143" s="492">
        <v>55</v>
      </c>
      <c r="G143" s="492" t="b">
        <v>0</v>
      </c>
      <c r="H143" s="492" t="b">
        <v>0</v>
      </c>
      <c r="I143" s="492">
        <v>10</v>
      </c>
      <c r="J143" s="492" t="b">
        <v>0</v>
      </c>
      <c r="K143" s="492">
        <v>90</v>
      </c>
      <c r="L143" s="492" t="s">
        <v>94</v>
      </c>
      <c r="M143" s="492" t="s">
        <v>1308</v>
      </c>
      <c r="N143" s="492" t="s">
        <v>2</v>
      </c>
      <c r="O143" s="492">
        <v>90</v>
      </c>
      <c r="P143" s="492" t="s">
        <v>112</v>
      </c>
      <c r="Q143" s="492">
        <v>3</v>
      </c>
      <c r="R143" s="492"/>
      <c r="S143" s="492"/>
      <c r="T143" s="492"/>
      <c r="U143" s="492"/>
      <c r="V143" s="492"/>
      <c r="W143" s="492"/>
      <c r="X143" s="492"/>
      <c r="Y143" s="492">
        <v>390714</v>
      </c>
      <c r="Z143" s="492">
        <v>8184102</v>
      </c>
      <c r="AA143" s="492">
        <v>10351.227721315799</v>
      </c>
      <c r="AB143" s="492">
        <v>9065.9283358184603</v>
      </c>
      <c r="AC143" s="492">
        <v>7</v>
      </c>
      <c r="AD143" s="492">
        <v>23444</v>
      </c>
      <c r="AE143" s="492" t="s">
        <v>1343</v>
      </c>
      <c r="AF143" s="492" t="s">
        <v>1298</v>
      </c>
      <c r="AG143" s="492" t="s">
        <v>1299</v>
      </c>
      <c r="AH143" s="492" t="s">
        <v>1300</v>
      </c>
      <c r="AI143" s="492">
        <v>1</v>
      </c>
      <c r="AJ143" s="492" t="s">
        <v>1301</v>
      </c>
      <c r="AK143" s="492" t="s">
        <v>1302</v>
      </c>
      <c r="AL143" s="492"/>
      <c r="AM143" s="492"/>
      <c r="AN143" s="492"/>
      <c r="AO143" s="492"/>
      <c r="AP143" s="492"/>
      <c r="AQ143" s="492"/>
      <c r="AR143" s="492"/>
      <c r="AS143" s="492"/>
      <c r="AT143" s="492"/>
      <c r="AU143" s="492"/>
      <c r="AV143" s="492"/>
      <c r="AW143" s="492"/>
      <c r="AX143" s="492"/>
      <c r="AY143" s="492"/>
      <c r="AZ143" s="492"/>
      <c r="BA143" s="492"/>
      <c r="BB143" s="493">
        <v>32303</v>
      </c>
      <c r="BC143" s="494">
        <v>0.4375</v>
      </c>
      <c r="BD143" s="493">
        <v>47989</v>
      </c>
      <c r="BE143" s="494">
        <v>0.99998842592592596</v>
      </c>
      <c r="BF143" s="493">
        <v>32639</v>
      </c>
      <c r="BG143" s="494">
        <v>0</v>
      </c>
      <c r="BH143" s="492" t="s">
        <v>1344</v>
      </c>
      <c r="BI143" s="492">
        <v>749</v>
      </c>
      <c r="BJ143" s="492" t="s">
        <v>1304</v>
      </c>
      <c r="BK143" s="492"/>
      <c r="BL143" s="493">
        <v>45551</v>
      </c>
      <c r="BM143" s="492" t="s">
        <v>1305</v>
      </c>
      <c r="BN143" s="492" t="s">
        <v>1301</v>
      </c>
      <c r="BO143" s="492">
        <v>0.15434059947487599</v>
      </c>
      <c r="BP143" s="492">
        <v>6.3356001313399999E-4</v>
      </c>
    </row>
    <row r="144" spans="1:68" ht="225">
      <c r="A144" s="492" t="s">
        <v>1109</v>
      </c>
      <c r="B144" s="492">
        <v>390514</v>
      </c>
      <c r="C144" s="492">
        <v>8184734</v>
      </c>
      <c r="D144" s="492">
        <v>193</v>
      </c>
      <c r="E144" s="492">
        <v>109</v>
      </c>
      <c r="F144" s="492">
        <v>60</v>
      </c>
      <c r="G144" s="492" t="b">
        <v>0</v>
      </c>
      <c r="H144" s="492" t="b">
        <v>0</v>
      </c>
      <c r="I144" s="492">
        <v>10</v>
      </c>
      <c r="J144" s="492" t="b">
        <v>0</v>
      </c>
      <c r="K144" s="492">
        <v>140</v>
      </c>
      <c r="L144" s="492" t="s">
        <v>1013</v>
      </c>
      <c r="M144" s="492" t="s">
        <v>1312</v>
      </c>
      <c r="N144" s="492" t="s">
        <v>2</v>
      </c>
      <c r="O144" s="492">
        <v>140</v>
      </c>
      <c r="P144" s="492" t="s">
        <v>109</v>
      </c>
      <c r="Q144" s="492">
        <v>3</v>
      </c>
      <c r="R144" s="492" t="b">
        <v>1</v>
      </c>
      <c r="S144" s="492" t="b">
        <v>1</v>
      </c>
      <c r="T144" s="492" t="s">
        <v>1345</v>
      </c>
      <c r="U144" s="492"/>
      <c r="V144" s="492"/>
      <c r="W144" s="492"/>
      <c r="X144" s="492"/>
      <c r="Y144" s="492">
        <v>390494.51487839501</v>
      </c>
      <c r="Z144" s="492">
        <v>8184733.7032722598</v>
      </c>
      <c r="AA144" s="492">
        <v>9938.93755038175</v>
      </c>
      <c r="AB144" s="492">
        <v>9592.71168212872</v>
      </c>
      <c r="AC144" s="492">
        <v>7</v>
      </c>
      <c r="AD144" s="492">
        <v>23444</v>
      </c>
      <c r="AE144" s="492" t="s">
        <v>1343</v>
      </c>
      <c r="AF144" s="492" t="s">
        <v>1298</v>
      </c>
      <c r="AG144" s="492" t="s">
        <v>1299</v>
      </c>
      <c r="AH144" s="492" t="s">
        <v>1300</v>
      </c>
      <c r="AI144" s="492">
        <v>1</v>
      </c>
      <c r="AJ144" s="492" t="s">
        <v>1301</v>
      </c>
      <c r="AK144" s="492" t="s">
        <v>1302</v>
      </c>
      <c r="AL144" s="492"/>
      <c r="AM144" s="492"/>
      <c r="AN144" s="492"/>
      <c r="AO144" s="492"/>
      <c r="AP144" s="492"/>
      <c r="AQ144" s="492"/>
      <c r="AR144" s="492"/>
      <c r="AS144" s="492"/>
      <c r="AT144" s="492"/>
      <c r="AU144" s="492"/>
      <c r="AV144" s="492"/>
      <c r="AW144" s="492"/>
      <c r="AX144" s="492"/>
      <c r="AY144" s="492"/>
      <c r="AZ144" s="492"/>
      <c r="BA144" s="492"/>
      <c r="BB144" s="493">
        <v>32303</v>
      </c>
      <c r="BC144" s="494">
        <v>0.4375</v>
      </c>
      <c r="BD144" s="493">
        <v>47989</v>
      </c>
      <c r="BE144" s="494">
        <v>0.99998842592592596</v>
      </c>
      <c r="BF144" s="493">
        <v>32639</v>
      </c>
      <c r="BG144" s="494">
        <v>0</v>
      </c>
      <c r="BH144" s="492" t="s">
        <v>1344</v>
      </c>
      <c r="BI144" s="492">
        <v>749</v>
      </c>
      <c r="BJ144" s="492" t="s">
        <v>1304</v>
      </c>
      <c r="BK144" s="492"/>
      <c r="BL144" s="493">
        <v>45551</v>
      </c>
      <c r="BM144" s="492" t="s">
        <v>1305</v>
      </c>
      <c r="BN144" s="492" t="s">
        <v>1301</v>
      </c>
      <c r="BO144" s="492">
        <v>0.15434059947487599</v>
      </c>
      <c r="BP144" s="492">
        <v>6.3356001313399999E-4</v>
      </c>
    </row>
    <row r="145" spans="1:68" ht="75">
      <c r="A145" s="492" t="s">
        <v>1108</v>
      </c>
      <c r="B145" s="492">
        <v>390660</v>
      </c>
      <c r="C145" s="492">
        <v>8184769</v>
      </c>
      <c r="D145" s="492">
        <v>210</v>
      </c>
      <c r="E145" s="492">
        <v>109</v>
      </c>
      <c r="F145" s="492">
        <v>55</v>
      </c>
      <c r="G145" s="492" t="b">
        <v>0</v>
      </c>
      <c r="H145" s="492" t="b">
        <v>0</v>
      </c>
      <c r="I145" s="492">
        <v>10</v>
      </c>
      <c r="J145" s="492" t="b">
        <v>0</v>
      </c>
      <c r="K145" s="492">
        <v>90</v>
      </c>
      <c r="L145" s="492" t="s">
        <v>1013</v>
      </c>
      <c r="M145" s="492" t="s">
        <v>1312</v>
      </c>
      <c r="N145" s="492" t="s">
        <v>2</v>
      </c>
      <c r="O145" s="492">
        <v>90</v>
      </c>
      <c r="P145" s="492" t="s">
        <v>109</v>
      </c>
      <c r="Q145" s="492">
        <v>3</v>
      </c>
      <c r="R145" s="492" t="b">
        <v>1</v>
      </c>
      <c r="S145" s="492" t="b">
        <v>1</v>
      </c>
      <c r="T145" s="492" t="s">
        <v>1346</v>
      </c>
      <c r="U145" s="492"/>
      <c r="V145" s="492"/>
      <c r="W145" s="492"/>
      <c r="X145" s="492"/>
      <c r="Y145" s="492">
        <v>390661.38827304699</v>
      </c>
      <c r="Z145" s="492">
        <v>8184773.2378861401</v>
      </c>
      <c r="AA145" s="492">
        <v>10084.068053839201</v>
      </c>
      <c r="AB145" s="492">
        <v>9684.1667258888392</v>
      </c>
      <c r="AC145" s="492">
        <v>7</v>
      </c>
      <c r="AD145" s="492">
        <v>23444</v>
      </c>
      <c r="AE145" s="492" t="s">
        <v>1343</v>
      </c>
      <c r="AF145" s="492" t="s">
        <v>1298</v>
      </c>
      <c r="AG145" s="492" t="s">
        <v>1299</v>
      </c>
      <c r="AH145" s="492" t="s">
        <v>1300</v>
      </c>
      <c r="AI145" s="492">
        <v>1</v>
      </c>
      <c r="AJ145" s="492" t="s">
        <v>1301</v>
      </c>
      <c r="AK145" s="492" t="s">
        <v>1302</v>
      </c>
      <c r="AL145" s="492"/>
      <c r="AM145" s="492"/>
      <c r="AN145" s="492"/>
      <c r="AO145" s="492"/>
      <c r="AP145" s="492"/>
      <c r="AQ145" s="492"/>
      <c r="AR145" s="492"/>
      <c r="AS145" s="492"/>
      <c r="AT145" s="492"/>
      <c r="AU145" s="492"/>
      <c r="AV145" s="492"/>
      <c r="AW145" s="492"/>
      <c r="AX145" s="492"/>
      <c r="AY145" s="492"/>
      <c r="AZ145" s="492"/>
      <c r="BA145" s="492"/>
      <c r="BB145" s="493">
        <v>32303</v>
      </c>
      <c r="BC145" s="494">
        <v>0.4375</v>
      </c>
      <c r="BD145" s="493">
        <v>47989</v>
      </c>
      <c r="BE145" s="494">
        <v>0.99998842592592596</v>
      </c>
      <c r="BF145" s="493">
        <v>32639</v>
      </c>
      <c r="BG145" s="494">
        <v>0</v>
      </c>
      <c r="BH145" s="492" t="s">
        <v>1344</v>
      </c>
      <c r="BI145" s="492">
        <v>749</v>
      </c>
      <c r="BJ145" s="492" t="s">
        <v>1304</v>
      </c>
      <c r="BK145" s="492"/>
      <c r="BL145" s="493">
        <v>45551</v>
      </c>
      <c r="BM145" s="492" t="s">
        <v>1305</v>
      </c>
      <c r="BN145" s="492" t="s">
        <v>1301</v>
      </c>
      <c r="BO145" s="492">
        <v>0.15434059947487599</v>
      </c>
      <c r="BP145" s="492">
        <v>6.3356001313399999E-4</v>
      </c>
    </row>
    <row r="146" spans="1:68" ht="75">
      <c r="A146" s="492" t="s">
        <v>1106</v>
      </c>
      <c r="B146" s="492">
        <v>390609</v>
      </c>
      <c r="C146" s="492">
        <v>8184787</v>
      </c>
      <c r="D146" s="492">
        <v>200</v>
      </c>
      <c r="E146" s="492">
        <v>289</v>
      </c>
      <c r="F146" s="492">
        <v>55</v>
      </c>
      <c r="G146" s="492" t="b">
        <v>0</v>
      </c>
      <c r="H146" s="492" t="b">
        <v>0</v>
      </c>
      <c r="I146" s="492">
        <v>10</v>
      </c>
      <c r="J146" s="492" t="b">
        <v>0</v>
      </c>
      <c r="K146" s="492">
        <v>90</v>
      </c>
      <c r="L146" s="492" t="s">
        <v>1013</v>
      </c>
      <c r="M146" s="492" t="s">
        <v>1312</v>
      </c>
      <c r="N146" s="492" t="s">
        <v>2</v>
      </c>
      <c r="O146" s="492">
        <v>90</v>
      </c>
      <c r="P146" s="492" t="s">
        <v>109</v>
      </c>
      <c r="Q146" s="492">
        <v>3</v>
      </c>
      <c r="R146" s="492"/>
      <c r="S146" s="492"/>
      <c r="T146" s="492"/>
      <c r="U146" s="492"/>
      <c r="V146" s="492"/>
      <c r="W146" s="492"/>
      <c r="X146" s="492"/>
      <c r="Y146" s="492">
        <v>390609</v>
      </c>
      <c r="Z146" s="492">
        <v>8184787</v>
      </c>
      <c r="AA146" s="492">
        <v>10030.029957430401</v>
      </c>
      <c r="AB146" s="492">
        <v>9680.2266489388403</v>
      </c>
      <c r="AC146" s="492">
        <v>7</v>
      </c>
      <c r="AD146" s="492">
        <v>23444</v>
      </c>
      <c r="AE146" s="492" t="s">
        <v>1343</v>
      </c>
      <c r="AF146" s="492" t="s">
        <v>1298</v>
      </c>
      <c r="AG146" s="492" t="s">
        <v>1299</v>
      </c>
      <c r="AH146" s="492" t="s">
        <v>1300</v>
      </c>
      <c r="AI146" s="492">
        <v>1</v>
      </c>
      <c r="AJ146" s="492" t="s">
        <v>1301</v>
      </c>
      <c r="AK146" s="492" t="s">
        <v>1302</v>
      </c>
      <c r="AL146" s="492"/>
      <c r="AM146" s="492"/>
      <c r="AN146" s="492"/>
      <c r="AO146" s="492"/>
      <c r="AP146" s="492"/>
      <c r="AQ146" s="492"/>
      <c r="AR146" s="492"/>
      <c r="AS146" s="492"/>
      <c r="AT146" s="492"/>
      <c r="AU146" s="492"/>
      <c r="AV146" s="492"/>
      <c r="AW146" s="492"/>
      <c r="AX146" s="492"/>
      <c r="AY146" s="492"/>
      <c r="AZ146" s="492"/>
      <c r="BA146" s="492"/>
      <c r="BB146" s="493">
        <v>32303</v>
      </c>
      <c r="BC146" s="494">
        <v>0.4375</v>
      </c>
      <c r="BD146" s="493">
        <v>47989</v>
      </c>
      <c r="BE146" s="494">
        <v>0.99998842592592596</v>
      </c>
      <c r="BF146" s="493">
        <v>32639</v>
      </c>
      <c r="BG146" s="494">
        <v>0</v>
      </c>
      <c r="BH146" s="492" t="s">
        <v>1344</v>
      </c>
      <c r="BI146" s="492">
        <v>749</v>
      </c>
      <c r="BJ146" s="492" t="s">
        <v>1304</v>
      </c>
      <c r="BK146" s="492"/>
      <c r="BL146" s="493">
        <v>45551</v>
      </c>
      <c r="BM146" s="492" t="s">
        <v>1305</v>
      </c>
      <c r="BN146" s="492" t="s">
        <v>1301</v>
      </c>
      <c r="BO146" s="492">
        <v>0.15434059947487599</v>
      </c>
      <c r="BP146" s="492">
        <v>6.3356001313399999E-4</v>
      </c>
    </row>
    <row r="147" spans="1:68" ht="315">
      <c r="A147" s="492" t="s">
        <v>1107</v>
      </c>
      <c r="B147" s="492">
        <v>390528</v>
      </c>
      <c r="C147" s="492">
        <v>8184772</v>
      </c>
      <c r="D147" s="492">
        <v>190</v>
      </c>
      <c r="E147" s="492">
        <v>109</v>
      </c>
      <c r="F147" s="492">
        <v>55</v>
      </c>
      <c r="G147" s="492" t="b">
        <v>0</v>
      </c>
      <c r="H147" s="492" t="b">
        <v>0</v>
      </c>
      <c r="I147" s="492">
        <v>10</v>
      </c>
      <c r="J147" s="492" t="b">
        <v>0</v>
      </c>
      <c r="K147" s="492">
        <v>110</v>
      </c>
      <c r="L147" s="492" t="s">
        <v>1013</v>
      </c>
      <c r="M147" s="492" t="s">
        <v>1312</v>
      </c>
      <c r="N147" s="492" t="s">
        <v>2</v>
      </c>
      <c r="O147" s="492">
        <v>110</v>
      </c>
      <c r="P147" s="492" t="s">
        <v>109</v>
      </c>
      <c r="Q147" s="492">
        <v>3</v>
      </c>
      <c r="R147" s="492" t="b">
        <v>1</v>
      </c>
      <c r="S147" s="492" t="b">
        <v>1</v>
      </c>
      <c r="T147" s="492" t="s">
        <v>1347</v>
      </c>
      <c r="U147" s="492"/>
      <c r="V147" s="492"/>
      <c r="W147" s="492" t="s">
        <v>1342</v>
      </c>
      <c r="X147" s="492"/>
      <c r="Y147" s="492">
        <v>390522.32920318801</v>
      </c>
      <c r="Z147" s="492">
        <v>8184788.1112172902</v>
      </c>
      <c r="AA147" s="492">
        <v>9947.6427931590006</v>
      </c>
      <c r="AB147" s="492">
        <v>9653.21176576986</v>
      </c>
      <c r="AC147" s="492">
        <v>7</v>
      </c>
      <c r="AD147" s="492">
        <v>23444</v>
      </c>
      <c r="AE147" s="492" t="s">
        <v>1343</v>
      </c>
      <c r="AF147" s="492" t="s">
        <v>1298</v>
      </c>
      <c r="AG147" s="492" t="s">
        <v>1299</v>
      </c>
      <c r="AH147" s="492" t="s">
        <v>1300</v>
      </c>
      <c r="AI147" s="492">
        <v>1</v>
      </c>
      <c r="AJ147" s="492" t="s">
        <v>1301</v>
      </c>
      <c r="AK147" s="492" t="s">
        <v>1302</v>
      </c>
      <c r="AL147" s="492"/>
      <c r="AM147" s="492"/>
      <c r="AN147" s="492"/>
      <c r="AO147" s="492"/>
      <c r="AP147" s="492"/>
      <c r="AQ147" s="492"/>
      <c r="AR147" s="492"/>
      <c r="AS147" s="492"/>
      <c r="AT147" s="492"/>
      <c r="AU147" s="492"/>
      <c r="AV147" s="492"/>
      <c r="AW147" s="492"/>
      <c r="AX147" s="492"/>
      <c r="AY147" s="492"/>
      <c r="AZ147" s="492"/>
      <c r="BA147" s="492"/>
      <c r="BB147" s="493">
        <v>32303</v>
      </c>
      <c r="BC147" s="494">
        <v>0.4375</v>
      </c>
      <c r="BD147" s="493">
        <v>47989</v>
      </c>
      <c r="BE147" s="494">
        <v>0.99998842592592596</v>
      </c>
      <c r="BF147" s="493">
        <v>32639</v>
      </c>
      <c r="BG147" s="494">
        <v>0</v>
      </c>
      <c r="BH147" s="492" t="s">
        <v>1344</v>
      </c>
      <c r="BI147" s="492">
        <v>749</v>
      </c>
      <c r="BJ147" s="492" t="s">
        <v>1304</v>
      </c>
      <c r="BK147" s="492"/>
      <c r="BL147" s="493">
        <v>45551</v>
      </c>
      <c r="BM147" s="492" t="s">
        <v>1305</v>
      </c>
      <c r="BN147" s="492" t="s">
        <v>1301</v>
      </c>
      <c r="BO147" s="492">
        <v>0.15434059947487599</v>
      </c>
      <c r="BP147" s="492">
        <v>6.3356001313399999E-4</v>
      </c>
    </row>
    <row r="148" spans="1:68" ht="75">
      <c r="A148" s="492" t="s">
        <v>1105</v>
      </c>
      <c r="B148" s="492">
        <v>390593</v>
      </c>
      <c r="C148" s="492">
        <v>8184856</v>
      </c>
      <c r="D148" s="492">
        <v>201</v>
      </c>
      <c r="E148" s="492">
        <v>289</v>
      </c>
      <c r="F148" s="492">
        <v>50</v>
      </c>
      <c r="G148" s="492" t="b">
        <v>0</v>
      </c>
      <c r="H148" s="492" t="b">
        <v>0</v>
      </c>
      <c r="I148" s="492">
        <v>10</v>
      </c>
      <c r="J148" s="492" t="b">
        <v>0</v>
      </c>
      <c r="K148" s="492">
        <v>40</v>
      </c>
      <c r="L148" s="492" t="s">
        <v>1013</v>
      </c>
      <c r="M148" s="492" t="s">
        <v>1308</v>
      </c>
      <c r="N148" s="492" t="s">
        <v>2</v>
      </c>
      <c r="O148" s="492">
        <v>30</v>
      </c>
      <c r="P148" s="492" t="s">
        <v>109</v>
      </c>
      <c r="Q148" s="492">
        <v>3</v>
      </c>
      <c r="R148" s="492" t="b">
        <v>1</v>
      </c>
      <c r="S148" s="492" t="b">
        <v>1</v>
      </c>
      <c r="T148" s="492"/>
      <c r="U148" s="492"/>
      <c r="V148" s="492"/>
      <c r="W148" s="492"/>
      <c r="X148" s="492"/>
      <c r="Y148" s="492">
        <v>390598.89801897202</v>
      </c>
      <c r="Z148" s="492">
        <v>8184853.17480464</v>
      </c>
      <c r="AA148" s="492">
        <v>9999.0398427248001</v>
      </c>
      <c r="AB148" s="492">
        <v>9739.5847499454394</v>
      </c>
      <c r="AC148" s="492">
        <v>7</v>
      </c>
      <c r="AD148" s="492">
        <v>23444</v>
      </c>
      <c r="AE148" s="492" t="s">
        <v>1343</v>
      </c>
      <c r="AF148" s="492" t="s">
        <v>1298</v>
      </c>
      <c r="AG148" s="492" t="s">
        <v>1299</v>
      </c>
      <c r="AH148" s="492" t="s">
        <v>1300</v>
      </c>
      <c r="AI148" s="492">
        <v>1</v>
      </c>
      <c r="AJ148" s="492" t="s">
        <v>1301</v>
      </c>
      <c r="AK148" s="492" t="s">
        <v>1302</v>
      </c>
      <c r="AL148" s="492"/>
      <c r="AM148" s="492"/>
      <c r="AN148" s="492"/>
      <c r="AO148" s="492"/>
      <c r="AP148" s="492"/>
      <c r="AQ148" s="492"/>
      <c r="AR148" s="492"/>
      <c r="AS148" s="492"/>
      <c r="AT148" s="492"/>
      <c r="AU148" s="492"/>
      <c r="AV148" s="492"/>
      <c r="AW148" s="492"/>
      <c r="AX148" s="492"/>
      <c r="AY148" s="492"/>
      <c r="AZ148" s="492"/>
      <c r="BA148" s="492"/>
      <c r="BB148" s="493">
        <v>32303</v>
      </c>
      <c r="BC148" s="494">
        <v>0.4375</v>
      </c>
      <c r="BD148" s="493">
        <v>47989</v>
      </c>
      <c r="BE148" s="494">
        <v>0.99998842592592596</v>
      </c>
      <c r="BF148" s="493">
        <v>32639</v>
      </c>
      <c r="BG148" s="494">
        <v>0</v>
      </c>
      <c r="BH148" s="492" t="s">
        <v>1344</v>
      </c>
      <c r="BI148" s="492">
        <v>749</v>
      </c>
      <c r="BJ148" s="492" t="s">
        <v>1304</v>
      </c>
      <c r="BK148" s="492"/>
      <c r="BL148" s="493">
        <v>45551</v>
      </c>
      <c r="BM148" s="492" t="s">
        <v>1305</v>
      </c>
      <c r="BN148" s="492" t="s">
        <v>1301</v>
      </c>
      <c r="BO148" s="492">
        <v>0.15434059947487599</v>
      </c>
      <c r="BP148" s="492">
        <v>6.3356001313399999E-4</v>
      </c>
    </row>
    <row r="149" spans="1:68" ht="105">
      <c r="A149" s="492" t="s">
        <v>1104</v>
      </c>
      <c r="B149" s="492">
        <v>390623</v>
      </c>
      <c r="C149" s="492">
        <v>8184867</v>
      </c>
      <c r="D149" s="492">
        <v>194</v>
      </c>
      <c r="E149" s="492">
        <v>289</v>
      </c>
      <c r="F149" s="492">
        <v>55</v>
      </c>
      <c r="G149" s="492" t="b">
        <v>0</v>
      </c>
      <c r="H149" s="492" t="b">
        <v>0</v>
      </c>
      <c r="I149" s="492">
        <v>10</v>
      </c>
      <c r="J149" s="492" t="b">
        <v>0</v>
      </c>
      <c r="K149" s="492">
        <v>70</v>
      </c>
      <c r="L149" s="492" t="s">
        <v>1013</v>
      </c>
      <c r="M149" s="492" t="s">
        <v>1312</v>
      </c>
      <c r="N149" s="492" t="s">
        <v>2</v>
      </c>
      <c r="O149" s="492">
        <v>70</v>
      </c>
      <c r="P149" s="492" t="s">
        <v>109</v>
      </c>
      <c r="Q149" s="492">
        <v>3</v>
      </c>
      <c r="R149" s="492" t="b">
        <v>1</v>
      </c>
      <c r="S149" s="492" t="b">
        <v>1</v>
      </c>
      <c r="T149" s="492" t="s">
        <v>1348</v>
      </c>
      <c r="U149" s="492"/>
      <c r="V149" s="492"/>
      <c r="W149" s="492" t="s">
        <v>1307</v>
      </c>
      <c r="X149" s="492"/>
      <c r="Y149" s="492">
        <v>390624.670467277</v>
      </c>
      <c r="Z149" s="492">
        <v>8184871.2201278498</v>
      </c>
      <c r="AA149" s="492">
        <v>10017.587896418199</v>
      </c>
      <c r="AB149" s="492">
        <v>9765.0091568659991</v>
      </c>
      <c r="AC149" s="492">
        <v>7</v>
      </c>
      <c r="AD149" s="492">
        <v>23444</v>
      </c>
      <c r="AE149" s="492" t="s">
        <v>1343</v>
      </c>
      <c r="AF149" s="492" t="s">
        <v>1298</v>
      </c>
      <c r="AG149" s="492" t="s">
        <v>1299</v>
      </c>
      <c r="AH149" s="492" t="s">
        <v>1300</v>
      </c>
      <c r="AI149" s="492">
        <v>1</v>
      </c>
      <c r="AJ149" s="492" t="s">
        <v>1301</v>
      </c>
      <c r="AK149" s="492" t="s">
        <v>1302</v>
      </c>
      <c r="AL149" s="492"/>
      <c r="AM149" s="492"/>
      <c r="AN149" s="492"/>
      <c r="AO149" s="492"/>
      <c r="AP149" s="492"/>
      <c r="AQ149" s="492"/>
      <c r="AR149" s="492"/>
      <c r="AS149" s="492"/>
      <c r="AT149" s="492"/>
      <c r="AU149" s="492"/>
      <c r="AV149" s="492"/>
      <c r="AW149" s="492"/>
      <c r="AX149" s="492"/>
      <c r="AY149" s="492"/>
      <c r="AZ149" s="492"/>
      <c r="BA149" s="492"/>
      <c r="BB149" s="493">
        <v>32303</v>
      </c>
      <c r="BC149" s="494">
        <v>0.4375</v>
      </c>
      <c r="BD149" s="493">
        <v>47989</v>
      </c>
      <c r="BE149" s="494">
        <v>0.99998842592592596</v>
      </c>
      <c r="BF149" s="493">
        <v>32639</v>
      </c>
      <c r="BG149" s="494">
        <v>0</v>
      </c>
      <c r="BH149" s="492" t="s">
        <v>1344</v>
      </c>
      <c r="BI149" s="492">
        <v>749</v>
      </c>
      <c r="BJ149" s="492" t="s">
        <v>1304</v>
      </c>
      <c r="BK149" s="492"/>
      <c r="BL149" s="493">
        <v>45551</v>
      </c>
      <c r="BM149" s="492" t="s">
        <v>1305</v>
      </c>
      <c r="BN149" s="492" t="s">
        <v>1301</v>
      </c>
      <c r="BO149" s="492">
        <v>0.15434059947487599</v>
      </c>
      <c r="BP149" s="492">
        <v>6.3356001313399999E-4</v>
      </c>
    </row>
    <row r="150" spans="1:68" ht="75">
      <c r="A150" s="492" t="s">
        <v>1103</v>
      </c>
      <c r="B150" s="492">
        <v>390709</v>
      </c>
      <c r="C150" s="492">
        <v>8184879</v>
      </c>
      <c r="D150" s="492">
        <v>203</v>
      </c>
      <c r="E150" s="492">
        <v>109</v>
      </c>
      <c r="F150" s="492">
        <v>55</v>
      </c>
      <c r="G150" s="492" t="b">
        <v>0</v>
      </c>
      <c r="H150" s="492" t="b">
        <v>0</v>
      </c>
      <c r="I150" s="492">
        <v>10</v>
      </c>
      <c r="J150" s="492" t="b">
        <v>0</v>
      </c>
      <c r="K150" s="492">
        <v>120</v>
      </c>
      <c r="L150" s="492" t="s">
        <v>1013</v>
      </c>
      <c r="M150" s="492" t="s">
        <v>1349</v>
      </c>
      <c r="N150" s="492" t="s">
        <v>2</v>
      </c>
      <c r="O150" s="492">
        <v>120</v>
      </c>
      <c r="P150" s="492" t="s">
        <v>109</v>
      </c>
      <c r="Q150" s="492">
        <v>3</v>
      </c>
      <c r="R150" s="492"/>
      <c r="S150" s="492"/>
      <c r="T150" s="492"/>
      <c r="U150" s="492"/>
      <c r="V150" s="492"/>
      <c r="W150" s="492"/>
      <c r="X150" s="492"/>
      <c r="Y150" s="492">
        <v>390709</v>
      </c>
      <c r="Z150" s="492">
        <v>8184879</v>
      </c>
      <c r="AA150" s="492">
        <v>10094.8800346842</v>
      </c>
      <c r="AB150" s="492">
        <v>9799.68060964904</v>
      </c>
      <c r="AC150" s="492">
        <v>7</v>
      </c>
      <c r="AD150" s="492">
        <v>23444</v>
      </c>
      <c r="AE150" s="492" t="s">
        <v>1343</v>
      </c>
      <c r="AF150" s="492" t="s">
        <v>1298</v>
      </c>
      <c r="AG150" s="492" t="s">
        <v>1299</v>
      </c>
      <c r="AH150" s="492" t="s">
        <v>1300</v>
      </c>
      <c r="AI150" s="492">
        <v>1</v>
      </c>
      <c r="AJ150" s="492" t="s">
        <v>1301</v>
      </c>
      <c r="AK150" s="492" t="s">
        <v>1302</v>
      </c>
      <c r="AL150" s="492"/>
      <c r="AM150" s="492"/>
      <c r="AN150" s="492"/>
      <c r="AO150" s="492"/>
      <c r="AP150" s="492"/>
      <c r="AQ150" s="492"/>
      <c r="AR150" s="492"/>
      <c r="AS150" s="492"/>
      <c r="AT150" s="492"/>
      <c r="AU150" s="492"/>
      <c r="AV150" s="492"/>
      <c r="AW150" s="492"/>
      <c r="AX150" s="492"/>
      <c r="AY150" s="492"/>
      <c r="AZ150" s="492"/>
      <c r="BA150" s="492"/>
      <c r="BB150" s="493">
        <v>32303</v>
      </c>
      <c r="BC150" s="494">
        <v>0.4375</v>
      </c>
      <c r="BD150" s="493">
        <v>47989</v>
      </c>
      <c r="BE150" s="494">
        <v>0.99998842592592596</v>
      </c>
      <c r="BF150" s="493">
        <v>32639</v>
      </c>
      <c r="BG150" s="494">
        <v>0</v>
      </c>
      <c r="BH150" s="492" t="s">
        <v>1344</v>
      </c>
      <c r="BI150" s="492">
        <v>749</v>
      </c>
      <c r="BJ150" s="492" t="s">
        <v>1304</v>
      </c>
      <c r="BK150" s="492"/>
      <c r="BL150" s="493">
        <v>45551</v>
      </c>
      <c r="BM150" s="492" t="s">
        <v>1305</v>
      </c>
      <c r="BN150" s="492" t="s">
        <v>1301</v>
      </c>
      <c r="BO150" s="492">
        <v>0.15434059947487599</v>
      </c>
      <c r="BP150" s="492">
        <v>6.3356001313399999E-4</v>
      </c>
    </row>
    <row r="151" spans="1:68" ht="75">
      <c r="A151" s="492" t="s">
        <v>1160</v>
      </c>
      <c r="B151" s="492">
        <v>389328</v>
      </c>
      <c r="C151" s="492">
        <v>8181835</v>
      </c>
      <c r="D151" s="492">
        <v>170</v>
      </c>
      <c r="E151" s="492">
        <v>120</v>
      </c>
      <c r="F151" s="492">
        <v>55</v>
      </c>
      <c r="G151" s="492" t="b">
        <v>0</v>
      </c>
      <c r="H151" s="492" t="b">
        <v>0</v>
      </c>
      <c r="I151" s="492">
        <v>10</v>
      </c>
      <c r="J151" s="492" t="b">
        <v>0</v>
      </c>
      <c r="K151" s="492">
        <v>90</v>
      </c>
      <c r="L151" s="492" t="s">
        <v>94</v>
      </c>
      <c r="M151" s="492" t="s">
        <v>1308</v>
      </c>
      <c r="N151" s="492" t="s">
        <v>2</v>
      </c>
      <c r="O151" s="492">
        <v>90</v>
      </c>
      <c r="P151" s="492" t="s">
        <v>112</v>
      </c>
      <c r="Q151" s="492">
        <v>3</v>
      </c>
      <c r="R151" s="492"/>
      <c r="S151" s="492"/>
      <c r="T151" s="492"/>
      <c r="U151" s="492"/>
      <c r="V151" s="492"/>
      <c r="W151" s="492"/>
      <c r="X151" s="492"/>
      <c r="Y151" s="492">
        <v>389328</v>
      </c>
      <c r="Z151" s="492">
        <v>8181835</v>
      </c>
      <c r="AA151" s="492">
        <v>9773.6057130047102</v>
      </c>
      <c r="AB151" s="492">
        <v>6471.5574368685402</v>
      </c>
      <c r="AC151" s="492">
        <v>7</v>
      </c>
      <c r="AD151" s="492">
        <v>23444</v>
      </c>
      <c r="AE151" s="492" t="s">
        <v>1343</v>
      </c>
      <c r="AF151" s="492" t="s">
        <v>1298</v>
      </c>
      <c r="AG151" s="492" t="s">
        <v>1299</v>
      </c>
      <c r="AH151" s="492" t="s">
        <v>1300</v>
      </c>
      <c r="AI151" s="492">
        <v>1</v>
      </c>
      <c r="AJ151" s="492" t="s">
        <v>1301</v>
      </c>
      <c r="AK151" s="492" t="s">
        <v>1302</v>
      </c>
      <c r="AL151" s="492"/>
      <c r="AM151" s="492"/>
      <c r="AN151" s="492"/>
      <c r="AO151" s="492"/>
      <c r="AP151" s="492"/>
      <c r="AQ151" s="492"/>
      <c r="AR151" s="492"/>
      <c r="AS151" s="492"/>
      <c r="AT151" s="492"/>
      <c r="AU151" s="492"/>
      <c r="AV151" s="492"/>
      <c r="AW151" s="492"/>
      <c r="AX151" s="492"/>
      <c r="AY151" s="492"/>
      <c r="AZ151" s="492"/>
      <c r="BA151" s="492"/>
      <c r="BB151" s="493">
        <v>32303</v>
      </c>
      <c r="BC151" s="494">
        <v>0.4375</v>
      </c>
      <c r="BD151" s="493">
        <v>47989</v>
      </c>
      <c r="BE151" s="494">
        <v>0.99998842592592596</v>
      </c>
      <c r="BF151" s="493">
        <v>32639</v>
      </c>
      <c r="BG151" s="494">
        <v>0</v>
      </c>
      <c r="BH151" s="492" t="s">
        <v>1344</v>
      </c>
      <c r="BI151" s="492">
        <v>749</v>
      </c>
      <c r="BJ151" s="492" t="s">
        <v>1304</v>
      </c>
      <c r="BK151" s="492"/>
      <c r="BL151" s="493">
        <v>45551</v>
      </c>
      <c r="BM151" s="492" t="s">
        <v>1305</v>
      </c>
      <c r="BN151" s="492" t="s">
        <v>1301</v>
      </c>
      <c r="BO151" s="492">
        <v>0.15434059947487599</v>
      </c>
      <c r="BP151" s="492">
        <v>6.3356001313399999E-4</v>
      </c>
    </row>
    <row r="152" spans="1:68" ht="75">
      <c r="A152" s="492" t="s">
        <v>1159</v>
      </c>
      <c r="B152" s="492">
        <v>389703</v>
      </c>
      <c r="C152" s="492">
        <v>8182355</v>
      </c>
      <c r="D152" s="492">
        <v>170</v>
      </c>
      <c r="E152" s="492">
        <v>120</v>
      </c>
      <c r="F152" s="492">
        <v>55</v>
      </c>
      <c r="G152" s="492" t="b">
        <v>0</v>
      </c>
      <c r="H152" s="492" t="b">
        <v>0</v>
      </c>
      <c r="I152" s="492">
        <v>10</v>
      </c>
      <c r="J152" s="492" t="b">
        <v>0</v>
      </c>
      <c r="K152" s="492">
        <v>90</v>
      </c>
      <c r="L152" s="492" t="s">
        <v>94</v>
      </c>
      <c r="M152" s="492" t="s">
        <v>1308</v>
      </c>
      <c r="N152" s="492" t="s">
        <v>2</v>
      </c>
      <c r="O152" s="492">
        <v>90</v>
      </c>
      <c r="P152" s="492" t="s">
        <v>112</v>
      </c>
      <c r="Q152" s="492">
        <v>3</v>
      </c>
      <c r="R152" s="492"/>
      <c r="S152" s="492"/>
      <c r="T152" s="492"/>
      <c r="U152" s="492"/>
      <c r="V152" s="492"/>
      <c r="W152" s="492"/>
      <c r="X152" s="492"/>
      <c r="Y152" s="492">
        <v>389703</v>
      </c>
      <c r="Z152" s="492">
        <v>8182355</v>
      </c>
      <c r="AA152" s="492">
        <v>9960.1233299616706</v>
      </c>
      <c r="AB152" s="492">
        <v>7085.1339836195102</v>
      </c>
      <c r="AC152" s="492">
        <v>7</v>
      </c>
      <c r="AD152" s="492">
        <v>23444</v>
      </c>
      <c r="AE152" s="492" t="s">
        <v>1343</v>
      </c>
      <c r="AF152" s="492" t="s">
        <v>1298</v>
      </c>
      <c r="AG152" s="492" t="s">
        <v>1299</v>
      </c>
      <c r="AH152" s="492" t="s">
        <v>1300</v>
      </c>
      <c r="AI152" s="492">
        <v>1</v>
      </c>
      <c r="AJ152" s="492" t="s">
        <v>1301</v>
      </c>
      <c r="AK152" s="492" t="s">
        <v>1302</v>
      </c>
      <c r="AL152" s="492"/>
      <c r="AM152" s="492"/>
      <c r="AN152" s="492"/>
      <c r="AO152" s="492"/>
      <c r="AP152" s="492"/>
      <c r="AQ152" s="492"/>
      <c r="AR152" s="492"/>
      <c r="AS152" s="492"/>
      <c r="AT152" s="492"/>
      <c r="AU152" s="492"/>
      <c r="AV152" s="492"/>
      <c r="AW152" s="492"/>
      <c r="AX152" s="492"/>
      <c r="AY152" s="492"/>
      <c r="AZ152" s="492"/>
      <c r="BA152" s="492"/>
      <c r="BB152" s="493">
        <v>32303</v>
      </c>
      <c r="BC152" s="494">
        <v>0.4375</v>
      </c>
      <c r="BD152" s="493">
        <v>47989</v>
      </c>
      <c r="BE152" s="494">
        <v>0.99998842592592596</v>
      </c>
      <c r="BF152" s="493">
        <v>32639</v>
      </c>
      <c r="BG152" s="494">
        <v>0</v>
      </c>
      <c r="BH152" s="492" t="s">
        <v>1344</v>
      </c>
      <c r="BI152" s="492">
        <v>749</v>
      </c>
      <c r="BJ152" s="492" t="s">
        <v>1304</v>
      </c>
      <c r="BK152" s="492"/>
      <c r="BL152" s="493">
        <v>45551</v>
      </c>
      <c r="BM152" s="492" t="s">
        <v>1305</v>
      </c>
      <c r="BN152" s="492" t="s">
        <v>1301</v>
      </c>
      <c r="BO152" s="492">
        <v>0.15434059947487599</v>
      </c>
      <c r="BP152" s="492">
        <v>6.3356001313399999E-4</v>
      </c>
    </row>
    <row r="153" spans="1:68" ht="75">
      <c r="A153" s="492" t="s">
        <v>1158</v>
      </c>
      <c r="B153" s="492">
        <v>390243</v>
      </c>
      <c r="C153" s="492">
        <v>8182798</v>
      </c>
      <c r="D153" s="492">
        <v>170</v>
      </c>
      <c r="E153" s="492">
        <v>300</v>
      </c>
      <c r="F153" s="492">
        <v>55</v>
      </c>
      <c r="G153" s="492" t="b">
        <v>0</v>
      </c>
      <c r="H153" s="492" t="b">
        <v>0</v>
      </c>
      <c r="I153" s="492">
        <v>10</v>
      </c>
      <c r="J153" s="492" t="b">
        <v>0</v>
      </c>
      <c r="K153" s="492">
        <v>90</v>
      </c>
      <c r="L153" s="492" t="s">
        <v>94</v>
      </c>
      <c r="M153" s="492" t="s">
        <v>1308</v>
      </c>
      <c r="N153" s="492" t="s">
        <v>2</v>
      </c>
      <c r="O153" s="492">
        <v>90</v>
      </c>
      <c r="P153" s="492" t="s">
        <v>112</v>
      </c>
      <c r="Q153" s="492">
        <v>3</v>
      </c>
      <c r="R153" s="492"/>
      <c r="S153" s="492"/>
      <c r="T153" s="492"/>
      <c r="U153" s="492"/>
      <c r="V153" s="492"/>
      <c r="W153" s="492"/>
      <c r="X153" s="492"/>
      <c r="Y153" s="492">
        <v>390243</v>
      </c>
      <c r="Z153" s="492">
        <v>8182798</v>
      </c>
      <c r="AA153" s="492">
        <v>10327.7357773268</v>
      </c>
      <c r="AB153" s="492">
        <v>7679.2677621086996</v>
      </c>
      <c r="AC153" s="492">
        <v>7</v>
      </c>
      <c r="AD153" s="492">
        <v>23444</v>
      </c>
      <c r="AE153" s="492" t="s">
        <v>1343</v>
      </c>
      <c r="AF153" s="492" t="s">
        <v>1298</v>
      </c>
      <c r="AG153" s="492" t="s">
        <v>1299</v>
      </c>
      <c r="AH153" s="492" t="s">
        <v>1300</v>
      </c>
      <c r="AI153" s="492">
        <v>1</v>
      </c>
      <c r="AJ153" s="492" t="s">
        <v>1301</v>
      </c>
      <c r="AK153" s="492" t="s">
        <v>1302</v>
      </c>
      <c r="AL153" s="492"/>
      <c r="AM153" s="492"/>
      <c r="AN153" s="492"/>
      <c r="AO153" s="492"/>
      <c r="AP153" s="492"/>
      <c r="AQ153" s="492"/>
      <c r="AR153" s="492"/>
      <c r="AS153" s="492"/>
      <c r="AT153" s="492"/>
      <c r="AU153" s="492"/>
      <c r="AV153" s="492"/>
      <c r="AW153" s="492"/>
      <c r="AX153" s="492"/>
      <c r="AY153" s="492"/>
      <c r="AZ153" s="492"/>
      <c r="BA153" s="492"/>
      <c r="BB153" s="493">
        <v>32303</v>
      </c>
      <c r="BC153" s="494">
        <v>0.4375</v>
      </c>
      <c r="BD153" s="493">
        <v>47989</v>
      </c>
      <c r="BE153" s="494">
        <v>0.99998842592592596</v>
      </c>
      <c r="BF153" s="493">
        <v>32639</v>
      </c>
      <c r="BG153" s="494">
        <v>0</v>
      </c>
      <c r="BH153" s="492" t="s">
        <v>1344</v>
      </c>
      <c r="BI153" s="492">
        <v>749</v>
      </c>
      <c r="BJ153" s="492" t="s">
        <v>1304</v>
      </c>
      <c r="BK153" s="492"/>
      <c r="BL153" s="493">
        <v>45551</v>
      </c>
      <c r="BM153" s="492" t="s">
        <v>1305</v>
      </c>
      <c r="BN153" s="492" t="s">
        <v>1301</v>
      </c>
      <c r="BO153" s="492">
        <v>0.15434059947487599</v>
      </c>
      <c r="BP153" s="492">
        <v>6.3356001313399999E-4</v>
      </c>
    </row>
    <row r="154" spans="1:68" ht="75">
      <c r="A154" s="492" t="s">
        <v>1157</v>
      </c>
      <c r="B154" s="492">
        <v>390090</v>
      </c>
      <c r="C154" s="492">
        <v>8183198</v>
      </c>
      <c r="D154" s="492">
        <v>170</v>
      </c>
      <c r="E154" s="492">
        <v>120</v>
      </c>
      <c r="F154" s="492">
        <v>55</v>
      </c>
      <c r="G154" s="492" t="b">
        <v>0</v>
      </c>
      <c r="H154" s="492" t="b">
        <v>0</v>
      </c>
      <c r="I154" s="492">
        <v>10</v>
      </c>
      <c r="J154" s="492" t="b">
        <v>0</v>
      </c>
      <c r="K154" s="492">
        <v>90</v>
      </c>
      <c r="L154" s="492" t="s">
        <v>94</v>
      </c>
      <c r="M154" s="492" t="s">
        <v>1308</v>
      </c>
      <c r="N154" s="492" t="s">
        <v>2</v>
      </c>
      <c r="O154" s="492">
        <v>90</v>
      </c>
      <c r="P154" s="492" t="s">
        <v>112</v>
      </c>
      <c r="Q154" s="492">
        <v>3</v>
      </c>
      <c r="R154" s="492"/>
      <c r="S154" s="492"/>
      <c r="T154" s="492"/>
      <c r="U154" s="492"/>
      <c r="V154" s="492"/>
      <c r="W154" s="492"/>
      <c r="X154" s="492"/>
      <c r="Y154" s="492">
        <v>390090</v>
      </c>
      <c r="Z154" s="492">
        <v>8183198</v>
      </c>
      <c r="AA154" s="492">
        <v>10053.401087169501</v>
      </c>
      <c r="AB154" s="492">
        <v>8008.2914260970401</v>
      </c>
      <c r="AC154" s="492">
        <v>7</v>
      </c>
      <c r="AD154" s="492">
        <v>23444</v>
      </c>
      <c r="AE154" s="492" t="s">
        <v>1343</v>
      </c>
      <c r="AF154" s="492" t="s">
        <v>1298</v>
      </c>
      <c r="AG154" s="492" t="s">
        <v>1299</v>
      </c>
      <c r="AH154" s="492" t="s">
        <v>1300</v>
      </c>
      <c r="AI154" s="492">
        <v>1</v>
      </c>
      <c r="AJ154" s="492" t="s">
        <v>1301</v>
      </c>
      <c r="AK154" s="492" t="s">
        <v>1302</v>
      </c>
      <c r="AL154" s="492"/>
      <c r="AM154" s="492"/>
      <c r="AN154" s="492"/>
      <c r="AO154" s="492"/>
      <c r="AP154" s="492"/>
      <c r="AQ154" s="492"/>
      <c r="AR154" s="492"/>
      <c r="AS154" s="492"/>
      <c r="AT154" s="492"/>
      <c r="AU154" s="492"/>
      <c r="AV154" s="492"/>
      <c r="AW154" s="492"/>
      <c r="AX154" s="492"/>
      <c r="AY154" s="492"/>
      <c r="AZ154" s="492"/>
      <c r="BA154" s="492"/>
      <c r="BB154" s="493">
        <v>32303</v>
      </c>
      <c r="BC154" s="494">
        <v>0.4375</v>
      </c>
      <c r="BD154" s="493">
        <v>47989</v>
      </c>
      <c r="BE154" s="494">
        <v>0.99998842592592596</v>
      </c>
      <c r="BF154" s="493">
        <v>32639</v>
      </c>
      <c r="BG154" s="494">
        <v>0</v>
      </c>
      <c r="BH154" s="492" t="s">
        <v>1344</v>
      </c>
      <c r="BI154" s="492">
        <v>749</v>
      </c>
      <c r="BJ154" s="492" t="s">
        <v>1304</v>
      </c>
      <c r="BK154" s="492"/>
      <c r="BL154" s="493">
        <v>45551</v>
      </c>
      <c r="BM154" s="492" t="s">
        <v>1305</v>
      </c>
      <c r="BN154" s="492" t="s">
        <v>1301</v>
      </c>
      <c r="BO154" s="492">
        <v>0.15434059947487599</v>
      </c>
      <c r="BP154" s="492">
        <v>6.3356001313399999E-4</v>
      </c>
    </row>
    <row r="155" spans="1:68" ht="75">
      <c r="A155" s="492" t="s">
        <v>1156</v>
      </c>
      <c r="B155" s="492">
        <v>390577</v>
      </c>
      <c r="C155" s="492">
        <v>8183308</v>
      </c>
      <c r="D155" s="492">
        <v>170</v>
      </c>
      <c r="E155" s="492">
        <v>300</v>
      </c>
      <c r="F155" s="492">
        <v>55</v>
      </c>
      <c r="G155" s="492" t="b">
        <v>0</v>
      </c>
      <c r="H155" s="492" t="b">
        <v>0</v>
      </c>
      <c r="I155" s="492">
        <v>10</v>
      </c>
      <c r="J155" s="492" t="b">
        <v>0</v>
      </c>
      <c r="K155" s="492">
        <v>90</v>
      </c>
      <c r="L155" s="492" t="s">
        <v>94</v>
      </c>
      <c r="M155" s="492" t="s">
        <v>1308</v>
      </c>
      <c r="N155" s="492" t="s">
        <v>2</v>
      </c>
      <c r="O155" s="492">
        <v>90</v>
      </c>
      <c r="P155" s="492" t="s">
        <v>112</v>
      </c>
      <c r="Q155" s="492">
        <v>3</v>
      </c>
      <c r="R155" s="492"/>
      <c r="S155" s="492"/>
      <c r="T155" s="492"/>
      <c r="U155" s="492"/>
      <c r="V155" s="492"/>
      <c r="W155" s="492"/>
      <c r="X155" s="492"/>
      <c r="Y155" s="492">
        <v>390577</v>
      </c>
      <c r="Z155" s="492">
        <v>8183308</v>
      </c>
      <c r="AA155" s="492">
        <v>10478.6883072643</v>
      </c>
      <c r="AB155" s="492">
        <v>8270.1030572867003</v>
      </c>
      <c r="AC155" s="492">
        <v>7</v>
      </c>
      <c r="AD155" s="492">
        <v>23444</v>
      </c>
      <c r="AE155" s="492" t="s">
        <v>1343</v>
      </c>
      <c r="AF155" s="492" t="s">
        <v>1298</v>
      </c>
      <c r="AG155" s="492" t="s">
        <v>1299</v>
      </c>
      <c r="AH155" s="492" t="s">
        <v>1300</v>
      </c>
      <c r="AI155" s="492">
        <v>1</v>
      </c>
      <c r="AJ155" s="492" t="s">
        <v>1301</v>
      </c>
      <c r="AK155" s="492" t="s">
        <v>1302</v>
      </c>
      <c r="AL155" s="492"/>
      <c r="AM155" s="492"/>
      <c r="AN155" s="492"/>
      <c r="AO155" s="492"/>
      <c r="AP155" s="492"/>
      <c r="AQ155" s="492"/>
      <c r="AR155" s="492"/>
      <c r="AS155" s="492"/>
      <c r="AT155" s="492"/>
      <c r="AU155" s="492"/>
      <c r="AV155" s="492"/>
      <c r="AW155" s="492"/>
      <c r="AX155" s="492"/>
      <c r="AY155" s="492"/>
      <c r="AZ155" s="492"/>
      <c r="BA155" s="492"/>
      <c r="BB155" s="493">
        <v>32303</v>
      </c>
      <c r="BC155" s="494">
        <v>0.4375</v>
      </c>
      <c r="BD155" s="493">
        <v>47989</v>
      </c>
      <c r="BE155" s="494">
        <v>0.99998842592592596</v>
      </c>
      <c r="BF155" s="493">
        <v>32639</v>
      </c>
      <c r="BG155" s="494">
        <v>0</v>
      </c>
      <c r="BH155" s="492" t="s">
        <v>1344</v>
      </c>
      <c r="BI155" s="492">
        <v>749</v>
      </c>
      <c r="BJ155" s="492" t="s">
        <v>1304</v>
      </c>
      <c r="BK155" s="492"/>
      <c r="BL155" s="493">
        <v>45551</v>
      </c>
      <c r="BM155" s="492" t="s">
        <v>1305</v>
      </c>
      <c r="BN155" s="492" t="s">
        <v>1301</v>
      </c>
      <c r="BO155" s="492">
        <v>0.15434059947487599</v>
      </c>
      <c r="BP155" s="492">
        <v>6.3356001313399999E-4</v>
      </c>
    </row>
    <row r="156" spans="1:68" ht="75">
      <c r="A156" s="492" t="s">
        <v>1155</v>
      </c>
      <c r="B156" s="492">
        <v>390194</v>
      </c>
      <c r="C156" s="492">
        <v>8183728</v>
      </c>
      <c r="D156" s="492">
        <v>170</v>
      </c>
      <c r="E156" s="492">
        <v>120</v>
      </c>
      <c r="F156" s="492">
        <v>55</v>
      </c>
      <c r="G156" s="492" t="b">
        <v>0</v>
      </c>
      <c r="H156" s="492" t="b">
        <v>0</v>
      </c>
      <c r="I156" s="492">
        <v>10</v>
      </c>
      <c r="J156" s="492" t="b">
        <v>0</v>
      </c>
      <c r="K156" s="492">
        <v>90</v>
      </c>
      <c r="L156" s="492" t="s">
        <v>94</v>
      </c>
      <c r="M156" s="492" t="s">
        <v>1308</v>
      </c>
      <c r="N156" s="492" t="s">
        <v>2</v>
      </c>
      <c r="O156" s="492">
        <v>90</v>
      </c>
      <c r="P156" s="492" t="s">
        <v>112</v>
      </c>
      <c r="Q156" s="492">
        <v>3</v>
      </c>
      <c r="R156" s="492"/>
      <c r="S156" s="492"/>
      <c r="T156" s="492"/>
      <c r="U156" s="492"/>
      <c r="V156" s="492"/>
      <c r="W156" s="492"/>
      <c r="X156" s="492"/>
      <c r="Y156" s="492">
        <v>390194</v>
      </c>
      <c r="Z156" s="492">
        <v>8183728</v>
      </c>
      <c r="AA156" s="492">
        <v>9980.1995137333797</v>
      </c>
      <c r="AB156" s="492">
        <v>8543.5744021758401</v>
      </c>
      <c r="AC156" s="492">
        <v>7</v>
      </c>
      <c r="AD156" s="492">
        <v>23444</v>
      </c>
      <c r="AE156" s="492" t="s">
        <v>1343</v>
      </c>
      <c r="AF156" s="492" t="s">
        <v>1298</v>
      </c>
      <c r="AG156" s="492" t="s">
        <v>1299</v>
      </c>
      <c r="AH156" s="492" t="s">
        <v>1300</v>
      </c>
      <c r="AI156" s="492">
        <v>1</v>
      </c>
      <c r="AJ156" s="492" t="s">
        <v>1301</v>
      </c>
      <c r="AK156" s="492" t="s">
        <v>1302</v>
      </c>
      <c r="AL156" s="492"/>
      <c r="AM156" s="492"/>
      <c r="AN156" s="492"/>
      <c r="AO156" s="492"/>
      <c r="AP156" s="492"/>
      <c r="AQ156" s="492"/>
      <c r="AR156" s="492"/>
      <c r="AS156" s="492"/>
      <c r="AT156" s="492"/>
      <c r="AU156" s="492"/>
      <c r="AV156" s="492"/>
      <c r="AW156" s="492"/>
      <c r="AX156" s="492"/>
      <c r="AY156" s="492"/>
      <c r="AZ156" s="492"/>
      <c r="BA156" s="492"/>
      <c r="BB156" s="493">
        <v>32303</v>
      </c>
      <c r="BC156" s="494">
        <v>0.4375</v>
      </c>
      <c r="BD156" s="493">
        <v>47989</v>
      </c>
      <c r="BE156" s="494">
        <v>0.99998842592592596</v>
      </c>
      <c r="BF156" s="493">
        <v>32639</v>
      </c>
      <c r="BG156" s="494">
        <v>0</v>
      </c>
      <c r="BH156" s="492" t="s">
        <v>1344</v>
      </c>
      <c r="BI156" s="492">
        <v>749</v>
      </c>
      <c r="BJ156" s="492" t="s">
        <v>1304</v>
      </c>
      <c r="BK156" s="492"/>
      <c r="BL156" s="493">
        <v>45551</v>
      </c>
      <c r="BM156" s="492" t="s">
        <v>1305</v>
      </c>
      <c r="BN156" s="492" t="s">
        <v>1301</v>
      </c>
      <c r="BO156" s="492">
        <v>0.15434059947487599</v>
      </c>
      <c r="BP156" s="492">
        <v>6.3356001313399999E-4</v>
      </c>
    </row>
    <row r="157" spans="1:68" ht="75">
      <c r="A157" s="492" t="s">
        <v>1154</v>
      </c>
      <c r="B157" s="492">
        <v>390889</v>
      </c>
      <c r="C157" s="492">
        <v>8183900</v>
      </c>
      <c r="D157" s="492">
        <v>170</v>
      </c>
      <c r="E157" s="492">
        <v>300</v>
      </c>
      <c r="F157" s="492">
        <v>55</v>
      </c>
      <c r="G157" s="492" t="b">
        <v>0</v>
      </c>
      <c r="H157" s="492" t="b">
        <v>0</v>
      </c>
      <c r="I157" s="492">
        <v>10</v>
      </c>
      <c r="J157" s="492" t="b">
        <v>0</v>
      </c>
      <c r="K157" s="492">
        <v>90</v>
      </c>
      <c r="L157" s="492" t="s">
        <v>94</v>
      </c>
      <c r="M157" s="492" t="s">
        <v>1308</v>
      </c>
      <c r="N157" s="492" t="s">
        <v>2</v>
      </c>
      <c r="O157" s="492">
        <v>90</v>
      </c>
      <c r="P157" s="492" t="s">
        <v>112</v>
      </c>
      <c r="Q157" s="492">
        <v>3</v>
      </c>
      <c r="R157" s="492"/>
      <c r="S157" s="492"/>
      <c r="T157" s="492"/>
      <c r="U157" s="492"/>
      <c r="V157" s="492"/>
      <c r="W157" s="492"/>
      <c r="X157" s="492"/>
      <c r="Y157" s="492">
        <v>390889</v>
      </c>
      <c r="Z157" s="492">
        <v>8183900</v>
      </c>
      <c r="AA157" s="492">
        <v>10582.2654861663</v>
      </c>
      <c r="AB157" s="492">
        <v>8931.4208673909307</v>
      </c>
      <c r="AC157" s="492">
        <v>7</v>
      </c>
      <c r="AD157" s="492">
        <v>23444</v>
      </c>
      <c r="AE157" s="492" t="s">
        <v>1343</v>
      </c>
      <c r="AF157" s="492" t="s">
        <v>1298</v>
      </c>
      <c r="AG157" s="492" t="s">
        <v>1299</v>
      </c>
      <c r="AH157" s="492" t="s">
        <v>1300</v>
      </c>
      <c r="AI157" s="492">
        <v>1</v>
      </c>
      <c r="AJ157" s="492" t="s">
        <v>1301</v>
      </c>
      <c r="AK157" s="492" t="s">
        <v>1302</v>
      </c>
      <c r="AL157" s="492"/>
      <c r="AM157" s="492"/>
      <c r="AN157" s="492"/>
      <c r="AO157" s="492"/>
      <c r="AP157" s="492"/>
      <c r="AQ157" s="492"/>
      <c r="AR157" s="492"/>
      <c r="AS157" s="492"/>
      <c r="AT157" s="492"/>
      <c r="AU157" s="492"/>
      <c r="AV157" s="492"/>
      <c r="AW157" s="492"/>
      <c r="AX157" s="492"/>
      <c r="AY157" s="492"/>
      <c r="AZ157" s="492"/>
      <c r="BA157" s="492"/>
      <c r="BB157" s="493">
        <v>32303</v>
      </c>
      <c r="BC157" s="494">
        <v>0.4375</v>
      </c>
      <c r="BD157" s="493">
        <v>47989</v>
      </c>
      <c r="BE157" s="494">
        <v>0.99998842592592596</v>
      </c>
      <c r="BF157" s="493">
        <v>32639</v>
      </c>
      <c r="BG157" s="494">
        <v>0</v>
      </c>
      <c r="BH157" s="492" t="s">
        <v>1344</v>
      </c>
      <c r="BI157" s="492">
        <v>749</v>
      </c>
      <c r="BJ157" s="492" t="s">
        <v>1304</v>
      </c>
      <c r="BK157" s="492"/>
      <c r="BL157" s="493">
        <v>45551</v>
      </c>
      <c r="BM157" s="492" t="s">
        <v>1305</v>
      </c>
      <c r="BN157" s="492" t="s">
        <v>1301</v>
      </c>
      <c r="BO157" s="492">
        <v>0.15434059947487599</v>
      </c>
      <c r="BP157" s="492">
        <v>6.3356001313399999E-4</v>
      </c>
    </row>
    <row r="158" spans="1:68" ht="75">
      <c r="A158" s="492" t="s">
        <v>1153</v>
      </c>
      <c r="B158" s="492">
        <v>390368</v>
      </c>
      <c r="C158" s="492">
        <v>8183942</v>
      </c>
      <c r="D158" s="492">
        <v>170</v>
      </c>
      <c r="E158" s="492">
        <v>120</v>
      </c>
      <c r="F158" s="492">
        <v>55</v>
      </c>
      <c r="G158" s="492" t="b">
        <v>0</v>
      </c>
      <c r="H158" s="492" t="b">
        <v>0</v>
      </c>
      <c r="I158" s="492">
        <v>10</v>
      </c>
      <c r="J158" s="492" t="b">
        <v>0</v>
      </c>
      <c r="K158" s="492">
        <v>90</v>
      </c>
      <c r="L158" s="492" t="s">
        <v>94</v>
      </c>
      <c r="M158" s="492" t="s">
        <v>1308</v>
      </c>
      <c r="N158" s="492" t="s">
        <v>2</v>
      </c>
      <c r="O158" s="492">
        <v>90</v>
      </c>
      <c r="P158" s="492" t="s">
        <v>112</v>
      </c>
      <c r="Q158" s="492">
        <v>3</v>
      </c>
      <c r="R158" s="492"/>
      <c r="S158" s="492"/>
      <c r="T158" s="492"/>
      <c r="U158" s="492"/>
      <c r="V158" s="492"/>
      <c r="W158" s="492"/>
      <c r="X158" s="492"/>
      <c r="Y158" s="492">
        <v>390368</v>
      </c>
      <c r="Z158" s="492">
        <v>8183942</v>
      </c>
      <c r="AA158" s="492">
        <v>10075.577758363401</v>
      </c>
      <c r="AB158" s="492">
        <v>8802.4554740656095</v>
      </c>
      <c r="AC158" s="492">
        <v>7</v>
      </c>
      <c r="AD158" s="492">
        <v>23444</v>
      </c>
      <c r="AE158" s="492" t="s">
        <v>1343</v>
      </c>
      <c r="AF158" s="492" t="s">
        <v>1298</v>
      </c>
      <c r="AG158" s="492" t="s">
        <v>1299</v>
      </c>
      <c r="AH158" s="492" t="s">
        <v>1300</v>
      </c>
      <c r="AI158" s="492">
        <v>1</v>
      </c>
      <c r="AJ158" s="492" t="s">
        <v>1301</v>
      </c>
      <c r="AK158" s="492" t="s">
        <v>1302</v>
      </c>
      <c r="AL158" s="492"/>
      <c r="AM158" s="492"/>
      <c r="AN158" s="492"/>
      <c r="AO158" s="492"/>
      <c r="AP158" s="492"/>
      <c r="AQ158" s="492"/>
      <c r="AR158" s="492"/>
      <c r="AS158" s="492"/>
      <c r="AT158" s="492"/>
      <c r="AU158" s="492"/>
      <c r="AV158" s="492"/>
      <c r="AW158" s="492"/>
      <c r="AX158" s="492"/>
      <c r="AY158" s="492"/>
      <c r="AZ158" s="492"/>
      <c r="BA158" s="492"/>
      <c r="BB158" s="493">
        <v>32303</v>
      </c>
      <c r="BC158" s="494">
        <v>0.4375</v>
      </c>
      <c r="BD158" s="493">
        <v>47989</v>
      </c>
      <c r="BE158" s="494">
        <v>0.99998842592592596</v>
      </c>
      <c r="BF158" s="493">
        <v>32639</v>
      </c>
      <c r="BG158" s="494">
        <v>0</v>
      </c>
      <c r="BH158" s="492" t="s">
        <v>1344</v>
      </c>
      <c r="BI158" s="492">
        <v>749</v>
      </c>
      <c r="BJ158" s="492" t="s">
        <v>1304</v>
      </c>
      <c r="BK158" s="492"/>
      <c r="BL158" s="493">
        <v>45551</v>
      </c>
      <c r="BM158" s="492" t="s">
        <v>1305</v>
      </c>
      <c r="BN158" s="492" t="s">
        <v>1301</v>
      </c>
      <c r="BO158" s="492">
        <v>0.15434059947487599</v>
      </c>
      <c r="BP158" s="492">
        <v>6.3356001313399999E-4</v>
      </c>
    </row>
    <row r="159" spans="1:68" ht="75">
      <c r="A159" s="492" t="s">
        <v>482</v>
      </c>
      <c r="B159" s="492">
        <v>391285</v>
      </c>
      <c r="C159" s="492">
        <v>8185866</v>
      </c>
      <c r="D159" s="492">
        <v>176</v>
      </c>
      <c r="E159" s="492">
        <v>109</v>
      </c>
      <c r="F159" s="492">
        <v>60</v>
      </c>
      <c r="G159" s="492" t="b">
        <v>0</v>
      </c>
      <c r="H159" s="492" t="b">
        <v>0</v>
      </c>
      <c r="I159" s="492">
        <v>10</v>
      </c>
      <c r="J159" s="492" t="b">
        <v>0</v>
      </c>
      <c r="K159" s="492">
        <v>94</v>
      </c>
      <c r="L159" s="492" t="s">
        <v>1311</v>
      </c>
      <c r="M159" s="492" t="s">
        <v>1296</v>
      </c>
      <c r="N159" s="492" t="s">
        <v>1</v>
      </c>
      <c r="O159" s="492">
        <v>94</v>
      </c>
      <c r="P159" s="492" t="s">
        <v>109</v>
      </c>
      <c r="Q159" s="492">
        <v>3</v>
      </c>
      <c r="R159" s="492"/>
      <c r="S159" s="492"/>
      <c r="T159" s="492"/>
      <c r="U159" s="492"/>
      <c r="V159" s="492"/>
      <c r="W159" s="492"/>
      <c r="X159" s="492"/>
      <c r="Y159" s="492">
        <v>391285</v>
      </c>
      <c r="Z159" s="492">
        <v>8185866</v>
      </c>
      <c r="AA159" s="492">
        <v>10320.4004651531</v>
      </c>
      <c r="AB159" s="492">
        <v>10920.3268897254</v>
      </c>
      <c r="AC159" s="492">
        <v>7</v>
      </c>
      <c r="AD159" s="492">
        <v>23444</v>
      </c>
      <c r="AE159" s="492" t="s">
        <v>1343</v>
      </c>
      <c r="AF159" s="492" t="s">
        <v>1298</v>
      </c>
      <c r="AG159" s="492" t="s">
        <v>1299</v>
      </c>
      <c r="AH159" s="492" t="s">
        <v>1300</v>
      </c>
      <c r="AI159" s="492">
        <v>1</v>
      </c>
      <c r="AJ159" s="492" t="s">
        <v>1301</v>
      </c>
      <c r="AK159" s="492" t="s">
        <v>1302</v>
      </c>
      <c r="AL159" s="492"/>
      <c r="AM159" s="492"/>
      <c r="AN159" s="492"/>
      <c r="AO159" s="492"/>
      <c r="AP159" s="492"/>
      <c r="AQ159" s="492"/>
      <c r="AR159" s="492"/>
      <c r="AS159" s="492"/>
      <c r="AT159" s="492"/>
      <c r="AU159" s="492"/>
      <c r="AV159" s="492"/>
      <c r="AW159" s="492"/>
      <c r="AX159" s="492"/>
      <c r="AY159" s="492"/>
      <c r="AZ159" s="492"/>
      <c r="BA159" s="492"/>
      <c r="BB159" s="493">
        <v>32303</v>
      </c>
      <c r="BC159" s="494">
        <v>0.4375</v>
      </c>
      <c r="BD159" s="493">
        <v>47989</v>
      </c>
      <c r="BE159" s="494">
        <v>0.99998842592592596</v>
      </c>
      <c r="BF159" s="493">
        <v>32639</v>
      </c>
      <c r="BG159" s="494">
        <v>0</v>
      </c>
      <c r="BH159" s="492" t="s">
        <v>1344</v>
      </c>
      <c r="BI159" s="492">
        <v>749</v>
      </c>
      <c r="BJ159" s="492" t="s">
        <v>1304</v>
      </c>
      <c r="BK159" s="492"/>
      <c r="BL159" s="493">
        <v>45551</v>
      </c>
      <c r="BM159" s="492" t="s">
        <v>1305</v>
      </c>
      <c r="BN159" s="492" t="s">
        <v>1301</v>
      </c>
      <c r="BO159" s="492">
        <v>0.15434059947487599</v>
      </c>
      <c r="BP159" s="492">
        <v>6.3356001313399999E-4</v>
      </c>
    </row>
    <row r="160" spans="1:68" ht="75">
      <c r="A160" s="492" t="s">
        <v>782</v>
      </c>
      <c r="B160" s="492">
        <v>391339</v>
      </c>
      <c r="C160" s="492">
        <v>8185932</v>
      </c>
      <c r="D160" s="492">
        <v>175</v>
      </c>
      <c r="E160" s="492">
        <v>109</v>
      </c>
      <c r="F160" s="492">
        <v>60</v>
      </c>
      <c r="G160" s="492" t="b">
        <v>0</v>
      </c>
      <c r="H160" s="492" t="b">
        <v>0</v>
      </c>
      <c r="I160" s="492">
        <v>10</v>
      </c>
      <c r="J160" s="492" t="b">
        <v>0</v>
      </c>
      <c r="K160" s="492">
        <v>43</v>
      </c>
      <c r="L160" s="492" t="s">
        <v>1311</v>
      </c>
      <c r="M160" s="492" t="s">
        <v>1296</v>
      </c>
      <c r="N160" s="492" t="s">
        <v>2</v>
      </c>
      <c r="O160" s="492">
        <v>43</v>
      </c>
      <c r="P160" s="492" t="s">
        <v>109</v>
      </c>
      <c r="Q160" s="492">
        <v>3</v>
      </c>
      <c r="R160" s="492"/>
      <c r="S160" s="492"/>
      <c r="T160" s="492"/>
      <c r="U160" s="492"/>
      <c r="V160" s="492"/>
      <c r="W160" s="492"/>
      <c r="X160" s="492"/>
      <c r="Y160" s="492">
        <v>391339</v>
      </c>
      <c r="Z160" s="492">
        <v>8185932</v>
      </c>
      <c r="AA160" s="492">
        <v>10350.1346084824</v>
      </c>
      <c r="AB160" s="492">
        <v>11000.277667631301</v>
      </c>
      <c r="AC160" s="492">
        <v>7</v>
      </c>
      <c r="AD160" s="492">
        <v>23444</v>
      </c>
      <c r="AE160" s="492" t="s">
        <v>1343</v>
      </c>
      <c r="AF160" s="492" t="s">
        <v>1298</v>
      </c>
      <c r="AG160" s="492" t="s">
        <v>1299</v>
      </c>
      <c r="AH160" s="492" t="s">
        <v>1300</v>
      </c>
      <c r="AI160" s="492">
        <v>1</v>
      </c>
      <c r="AJ160" s="492" t="s">
        <v>1301</v>
      </c>
      <c r="AK160" s="492" t="s">
        <v>1302</v>
      </c>
      <c r="AL160" s="492"/>
      <c r="AM160" s="492"/>
      <c r="AN160" s="492"/>
      <c r="AO160" s="492"/>
      <c r="AP160" s="492"/>
      <c r="AQ160" s="492"/>
      <c r="AR160" s="492"/>
      <c r="AS160" s="492"/>
      <c r="AT160" s="492"/>
      <c r="AU160" s="492"/>
      <c r="AV160" s="492"/>
      <c r="AW160" s="492"/>
      <c r="AX160" s="492"/>
      <c r="AY160" s="492"/>
      <c r="AZ160" s="492"/>
      <c r="BA160" s="492"/>
      <c r="BB160" s="493">
        <v>32303</v>
      </c>
      <c r="BC160" s="494">
        <v>0.4375</v>
      </c>
      <c r="BD160" s="493">
        <v>47989</v>
      </c>
      <c r="BE160" s="494">
        <v>0.99998842592592596</v>
      </c>
      <c r="BF160" s="493">
        <v>32639</v>
      </c>
      <c r="BG160" s="494">
        <v>0</v>
      </c>
      <c r="BH160" s="492" t="s">
        <v>1344</v>
      </c>
      <c r="BI160" s="492">
        <v>749</v>
      </c>
      <c r="BJ160" s="492" t="s">
        <v>1304</v>
      </c>
      <c r="BK160" s="492"/>
      <c r="BL160" s="493">
        <v>45551</v>
      </c>
      <c r="BM160" s="492" t="s">
        <v>1305</v>
      </c>
      <c r="BN160" s="492" t="s">
        <v>1301</v>
      </c>
      <c r="BO160" s="492">
        <v>0.15434059947487599</v>
      </c>
      <c r="BP160" s="492">
        <v>6.3356001313399999E-4</v>
      </c>
    </row>
    <row r="161" spans="1:68" ht="75">
      <c r="A161" s="492" t="s">
        <v>779</v>
      </c>
      <c r="B161" s="492">
        <v>391365</v>
      </c>
      <c r="C161" s="492">
        <v>8186007</v>
      </c>
      <c r="D161" s="492">
        <v>174</v>
      </c>
      <c r="E161" s="492">
        <v>109</v>
      </c>
      <c r="F161" s="492">
        <v>55</v>
      </c>
      <c r="G161" s="492" t="b">
        <v>0</v>
      </c>
      <c r="H161" s="492" t="b">
        <v>0</v>
      </c>
      <c r="I161" s="492">
        <v>10</v>
      </c>
      <c r="J161" s="492" t="b">
        <v>0</v>
      </c>
      <c r="K161" s="492">
        <v>86</v>
      </c>
      <c r="L161" s="492" t="s">
        <v>1311</v>
      </c>
      <c r="M161" s="492" t="s">
        <v>1296</v>
      </c>
      <c r="N161" s="492" t="s">
        <v>2</v>
      </c>
      <c r="O161" s="492">
        <v>86</v>
      </c>
      <c r="P161" s="492" t="s">
        <v>109</v>
      </c>
      <c r="Q161" s="492">
        <v>3</v>
      </c>
      <c r="R161" s="492"/>
      <c r="S161" s="492"/>
      <c r="T161" s="492"/>
      <c r="U161" s="492"/>
      <c r="V161" s="492"/>
      <c r="W161" s="492"/>
      <c r="X161" s="492"/>
      <c r="Y161" s="492">
        <v>391365</v>
      </c>
      <c r="Z161" s="492">
        <v>8186007</v>
      </c>
      <c r="AA161" s="492">
        <v>10350.4544147299</v>
      </c>
      <c r="AB161" s="492">
        <v>11079.6790336007</v>
      </c>
      <c r="AC161" s="492">
        <v>7</v>
      </c>
      <c r="AD161" s="492">
        <v>23444</v>
      </c>
      <c r="AE161" s="492" t="s">
        <v>1343</v>
      </c>
      <c r="AF161" s="492" t="s">
        <v>1298</v>
      </c>
      <c r="AG161" s="492" t="s">
        <v>1299</v>
      </c>
      <c r="AH161" s="492" t="s">
        <v>1300</v>
      </c>
      <c r="AI161" s="492">
        <v>1</v>
      </c>
      <c r="AJ161" s="492" t="s">
        <v>1301</v>
      </c>
      <c r="AK161" s="492" t="s">
        <v>1302</v>
      </c>
      <c r="AL161" s="492"/>
      <c r="AM161" s="492"/>
      <c r="AN161" s="492"/>
      <c r="AO161" s="492"/>
      <c r="AP161" s="492"/>
      <c r="AQ161" s="492"/>
      <c r="AR161" s="492"/>
      <c r="AS161" s="492"/>
      <c r="AT161" s="492"/>
      <c r="AU161" s="492"/>
      <c r="AV161" s="492"/>
      <c r="AW161" s="492"/>
      <c r="AX161" s="492"/>
      <c r="AY161" s="492"/>
      <c r="AZ161" s="492"/>
      <c r="BA161" s="492"/>
      <c r="BB161" s="493">
        <v>32303</v>
      </c>
      <c r="BC161" s="494">
        <v>0.4375</v>
      </c>
      <c r="BD161" s="493">
        <v>47989</v>
      </c>
      <c r="BE161" s="494">
        <v>0.99998842592592596</v>
      </c>
      <c r="BF161" s="493">
        <v>32639</v>
      </c>
      <c r="BG161" s="494">
        <v>0</v>
      </c>
      <c r="BH161" s="492" t="s">
        <v>1344</v>
      </c>
      <c r="BI161" s="492">
        <v>749</v>
      </c>
      <c r="BJ161" s="492" t="s">
        <v>1304</v>
      </c>
      <c r="BK161" s="492"/>
      <c r="BL161" s="493">
        <v>45551</v>
      </c>
      <c r="BM161" s="492" t="s">
        <v>1305</v>
      </c>
      <c r="BN161" s="492" t="s">
        <v>1301</v>
      </c>
      <c r="BO161" s="492">
        <v>0.15434059947487599</v>
      </c>
      <c r="BP161" s="492">
        <v>6.3356001313399999E-4</v>
      </c>
    </row>
    <row r="162" spans="1:68" ht="75">
      <c r="A162" s="492" t="s">
        <v>777</v>
      </c>
      <c r="B162" s="492">
        <v>391381</v>
      </c>
      <c r="C162" s="492">
        <v>8186086</v>
      </c>
      <c r="D162" s="492">
        <v>176</v>
      </c>
      <c r="E162" s="492">
        <v>109</v>
      </c>
      <c r="F162" s="492">
        <v>60</v>
      </c>
      <c r="G162" s="492" t="b">
        <v>0</v>
      </c>
      <c r="H162" s="492" t="b">
        <v>0</v>
      </c>
      <c r="I162" s="492">
        <v>10</v>
      </c>
      <c r="J162" s="492" t="b">
        <v>0</v>
      </c>
      <c r="K162" s="492">
        <v>46</v>
      </c>
      <c r="L162" s="492" t="s">
        <v>1311</v>
      </c>
      <c r="M162" s="492" t="s">
        <v>1296</v>
      </c>
      <c r="N162" s="492" t="s">
        <v>2</v>
      </c>
      <c r="O162" s="492">
        <v>46</v>
      </c>
      <c r="P162" s="492" t="s">
        <v>109</v>
      </c>
      <c r="Q162" s="492">
        <v>3</v>
      </c>
      <c r="R162" s="492"/>
      <c r="S162" s="492"/>
      <c r="T162" s="492"/>
      <c r="U162" s="492"/>
      <c r="V162" s="492"/>
      <c r="W162" s="492"/>
      <c r="X162" s="492"/>
      <c r="Y162" s="492">
        <v>391381</v>
      </c>
      <c r="Z162" s="492">
        <v>8186086</v>
      </c>
      <c r="AA162" s="492">
        <v>10340.014663088101</v>
      </c>
      <c r="AB162" s="492">
        <v>11159.6277998518</v>
      </c>
      <c r="AC162" s="492">
        <v>7</v>
      </c>
      <c r="AD162" s="492">
        <v>23444</v>
      </c>
      <c r="AE162" s="492" t="s">
        <v>1343</v>
      </c>
      <c r="AF162" s="492" t="s">
        <v>1298</v>
      </c>
      <c r="AG162" s="492" t="s">
        <v>1299</v>
      </c>
      <c r="AH162" s="492" t="s">
        <v>1300</v>
      </c>
      <c r="AI162" s="492">
        <v>1</v>
      </c>
      <c r="AJ162" s="492" t="s">
        <v>1301</v>
      </c>
      <c r="AK162" s="492" t="s">
        <v>1302</v>
      </c>
      <c r="AL162" s="492"/>
      <c r="AM162" s="492"/>
      <c r="AN162" s="492"/>
      <c r="AO162" s="492"/>
      <c r="AP162" s="492"/>
      <c r="AQ162" s="492"/>
      <c r="AR162" s="492"/>
      <c r="AS162" s="492"/>
      <c r="AT162" s="492"/>
      <c r="AU162" s="492"/>
      <c r="AV162" s="492"/>
      <c r="AW162" s="492"/>
      <c r="AX162" s="492"/>
      <c r="AY162" s="492"/>
      <c r="AZ162" s="492"/>
      <c r="BA162" s="492"/>
      <c r="BB162" s="493">
        <v>32303</v>
      </c>
      <c r="BC162" s="494">
        <v>0.4375</v>
      </c>
      <c r="BD162" s="493">
        <v>47989</v>
      </c>
      <c r="BE162" s="494">
        <v>0.99998842592592596</v>
      </c>
      <c r="BF162" s="493">
        <v>32639</v>
      </c>
      <c r="BG162" s="494">
        <v>0</v>
      </c>
      <c r="BH162" s="492" t="s">
        <v>1344</v>
      </c>
      <c r="BI162" s="492">
        <v>749</v>
      </c>
      <c r="BJ162" s="492" t="s">
        <v>1304</v>
      </c>
      <c r="BK162" s="492"/>
      <c r="BL162" s="493">
        <v>45551</v>
      </c>
      <c r="BM162" s="492" t="s">
        <v>1305</v>
      </c>
      <c r="BN162" s="492" t="s">
        <v>1301</v>
      </c>
      <c r="BO162" s="492">
        <v>0.15434059947487599</v>
      </c>
      <c r="BP162" s="492">
        <v>6.3356001313399999E-4</v>
      </c>
    </row>
    <row r="163" spans="1:68" ht="75">
      <c r="A163" s="492" t="s">
        <v>809</v>
      </c>
      <c r="B163" s="492">
        <v>391211</v>
      </c>
      <c r="C163" s="492">
        <v>8185553</v>
      </c>
      <c r="D163" s="492">
        <v>174</v>
      </c>
      <c r="E163" s="492">
        <v>109</v>
      </c>
      <c r="F163" s="492">
        <v>60</v>
      </c>
      <c r="G163" s="492" t="b">
        <v>0</v>
      </c>
      <c r="H163" s="492" t="b">
        <v>0</v>
      </c>
      <c r="I163" s="492">
        <v>10</v>
      </c>
      <c r="J163" s="492" t="b">
        <v>0</v>
      </c>
      <c r="K163" s="492">
        <v>90</v>
      </c>
      <c r="L163" s="492" t="s">
        <v>1013</v>
      </c>
      <c r="M163" s="492" t="s">
        <v>1296</v>
      </c>
      <c r="N163" s="492" t="s">
        <v>2</v>
      </c>
      <c r="O163" s="492">
        <v>90</v>
      </c>
      <c r="P163" s="492" t="s">
        <v>109</v>
      </c>
      <c r="Q163" s="492">
        <v>3</v>
      </c>
      <c r="R163" s="492" t="b">
        <v>1</v>
      </c>
      <c r="S163" s="492" t="b">
        <v>1</v>
      </c>
      <c r="T163" s="492"/>
      <c r="U163" s="495">
        <v>45844</v>
      </c>
      <c r="V163" s="492"/>
      <c r="W163" s="492" t="s">
        <v>1342</v>
      </c>
      <c r="X163" s="492"/>
      <c r="Y163" s="492">
        <v>391241.30305645202</v>
      </c>
      <c r="Z163" s="492">
        <v>8185542.9187642597</v>
      </c>
      <c r="AA163" s="492">
        <v>10383.6678843912</v>
      </c>
      <c r="AB163" s="492">
        <v>10600.404703321799</v>
      </c>
      <c r="AC163" s="492">
        <v>7</v>
      </c>
      <c r="AD163" s="492">
        <v>23444</v>
      </c>
      <c r="AE163" s="492" t="s">
        <v>1343</v>
      </c>
      <c r="AF163" s="492" t="s">
        <v>1298</v>
      </c>
      <c r="AG163" s="492" t="s">
        <v>1299</v>
      </c>
      <c r="AH163" s="492" t="s">
        <v>1300</v>
      </c>
      <c r="AI163" s="492">
        <v>1</v>
      </c>
      <c r="AJ163" s="492" t="s">
        <v>1301</v>
      </c>
      <c r="AK163" s="492" t="s">
        <v>1302</v>
      </c>
      <c r="AL163" s="492"/>
      <c r="AM163" s="492"/>
      <c r="AN163" s="492"/>
      <c r="AO163" s="492"/>
      <c r="AP163" s="492"/>
      <c r="AQ163" s="492"/>
      <c r="AR163" s="492"/>
      <c r="AS163" s="492"/>
      <c r="AT163" s="492"/>
      <c r="AU163" s="492"/>
      <c r="AV163" s="492"/>
      <c r="AW163" s="492"/>
      <c r="AX163" s="492"/>
      <c r="AY163" s="492"/>
      <c r="AZ163" s="492"/>
      <c r="BA163" s="492"/>
      <c r="BB163" s="493">
        <v>32303</v>
      </c>
      <c r="BC163" s="494">
        <v>0.4375</v>
      </c>
      <c r="BD163" s="493">
        <v>47989</v>
      </c>
      <c r="BE163" s="494">
        <v>0.99998842592592596</v>
      </c>
      <c r="BF163" s="493">
        <v>32639</v>
      </c>
      <c r="BG163" s="494">
        <v>0</v>
      </c>
      <c r="BH163" s="492" t="s">
        <v>1344</v>
      </c>
      <c r="BI163" s="492">
        <v>749</v>
      </c>
      <c r="BJ163" s="492" t="s">
        <v>1304</v>
      </c>
      <c r="BK163" s="492"/>
      <c r="BL163" s="493">
        <v>45551</v>
      </c>
      <c r="BM163" s="492" t="s">
        <v>1305</v>
      </c>
      <c r="BN163" s="492" t="s">
        <v>1301</v>
      </c>
      <c r="BO163" s="492">
        <v>0.15434059947487599</v>
      </c>
      <c r="BP163" s="492">
        <v>6.3356001313399999E-4</v>
      </c>
    </row>
    <row r="164" spans="1:68" ht="75">
      <c r="A164" s="492" t="s">
        <v>1133</v>
      </c>
      <c r="B164" s="492">
        <v>391256</v>
      </c>
      <c r="C164" s="492">
        <v>8185495</v>
      </c>
      <c r="D164" s="492">
        <v>174</v>
      </c>
      <c r="E164" s="492">
        <v>109</v>
      </c>
      <c r="F164" s="492">
        <v>60</v>
      </c>
      <c r="G164" s="492" t="b">
        <v>0</v>
      </c>
      <c r="H164" s="492" t="b">
        <v>0</v>
      </c>
      <c r="I164" s="492">
        <v>10</v>
      </c>
      <c r="J164" s="492" t="b">
        <v>0</v>
      </c>
      <c r="K164" s="492">
        <v>50</v>
      </c>
      <c r="L164" s="492" t="s">
        <v>1013</v>
      </c>
      <c r="M164" s="492" t="s">
        <v>1308</v>
      </c>
      <c r="N164" s="492" t="s">
        <v>2</v>
      </c>
      <c r="O164" s="492">
        <v>50</v>
      </c>
      <c r="P164" s="492" t="s">
        <v>109</v>
      </c>
      <c r="Q164" s="492">
        <v>3</v>
      </c>
      <c r="R164" s="492"/>
      <c r="S164" s="492"/>
      <c r="T164" s="492"/>
      <c r="U164" s="492"/>
      <c r="V164" s="492"/>
      <c r="W164" s="492"/>
      <c r="X164" s="492"/>
      <c r="Y164" s="492">
        <v>391256</v>
      </c>
      <c r="Z164" s="492">
        <v>8185495</v>
      </c>
      <c r="AA164" s="492">
        <v>10413.094936257199</v>
      </c>
      <c r="AB164" s="492">
        <v>10559.812541133701</v>
      </c>
      <c r="AC164" s="492">
        <v>7</v>
      </c>
      <c r="AD164" s="492">
        <v>23444</v>
      </c>
      <c r="AE164" s="492" t="s">
        <v>1343</v>
      </c>
      <c r="AF164" s="492" t="s">
        <v>1298</v>
      </c>
      <c r="AG164" s="492" t="s">
        <v>1299</v>
      </c>
      <c r="AH164" s="492" t="s">
        <v>1300</v>
      </c>
      <c r="AI164" s="492">
        <v>1</v>
      </c>
      <c r="AJ164" s="492" t="s">
        <v>1301</v>
      </c>
      <c r="AK164" s="492" t="s">
        <v>1302</v>
      </c>
      <c r="AL164" s="492"/>
      <c r="AM164" s="492"/>
      <c r="AN164" s="492"/>
      <c r="AO164" s="492"/>
      <c r="AP164" s="492"/>
      <c r="AQ164" s="492"/>
      <c r="AR164" s="492"/>
      <c r="AS164" s="492"/>
      <c r="AT164" s="492"/>
      <c r="AU164" s="492"/>
      <c r="AV164" s="492"/>
      <c r="AW164" s="492"/>
      <c r="AX164" s="492"/>
      <c r="AY164" s="492"/>
      <c r="AZ164" s="492"/>
      <c r="BA164" s="492"/>
      <c r="BB164" s="493">
        <v>32303</v>
      </c>
      <c r="BC164" s="494">
        <v>0.4375</v>
      </c>
      <c r="BD164" s="493">
        <v>47989</v>
      </c>
      <c r="BE164" s="494">
        <v>0.99998842592592596</v>
      </c>
      <c r="BF164" s="493">
        <v>32639</v>
      </c>
      <c r="BG164" s="494">
        <v>0</v>
      </c>
      <c r="BH164" s="492" t="s">
        <v>1344</v>
      </c>
      <c r="BI164" s="492">
        <v>749</v>
      </c>
      <c r="BJ164" s="492" t="s">
        <v>1304</v>
      </c>
      <c r="BK164" s="492"/>
      <c r="BL164" s="493">
        <v>45551</v>
      </c>
      <c r="BM164" s="492" t="s">
        <v>1305</v>
      </c>
      <c r="BN164" s="492" t="s">
        <v>1301</v>
      </c>
      <c r="BO164" s="492">
        <v>0.15434059947487599</v>
      </c>
      <c r="BP164" s="492">
        <v>6.3356001313399999E-4</v>
      </c>
    </row>
    <row r="165" spans="1:68" ht="75">
      <c r="A165" s="492" t="s">
        <v>1178</v>
      </c>
      <c r="B165" s="492">
        <v>391477</v>
      </c>
      <c r="C165" s="492">
        <v>8186040</v>
      </c>
      <c r="D165" s="492">
        <v>170</v>
      </c>
      <c r="E165" s="492">
        <v>0</v>
      </c>
      <c r="F165" s="492">
        <v>90</v>
      </c>
      <c r="G165" s="492" t="b">
        <v>0</v>
      </c>
      <c r="H165" s="492" t="b">
        <v>0</v>
      </c>
      <c r="I165" s="492">
        <v>10</v>
      </c>
      <c r="J165" s="492" t="b">
        <v>0</v>
      </c>
      <c r="K165" s="492">
        <v>100</v>
      </c>
      <c r="L165" s="492" t="s">
        <v>1350</v>
      </c>
      <c r="M165" s="492" t="s">
        <v>1296</v>
      </c>
      <c r="N165" s="492" t="s">
        <v>2</v>
      </c>
      <c r="O165" s="492">
        <v>100</v>
      </c>
      <c r="P165" s="492" t="s">
        <v>1310</v>
      </c>
      <c r="Q165" s="492">
        <v>3</v>
      </c>
      <c r="R165" s="492"/>
      <c r="S165" s="492"/>
      <c r="T165" s="492"/>
      <c r="U165" s="492"/>
      <c r="V165" s="492"/>
      <c r="W165" s="492"/>
      <c r="X165" s="492"/>
      <c r="Y165" s="492">
        <v>391477</v>
      </c>
      <c r="Z165" s="492">
        <v>8186040</v>
      </c>
      <c r="AA165" s="492">
        <v>10445.767523517299</v>
      </c>
      <c r="AB165" s="492">
        <v>11147.179935009201</v>
      </c>
      <c r="AC165" s="492">
        <v>7</v>
      </c>
      <c r="AD165" s="492">
        <v>23444</v>
      </c>
      <c r="AE165" s="492" t="s">
        <v>1343</v>
      </c>
      <c r="AF165" s="492" t="s">
        <v>1298</v>
      </c>
      <c r="AG165" s="492" t="s">
        <v>1299</v>
      </c>
      <c r="AH165" s="492" t="s">
        <v>1300</v>
      </c>
      <c r="AI165" s="492">
        <v>1</v>
      </c>
      <c r="AJ165" s="492" t="s">
        <v>1301</v>
      </c>
      <c r="AK165" s="492" t="s">
        <v>1302</v>
      </c>
      <c r="AL165" s="492"/>
      <c r="AM165" s="492"/>
      <c r="AN165" s="492"/>
      <c r="AO165" s="492"/>
      <c r="AP165" s="492"/>
      <c r="AQ165" s="492"/>
      <c r="AR165" s="492"/>
      <c r="AS165" s="492"/>
      <c r="AT165" s="492"/>
      <c r="AU165" s="492"/>
      <c r="AV165" s="492"/>
      <c r="AW165" s="492"/>
      <c r="AX165" s="492"/>
      <c r="AY165" s="492"/>
      <c r="AZ165" s="492"/>
      <c r="BA165" s="492"/>
      <c r="BB165" s="493">
        <v>32303</v>
      </c>
      <c r="BC165" s="494">
        <v>0.4375</v>
      </c>
      <c r="BD165" s="493">
        <v>47989</v>
      </c>
      <c r="BE165" s="494">
        <v>0.99998842592592596</v>
      </c>
      <c r="BF165" s="493">
        <v>32639</v>
      </c>
      <c r="BG165" s="494">
        <v>0</v>
      </c>
      <c r="BH165" s="492" t="s">
        <v>1344</v>
      </c>
      <c r="BI165" s="492">
        <v>749</v>
      </c>
      <c r="BJ165" s="492" t="s">
        <v>1304</v>
      </c>
      <c r="BK165" s="492"/>
      <c r="BL165" s="493">
        <v>45551</v>
      </c>
      <c r="BM165" s="492" t="s">
        <v>1305</v>
      </c>
      <c r="BN165" s="492" t="s">
        <v>1301</v>
      </c>
      <c r="BO165" s="492">
        <v>0.15434059947487599</v>
      </c>
      <c r="BP165" s="492">
        <v>6.3356001313399999E-4</v>
      </c>
    </row>
    <row r="166" spans="1:68" ht="75">
      <c r="A166" s="492" t="s">
        <v>1179</v>
      </c>
      <c r="B166" s="492">
        <v>391477</v>
      </c>
      <c r="C166" s="492">
        <v>8186038</v>
      </c>
      <c r="D166" s="492">
        <v>170</v>
      </c>
      <c r="E166" s="492">
        <v>0</v>
      </c>
      <c r="F166" s="492">
        <v>90</v>
      </c>
      <c r="G166" s="492" t="b">
        <v>0</v>
      </c>
      <c r="H166" s="492" t="b">
        <v>0</v>
      </c>
      <c r="I166" s="492">
        <v>10</v>
      </c>
      <c r="J166" s="492" t="b">
        <v>0</v>
      </c>
      <c r="K166" s="492">
        <v>30</v>
      </c>
      <c r="L166" s="492" t="s">
        <v>1351</v>
      </c>
      <c r="M166" s="492" t="s">
        <v>1296</v>
      </c>
      <c r="N166" s="492" t="s">
        <v>2</v>
      </c>
      <c r="O166" s="492">
        <v>30</v>
      </c>
      <c r="P166" s="492" t="s">
        <v>1310</v>
      </c>
      <c r="Q166" s="492">
        <v>3</v>
      </c>
      <c r="R166" s="492"/>
      <c r="S166" s="492"/>
      <c r="T166" s="492"/>
      <c r="U166" s="492"/>
      <c r="V166" s="492"/>
      <c r="W166" s="492"/>
      <c r="X166" s="492"/>
      <c r="Y166" s="492">
        <v>391477</v>
      </c>
      <c r="Z166" s="492">
        <v>8186038</v>
      </c>
      <c r="AA166" s="492">
        <v>10446.415182630501</v>
      </c>
      <c r="AB166" s="492">
        <v>11145.287087078201</v>
      </c>
      <c r="AC166" s="492">
        <v>7</v>
      </c>
      <c r="AD166" s="492">
        <v>23444</v>
      </c>
      <c r="AE166" s="492" t="s">
        <v>1343</v>
      </c>
      <c r="AF166" s="492" t="s">
        <v>1298</v>
      </c>
      <c r="AG166" s="492" t="s">
        <v>1299</v>
      </c>
      <c r="AH166" s="492" t="s">
        <v>1300</v>
      </c>
      <c r="AI166" s="492">
        <v>1</v>
      </c>
      <c r="AJ166" s="492" t="s">
        <v>1301</v>
      </c>
      <c r="AK166" s="492" t="s">
        <v>1302</v>
      </c>
      <c r="AL166" s="492"/>
      <c r="AM166" s="492"/>
      <c r="AN166" s="492"/>
      <c r="AO166" s="492"/>
      <c r="AP166" s="492"/>
      <c r="AQ166" s="492"/>
      <c r="AR166" s="492"/>
      <c r="AS166" s="492"/>
      <c r="AT166" s="492"/>
      <c r="AU166" s="492"/>
      <c r="AV166" s="492"/>
      <c r="AW166" s="492"/>
      <c r="AX166" s="492"/>
      <c r="AY166" s="492"/>
      <c r="AZ166" s="492"/>
      <c r="BA166" s="492"/>
      <c r="BB166" s="493">
        <v>32303</v>
      </c>
      <c r="BC166" s="494">
        <v>0.4375</v>
      </c>
      <c r="BD166" s="493">
        <v>47989</v>
      </c>
      <c r="BE166" s="494">
        <v>0.99998842592592596</v>
      </c>
      <c r="BF166" s="493">
        <v>32639</v>
      </c>
      <c r="BG166" s="494">
        <v>0</v>
      </c>
      <c r="BH166" s="492" t="s">
        <v>1344</v>
      </c>
      <c r="BI166" s="492">
        <v>749</v>
      </c>
      <c r="BJ166" s="492" t="s">
        <v>1304</v>
      </c>
      <c r="BK166" s="492"/>
      <c r="BL166" s="493">
        <v>45551</v>
      </c>
      <c r="BM166" s="492" t="s">
        <v>1305</v>
      </c>
      <c r="BN166" s="492" t="s">
        <v>1301</v>
      </c>
      <c r="BO166" s="492">
        <v>0.15434059947487599</v>
      </c>
      <c r="BP166" s="492">
        <v>6.3356001313399999E-4</v>
      </c>
    </row>
    <row r="167" spans="1:68" ht="195">
      <c r="A167" s="492" t="s">
        <v>1102</v>
      </c>
      <c r="B167" s="492">
        <v>390615</v>
      </c>
      <c r="C167" s="492">
        <v>8184911</v>
      </c>
      <c r="D167" s="492">
        <v>196</v>
      </c>
      <c r="E167" s="492">
        <v>289</v>
      </c>
      <c r="F167" s="492">
        <v>60</v>
      </c>
      <c r="G167" s="492" t="b">
        <v>0</v>
      </c>
      <c r="H167" s="492" t="b">
        <v>0</v>
      </c>
      <c r="I167" s="492">
        <v>10</v>
      </c>
      <c r="J167" s="492" t="b">
        <v>0</v>
      </c>
      <c r="K167" s="492">
        <v>60</v>
      </c>
      <c r="L167" s="492" t="s">
        <v>1013</v>
      </c>
      <c r="M167" s="492" t="s">
        <v>1312</v>
      </c>
      <c r="N167" s="492" t="s">
        <v>2</v>
      </c>
      <c r="O167" s="492">
        <v>60</v>
      </c>
      <c r="P167" s="492" t="s">
        <v>109</v>
      </c>
      <c r="Q167" s="492">
        <v>3</v>
      </c>
      <c r="R167" s="492" t="b">
        <v>1</v>
      </c>
      <c r="S167" s="492" t="b">
        <v>1</v>
      </c>
      <c r="T167" s="492" t="s">
        <v>1352</v>
      </c>
      <c r="U167" s="492"/>
      <c r="V167" s="492"/>
      <c r="W167" s="492"/>
      <c r="X167" s="492"/>
      <c r="Y167" s="492">
        <v>390623.82284055202</v>
      </c>
      <c r="Z167" s="492">
        <v>8184908.4791884096</v>
      </c>
      <c r="AA167" s="492">
        <v>10004.720097052799</v>
      </c>
      <c r="AB167" s="492">
        <v>9799.99753814004</v>
      </c>
      <c r="AC167" s="492">
        <v>7</v>
      </c>
      <c r="AD167" s="492">
        <v>23444</v>
      </c>
      <c r="AE167" s="492" t="s">
        <v>1343</v>
      </c>
      <c r="AF167" s="492" t="s">
        <v>1298</v>
      </c>
      <c r="AG167" s="492" t="s">
        <v>1299</v>
      </c>
      <c r="AH167" s="492" t="s">
        <v>1300</v>
      </c>
      <c r="AI167" s="492">
        <v>1</v>
      </c>
      <c r="AJ167" s="492" t="s">
        <v>1301</v>
      </c>
      <c r="AK167" s="492" t="s">
        <v>1302</v>
      </c>
      <c r="AL167" s="492"/>
      <c r="AM167" s="492"/>
      <c r="AN167" s="492"/>
      <c r="AO167" s="492"/>
      <c r="AP167" s="492"/>
      <c r="AQ167" s="492"/>
      <c r="AR167" s="492"/>
      <c r="AS167" s="492"/>
      <c r="AT167" s="492"/>
      <c r="AU167" s="492"/>
      <c r="AV167" s="492"/>
      <c r="AW167" s="492"/>
      <c r="AX167" s="492"/>
      <c r="AY167" s="492"/>
      <c r="AZ167" s="492"/>
      <c r="BA167" s="492"/>
      <c r="BB167" s="493">
        <v>32303</v>
      </c>
      <c r="BC167" s="494">
        <v>0.4375</v>
      </c>
      <c r="BD167" s="493">
        <v>47989</v>
      </c>
      <c r="BE167" s="494">
        <v>0.99998842592592596</v>
      </c>
      <c r="BF167" s="493">
        <v>32639</v>
      </c>
      <c r="BG167" s="494">
        <v>0</v>
      </c>
      <c r="BH167" s="492" t="s">
        <v>1344</v>
      </c>
      <c r="BI167" s="492">
        <v>749</v>
      </c>
      <c r="BJ167" s="492" t="s">
        <v>1304</v>
      </c>
      <c r="BK167" s="492"/>
      <c r="BL167" s="493">
        <v>45551</v>
      </c>
      <c r="BM167" s="492" t="s">
        <v>1305</v>
      </c>
      <c r="BN167" s="492" t="s">
        <v>1301</v>
      </c>
      <c r="BO167" s="492">
        <v>0.15434059947487599</v>
      </c>
      <c r="BP167" s="492">
        <v>6.3356001313399999E-4</v>
      </c>
    </row>
    <row r="168" spans="1:68" ht="75">
      <c r="A168" s="492" t="s">
        <v>1161</v>
      </c>
      <c r="B168" s="492">
        <v>388905</v>
      </c>
      <c r="C168" s="492">
        <v>8181321</v>
      </c>
      <c r="D168" s="492">
        <v>170</v>
      </c>
      <c r="E168" s="492">
        <v>120</v>
      </c>
      <c r="F168" s="492">
        <v>55</v>
      </c>
      <c r="G168" s="492" t="b">
        <v>0</v>
      </c>
      <c r="H168" s="492" t="b">
        <v>0</v>
      </c>
      <c r="I168" s="492">
        <v>10</v>
      </c>
      <c r="J168" s="492" t="b">
        <v>0</v>
      </c>
      <c r="K168" s="492">
        <v>90</v>
      </c>
      <c r="L168" s="492" t="s">
        <v>94</v>
      </c>
      <c r="M168" s="492" t="s">
        <v>1308</v>
      </c>
      <c r="N168" s="492" t="s">
        <v>2</v>
      </c>
      <c r="O168" s="492">
        <v>90</v>
      </c>
      <c r="P168" s="492" t="s">
        <v>112</v>
      </c>
      <c r="Q168" s="492">
        <v>3</v>
      </c>
      <c r="R168" s="492"/>
      <c r="S168" s="492"/>
      <c r="T168" s="492"/>
      <c r="U168" s="492"/>
      <c r="V168" s="492"/>
      <c r="W168" s="492"/>
      <c r="X168" s="492"/>
      <c r="Y168" s="492">
        <v>388905</v>
      </c>
      <c r="Z168" s="492">
        <v>8181321</v>
      </c>
      <c r="AA168" s="492">
        <v>9539.7167683262305</v>
      </c>
      <c r="AB168" s="492">
        <v>5848.1156151005998</v>
      </c>
      <c r="AC168" s="492">
        <v>7</v>
      </c>
      <c r="AD168" s="492">
        <v>23444</v>
      </c>
      <c r="AE168" s="492" t="s">
        <v>1343</v>
      </c>
      <c r="AF168" s="492" t="s">
        <v>1298</v>
      </c>
      <c r="AG168" s="492" t="s">
        <v>1299</v>
      </c>
      <c r="AH168" s="492" t="s">
        <v>1300</v>
      </c>
      <c r="AI168" s="492">
        <v>1</v>
      </c>
      <c r="AJ168" s="492" t="s">
        <v>1301</v>
      </c>
      <c r="AK168" s="492" t="s">
        <v>1302</v>
      </c>
      <c r="AL168" s="492"/>
      <c r="AM168" s="492"/>
      <c r="AN168" s="492"/>
      <c r="AO168" s="492"/>
      <c r="AP168" s="492"/>
      <c r="AQ168" s="492"/>
      <c r="AR168" s="492"/>
      <c r="AS168" s="492"/>
      <c r="AT168" s="492"/>
      <c r="AU168" s="492"/>
      <c r="AV168" s="492"/>
      <c r="AW168" s="492"/>
      <c r="AX168" s="492"/>
      <c r="AY168" s="492"/>
      <c r="AZ168" s="492"/>
      <c r="BA168" s="492"/>
      <c r="BB168" s="493">
        <v>32303</v>
      </c>
      <c r="BC168" s="494">
        <v>0.4375</v>
      </c>
      <c r="BD168" s="493">
        <v>47989</v>
      </c>
      <c r="BE168" s="494">
        <v>0.99998842592592596</v>
      </c>
      <c r="BF168" s="493">
        <v>32639</v>
      </c>
      <c r="BG168" s="494">
        <v>0</v>
      </c>
      <c r="BH168" s="492" t="s">
        <v>1344</v>
      </c>
      <c r="BI168" s="492">
        <v>749</v>
      </c>
      <c r="BJ168" s="492" t="s">
        <v>1304</v>
      </c>
      <c r="BK168" s="492"/>
      <c r="BL168" s="493">
        <v>45551</v>
      </c>
      <c r="BM168" s="492" t="s">
        <v>1305</v>
      </c>
      <c r="BN168" s="492" t="s">
        <v>1301</v>
      </c>
      <c r="BO168" s="492">
        <v>0.15434059947487599</v>
      </c>
      <c r="BP168" s="492">
        <v>6.3356001313399999E-4</v>
      </c>
    </row>
    <row r="169" spans="1:68" ht="75">
      <c r="A169" s="492" t="s">
        <v>1188</v>
      </c>
      <c r="B169" s="492">
        <v>388809</v>
      </c>
      <c r="C169" s="492">
        <v>8181261</v>
      </c>
      <c r="D169" s="492">
        <v>170</v>
      </c>
      <c r="E169" s="492">
        <v>0</v>
      </c>
      <c r="F169" s="492">
        <v>90</v>
      </c>
      <c r="G169" s="492" t="b">
        <v>0</v>
      </c>
      <c r="H169" s="492" t="b">
        <v>0</v>
      </c>
      <c r="I169" s="492">
        <v>10</v>
      </c>
      <c r="J169" s="492" t="b">
        <v>0</v>
      </c>
      <c r="K169" s="492">
        <v>100</v>
      </c>
      <c r="L169" s="492" t="s">
        <v>1353</v>
      </c>
      <c r="M169" s="492" t="s">
        <v>1296</v>
      </c>
      <c r="N169" s="492" t="s">
        <v>1317</v>
      </c>
      <c r="O169" s="492">
        <v>100</v>
      </c>
      <c r="P169" s="492" t="s">
        <v>1310</v>
      </c>
      <c r="Q169" s="492">
        <v>1</v>
      </c>
      <c r="R169" s="492"/>
      <c r="S169" s="492"/>
      <c r="T169" s="492"/>
      <c r="U169" s="492"/>
      <c r="V169" s="492"/>
      <c r="W169" s="492"/>
      <c r="X169" s="492"/>
      <c r="Y169" s="492">
        <v>388809</v>
      </c>
      <c r="Z169" s="492">
        <v>8181261</v>
      </c>
      <c r="AA169" s="492">
        <v>9468.2898410791495</v>
      </c>
      <c r="AB169" s="492">
        <v>5760.2425395278196</v>
      </c>
      <c r="AC169" s="492">
        <v>7</v>
      </c>
      <c r="AD169" s="492">
        <v>23444</v>
      </c>
      <c r="AE169" s="492" t="s">
        <v>1343</v>
      </c>
      <c r="AF169" s="492" t="s">
        <v>1298</v>
      </c>
      <c r="AG169" s="492" t="s">
        <v>1299</v>
      </c>
      <c r="AH169" s="492" t="s">
        <v>1300</v>
      </c>
      <c r="AI169" s="492">
        <v>1</v>
      </c>
      <c r="AJ169" s="492" t="s">
        <v>1301</v>
      </c>
      <c r="AK169" s="492" t="s">
        <v>1302</v>
      </c>
      <c r="AL169" s="492"/>
      <c r="AM169" s="492"/>
      <c r="AN169" s="492"/>
      <c r="AO169" s="492"/>
      <c r="AP169" s="492"/>
      <c r="AQ169" s="492"/>
      <c r="AR169" s="492"/>
      <c r="AS169" s="492"/>
      <c r="AT169" s="492"/>
      <c r="AU169" s="492"/>
      <c r="AV169" s="492"/>
      <c r="AW169" s="492"/>
      <c r="AX169" s="492"/>
      <c r="AY169" s="492"/>
      <c r="AZ169" s="492"/>
      <c r="BA169" s="492"/>
      <c r="BB169" s="493">
        <v>32303</v>
      </c>
      <c r="BC169" s="494">
        <v>0.4375</v>
      </c>
      <c r="BD169" s="493">
        <v>47989</v>
      </c>
      <c r="BE169" s="494">
        <v>0.99998842592592596</v>
      </c>
      <c r="BF169" s="493">
        <v>32639</v>
      </c>
      <c r="BG169" s="494">
        <v>0</v>
      </c>
      <c r="BH169" s="492" t="s">
        <v>1344</v>
      </c>
      <c r="BI169" s="492">
        <v>749</v>
      </c>
      <c r="BJ169" s="492" t="s">
        <v>1304</v>
      </c>
      <c r="BK169" s="492"/>
      <c r="BL169" s="493">
        <v>45551</v>
      </c>
      <c r="BM169" s="492" t="s">
        <v>1305</v>
      </c>
      <c r="BN169" s="492" t="s">
        <v>1301</v>
      </c>
      <c r="BO169" s="492">
        <v>0.15434059947487599</v>
      </c>
      <c r="BP169" s="492">
        <v>6.3356001313399999E-4</v>
      </c>
    </row>
    <row r="170" spans="1:68" ht="75">
      <c r="A170" s="492" t="s">
        <v>1189</v>
      </c>
      <c r="B170" s="492">
        <v>388799</v>
      </c>
      <c r="C170" s="492">
        <v>8181244</v>
      </c>
      <c r="D170" s="492">
        <v>170</v>
      </c>
      <c r="E170" s="492">
        <v>0</v>
      </c>
      <c r="F170" s="492">
        <v>90</v>
      </c>
      <c r="G170" s="492" t="b">
        <v>0</v>
      </c>
      <c r="H170" s="492" t="b">
        <v>0</v>
      </c>
      <c r="I170" s="492">
        <v>10</v>
      </c>
      <c r="J170" s="492" t="b">
        <v>0</v>
      </c>
      <c r="K170" s="492">
        <v>30</v>
      </c>
      <c r="L170" s="492" t="s">
        <v>1354</v>
      </c>
      <c r="M170" s="492" t="s">
        <v>1296</v>
      </c>
      <c r="N170" s="492" t="s">
        <v>1317</v>
      </c>
      <c r="O170" s="492">
        <v>30</v>
      </c>
      <c r="P170" s="492" t="s">
        <v>1310</v>
      </c>
      <c r="Q170" s="492">
        <v>1</v>
      </c>
      <c r="R170" s="492"/>
      <c r="S170" s="492"/>
      <c r="T170" s="492"/>
      <c r="U170" s="492"/>
      <c r="V170" s="492"/>
      <c r="W170" s="492"/>
      <c r="X170" s="492"/>
      <c r="Y170" s="492">
        <v>388808.55930604099</v>
      </c>
      <c r="Z170" s="492">
        <v>8181260.0635761302</v>
      </c>
      <c r="AA170" s="492">
        <v>9468.17599948309</v>
      </c>
      <c r="AB170" s="492">
        <v>5759.2135758064596</v>
      </c>
      <c r="AC170" s="492">
        <v>7</v>
      </c>
      <c r="AD170" s="492">
        <v>23444</v>
      </c>
      <c r="AE170" s="492" t="s">
        <v>1343</v>
      </c>
      <c r="AF170" s="492" t="s">
        <v>1298</v>
      </c>
      <c r="AG170" s="492" t="s">
        <v>1299</v>
      </c>
      <c r="AH170" s="492" t="s">
        <v>1300</v>
      </c>
      <c r="AI170" s="492">
        <v>1</v>
      </c>
      <c r="AJ170" s="492" t="s">
        <v>1301</v>
      </c>
      <c r="AK170" s="492" t="s">
        <v>1302</v>
      </c>
      <c r="AL170" s="492"/>
      <c r="AM170" s="492"/>
      <c r="AN170" s="492"/>
      <c r="AO170" s="492"/>
      <c r="AP170" s="492"/>
      <c r="AQ170" s="492"/>
      <c r="AR170" s="492"/>
      <c r="AS170" s="492"/>
      <c r="AT170" s="492"/>
      <c r="AU170" s="492"/>
      <c r="AV170" s="492"/>
      <c r="AW170" s="492"/>
      <c r="AX170" s="492"/>
      <c r="AY170" s="492"/>
      <c r="AZ170" s="492"/>
      <c r="BA170" s="492"/>
      <c r="BB170" s="493">
        <v>32303</v>
      </c>
      <c r="BC170" s="494">
        <v>0.4375</v>
      </c>
      <c r="BD170" s="493">
        <v>47989</v>
      </c>
      <c r="BE170" s="494">
        <v>0.99998842592592596</v>
      </c>
      <c r="BF170" s="493">
        <v>32639</v>
      </c>
      <c r="BG170" s="494">
        <v>0</v>
      </c>
      <c r="BH170" s="492" t="s">
        <v>1344</v>
      </c>
      <c r="BI170" s="492">
        <v>749</v>
      </c>
      <c r="BJ170" s="492" t="s">
        <v>1304</v>
      </c>
      <c r="BK170" s="492"/>
      <c r="BL170" s="493">
        <v>45551</v>
      </c>
      <c r="BM170" s="492" t="s">
        <v>1305</v>
      </c>
      <c r="BN170" s="492" t="s">
        <v>1301</v>
      </c>
      <c r="BO170" s="492">
        <v>0.15434059947487599</v>
      </c>
      <c r="BP170" s="492">
        <v>6.3356001313399999E-4</v>
      </c>
    </row>
    <row r="171" spans="1:68" ht="75">
      <c r="A171" s="492" t="s">
        <v>810</v>
      </c>
      <c r="B171" s="492">
        <v>391292</v>
      </c>
      <c r="C171" s="492">
        <v>8185578</v>
      </c>
      <c r="D171" s="492">
        <v>174</v>
      </c>
      <c r="E171" s="492">
        <v>109</v>
      </c>
      <c r="F171" s="492">
        <v>60</v>
      </c>
      <c r="G171" s="492" t="b">
        <v>0</v>
      </c>
      <c r="H171" s="492" t="b">
        <v>0</v>
      </c>
      <c r="I171" s="492">
        <v>10</v>
      </c>
      <c r="J171" s="492" t="b">
        <v>0</v>
      </c>
      <c r="K171" s="492">
        <v>67</v>
      </c>
      <c r="L171" s="492" t="s">
        <v>1311</v>
      </c>
      <c r="M171" s="492" t="s">
        <v>1296</v>
      </c>
      <c r="N171" s="492" t="s">
        <v>2</v>
      </c>
      <c r="O171" s="492">
        <v>67</v>
      </c>
      <c r="P171" s="492" t="s">
        <v>109</v>
      </c>
      <c r="Q171" s="492">
        <v>3</v>
      </c>
      <c r="R171" s="492"/>
      <c r="S171" s="492"/>
      <c r="T171" s="492"/>
      <c r="U171" s="492"/>
      <c r="V171" s="492"/>
      <c r="W171" s="492"/>
      <c r="X171" s="492"/>
      <c r="Y171" s="492">
        <v>391292</v>
      </c>
      <c r="Z171" s="492">
        <v>8185578</v>
      </c>
      <c r="AA171" s="492">
        <v>10420.2883457019</v>
      </c>
      <c r="AB171" s="492">
        <v>10650.0235944138</v>
      </c>
      <c r="AC171" s="492">
        <v>7</v>
      </c>
      <c r="AD171" s="492">
        <v>23444</v>
      </c>
      <c r="AE171" s="492" t="s">
        <v>1343</v>
      </c>
      <c r="AF171" s="492" t="s">
        <v>1298</v>
      </c>
      <c r="AG171" s="492" t="s">
        <v>1299</v>
      </c>
      <c r="AH171" s="492" t="s">
        <v>1300</v>
      </c>
      <c r="AI171" s="492">
        <v>1</v>
      </c>
      <c r="AJ171" s="492" t="s">
        <v>1301</v>
      </c>
      <c r="AK171" s="492" t="s">
        <v>1302</v>
      </c>
      <c r="AL171" s="492"/>
      <c r="AM171" s="492"/>
      <c r="AN171" s="492"/>
      <c r="AO171" s="492"/>
      <c r="AP171" s="492"/>
      <c r="AQ171" s="492"/>
      <c r="AR171" s="492"/>
      <c r="AS171" s="492"/>
      <c r="AT171" s="492"/>
      <c r="AU171" s="492"/>
      <c r="AV171" s="492"/>
      <c r="AW171" s="492"/>
      <c r="AX171" s="492"/>
      <c r="AY171" s="492"/>
      <c r="AZ171" s="492"/>
      <c r="BA171" s="492"/>
      <c r="BB171" s="493">
        <v>32303</v>
      </c>
      <c r="BC171" s="494">
        <v>0.4375</v>
      </c>
      <c r="BD171" s="493">
        <v>47989</v>
      </c>
      <c r="BE171" s="494">
        <v>0.99998842592592596</v>
      </c>
      <c r="BF171" s="493">
        <v>32639</v>
      </c>
      <c r="BG171" s="494">
        <v>0</v>
      </c>
      <c r="BH171" s="492" t="s">
        <v>1344</v>
      </c>
      <c r="BI171" s="492">
        <v>749</v>
      </c>
      <c r="BJ171" s="492" t="s">
        <v>1304</v>
      </c>
      <c r="BK171" s="492"/>
      <c r="BL171" s="493">
        <v>45551</v>
      </c>
      <c r="BM171" s="492" t="s">
        <v>1305</v>
      </c>
      <c r="BN171" s="492" t="s">
        <v>1301</v>
      </c>
      <c r="BO171" s="492">
        <v>0.15434059947487599</v>
      </c>
      <c r="BP171" s="492">
        <v>6.3356001313399999E-4</v>
      </c>
    </row>
    <row r="172" spans="1:68" ht="75">
      <c r="A172" s="492" t="s">
        <v>845</v>
      </c>
      <c r="B172" s="492">
        <v>391260</v>
      </c>
      <c r="C172" s="492">
        <v>8185705</v>
      </c>
      <c r="D172" s="492">
        <v>174</v>
      </c>
      <c r="E172" s="492">
        <v>109</v>
      </c>
      <c r="F172" s="492">
        <v>60</v>
      </c>
      <c r="G172" s="492" t="b">
        <v>0</v>
      </c>
      <c r="H172" s="492" t="b">
        <v>0</v>
      </c>
      <c r="I172" s="492">
        <v>10</v>
      </c>
      <c r="J172" s="492" t="b">
        <v>0</v>
      </c>
      <c r="K172" s="492">
        <v>35</v>
      </c>
      <c r="L172" s="492" t="s">
        <v>1311</v>
      </c>
      <c r="M172" s="492" t="s">
        <v>1296</v>
      </c>
      <c r="N172" s="492" t="s">
        <v>2</v>
      </c>
      <c r="O172" s="492">
        <v>35</v>
      </c>
      <c r="P172" s="492" t="s">
        <v>109</v>
      </c>
      <c r="Q172" s="492">
        <v>3</v>
      </c>
      <c r="R172" s="492"/>
      <c r="S172" s="492"/>
      <c r="T172" s="492"/>
      <c r="U172" s="492"/>
      <c r="V172" s="492"/>
      <c r="W172" s="492"/>
      <c r="X172" s="492"/>
      <c r="Y172" s="492">
        <v>391260</v>
      </c>
      <c r="Z172" s="492">
        <v>8185705</v>
      </c>
      <c r="AA172" s="492">
        <v>10348.8764248853</v>
      </c>
      <c r="AB172" s="492">
        <v>10759.856892236499</v>
      </c>
      <c r="AC172" s="492">
        <v>7</v>
      </c>
      <c r="AD172" s="492">
        <v>23444</v>
      </c>
      <c r="AE172" s="492" t="s">
        <v>1343</v>
      </c>
      <c r="AF172" s="492" t="s">
        <v>1298</v>
      </c>
      <c r="AG172" s="492" t="s">
        <v>1299</v>
      </c>
      <c r="AH172" s="492" t="s">
        <v>1300</v>
      </c>
      <c r="AI172" s="492">
        <v>1</v>
      </c>
      <c r="AJ172" s="492" t="s">
        <v>1301</v>
      </c>
      <c r="AK172" s="492" t="s">
        <v>1302</v>
      </c>
      <c r="AL172" s="492"/>
      <c r="AM172" s="492"/>
      <c r="AN172" s="492"/>
      <c r="AO172" s="492"/>
      <c r="AP172" s="492"/>
      <c r="AQ172" s="492"/>
      <c r="AR172" s="492"/>
      <c r="AS172" s="492"/>
      <c r="AT172" s="492"/>
      <c r="AU172" s="492"/>
      <c r="AV172" s="492"/>
      <c r="AW172" s="492"/>
      <c r="AX172" s="492"/>
      <c r="AY172" s="492"/>
      <c r="AZ172" s="492"/>
      <c r="BA172" s="492"/>
      <c r="BB172" s="493">
        <v>32303</v>
      </c>
      <c r="BC172" s="494">
        <v>0.4375</v>
      </c>
      <c r="BD172" s="493">
        <v>47989</v>
      </c>
      <c r="BE172" s="494">
        <v>0.99998842592592596</v>
      </c>
      <c r="BF172" s="493">
        <v>32639</v>
      </c>
      <c r="BG172" s="494">
        <v>0</v>
      </c>
      <c r="BH172" s="492" t="s">
        <v>1344</v>
      </c>
      <c r="BI172" s="492">
        <v>749</v>
      </c>
      <c r="BJ172" s="492" t="s">
        <v>1304</v>
      </c>
      <c r="BK172" s="492"/>
      <c r="BL172" s="493">
        <v>45551</v>
      </c>
      <c r="BM172" s="492" t="s">
        <v>1305</v>
      </c>
      <c r="BN172" s="492" t="s">
        <v>1301</v>
      </c>
      <c r="BO172" s="492">
        <v>0.15434059947487599</v>
      </c>
      <c r="BP172" s="492">
        <v>6.3356001313399999E-4</v>
      </c>
    </row>
    <row r="173" spans="1:68" ht="75">
      <c r="A173" s="492" t="s">
        <v>787</v>
      </c>
      <c r="B173" s="492">
        <v>391278</v>
      </c>
      <c r="C173" s="492">
        <v>8185784</v>
      </c>
      <c r="D173" s="492">
        <v>176</v>
      </c>
      <c r="E173" s="492">
        <v>109</v>
      </c>
      <c r="F173" s="492">
        <v>60</v>
      </c>
      <c r="G173" s="492" t="b">
        <v>0</v>
      </c>
      <c r="H173" s="492" t="b">
        <v>0</v>
      </c>
      <c r="I173" s="492">
        <v>10</v>
      </c>
      <c r="J173" s="492" t="b">
        <v>0</v>
      </c>
      <c r="K173" s="492">
        <v>52</v>
      </c>
      <c r="L173" s="492" t="s">
        <v>1311</v>
      </c>
      <c r="M173" s="492" t="s">
        <v>1296</v>
      </c>
      <c r="N173" s="492" t="s">
        <v>2</v>
      </c>
      <c r="O173" s="492">
        <v>52</v>
      </c>
      <c r="P173" s="492" t="s">
        <v>109</v>
      </c>
      <c r="Q173" s="492">
        <v>3</v>
      </c>
      <c r="R173" s="492"/>
      <c r="S173" s="492"/>
      <c r="T173" s="492"/>
      <c r="U173" s="492"/>
      <c r="V173" s="492"/>
      <c r="W173" s="492"/>
      <c r="X173" s="492"/>
      <c r="Y173" s="492">
        <v>391278</v>
      </c>
      <c r="Z173" s="492">
        <v>8185784</v>
      </c>
      <c r="AA173" s="492">
        <v>10340.3295211722</v>
      </c>
      <c r="AB173" s="492">
        <v>10840.453317603</v>
      </c>
      <c r="AC173" s="492">
        <v>7</v>
      </c>
      <c r="AD173" s="492">
        <v>23444</v>
      </c>
      <c r="AE173" s="492" t="s">
        <v>1343</v>
      </c>
      <c r="AF173" s="492" t="s">
        <v>1298</v>
      </c>
      <c r="AG173" s="492" t="s">
        <v>1299</v>
      </c>
      <c r="AH173" s="492" t="s">
        <v>1300</v>
      </c>
      <c r="AI173" s="492">
        <v>1</v>
      </c>
      <c r="AJ173" s="492" t="s">
        <v>1301</v>
      </c>
      <c r="AK173" s="492" t="s">
        <v>1302</v>
      </c>
      <c r="AL173" s="492"/>
      <c r="AM173" s="492"/>
      <c r="AN173" s="492"/>
      <c r="AO173" s="492"/>
      <c r="AP173" s="492"/>
      <c r="AQ173" s="492"/>
      <c r="AR173" s="492"/>
      <c r="AS173" s="492"/>
      <c r="AT173" s="492"/>
      <c r="AU173" s="492"/>
      <c r="AV173" s="492"/>
      <c r="AW173" s="492"/>
      <c r="AX173" s="492"/>
      <c r="AY173" s="492"/>
      <c r="AZ173" s="492"/>
      <c r="BA173" s="492"/>
      <c r="BB173" s="493">
        <v>32303</v>
      </c>
      <c r="BC173" s="494">
        <v>0.4375</v>
      </c>
      <c r="BD173" s="493">
        <v>47989</v>
      </c>
      <c r="BE173" s="494">
        <v>0.99998842592592596</v>
      </c>
      <c r="BF173" s="493">
        <v>32639</v>
      </c>
      <c r="BG173" s="494">
        <v>0</v>
      </c>
      <c r="BH173" s="492" t="s">
        <v>1344</v>
      </c>
      <c r="BI173" s="492">
        <v>749</v>
      </c>
      <c r="BJ173" s="492" t="s">
        <v>1304</v>
      </c>
      <c r="BK173" s="492"/>
      <c r="BL173" s="493">
        <v>45551</v>
      </c>
      <c r="BM173" s="492" t="s">
        <v>1305</v>
      </c>
      <c r="BN173" s="492" t="s">
        <v>1301</v>
      </c>
      <c r="BO173" s="492">
        <v>0.15434059947487599</v>
      </c>
      <c r="BP173" s="492">
        <v>6.3356001313399999E-4</v>
      </c>
    </row>
    <row r="174" spans="1:68" ht="75">
      <c r="A174" s="492" t="s">
        <v>783</v>
      </c>
      <c r="B174" s="492">
        <v>391317</v>
      </c>
      <c r="C174" s="492">
        <v>8185855</v>
      </c>
      <c r="D174" s="492">
        <v>176</v>
      </c>
      <c r="E174" s="492">
        <v>109</v>
      </c>
      <c r="F174" s="492">
        <v>60</v>
      </c>
      <c r="G174" s="492" t="b">
        <v>0</v>
      </c>
      <c r="H174" s="492" t="b">
        <v>0</v>
      </c>
      <c r="I174" s="492">
        <v>10</v>
      </c>
      <c r="J174" s="492" t="b">
        <v>0</v>
      </c>
      <c r="K174" s="492">
        <v>94</v>
      </c>
      <c r="L174" s="492" t="s">
        <v>1311</v>
      </c>
      <c r="M174" s="492" t="s">
        <v>1296</v>
      </c>
      <c r="N174" s="492" t="s">
        <v>2</v>
      </c>
      <c r="O174" s="492">
        <v>94</v>
      </c>
      <c r="P174" s="492" t="s">
        <v>109</v>
      </c>
      <c r="Q174" s="492">
        <v>3</v>
      </c>
      <c r="R174" s="492"/>
      <c r="S174" s="492"/>
      <c r="T174" s="492"/>
      <c r="U174" s="492"/>
      <c r="V174" s="492"/>
      <c r="W174" s="492"/>
      <c r="X174" s="492"/>
      <c r="Y174" s="492">
        <v>391317</v>
      </c>
      <c r="Z174" s="492">
        <v>8185855</v>
      </c>
      <c r="AA174" s="492">
        <v>10354.2481572134</v>
      </c>
      <c r="AB174" s="492">
        <v>10920.2787719648</v>
      </c>
      <c r="AC174" s="492">
        <v>7</v>
      </c>
      <c r="AD174" s="492">
        <v>23444</v>
      </c>
      <c r="AE174" s="492" t="s">
        <v>1343</v>
      </c>
      <c r="AF174" s="492" t="s">
        <v>1298</v>
      </c>
      <c r="AG174" s="492" t="s">
        <v>1299</v>
      </c>
      <c r="AH174" s="492" t="s">
        <v>1300</v>
      </c>
      <c r="AI174" s="492">
        <v>1</v>
      </c>
      <c r="AJ174" s="492" t="s">
        <v>1301</v>
      </c>
      <c r="AK174" s="492" t="s">
        <v>1302</v>
      </c>
      <c r="AL174" s="492"/>
      <c r="AM174" s="492"/>
      <c r="AN174" s="492"/>
      <c r="AO174" s="492"/>
      <c r="AP174" s="492"/>
      <c r="AQ174" s="492"/>
      <c r="AR174" s="492"/>
      <c r="AS174" s="492"/>
      <c r="AT174" s="492"/>
      <c r="AU174" s="492"/>
      <c r="AV174" s="492"/>
      <c r="AW174" s="492"/>
      <c r="AX174" s="492"/>
      <c r="AY174" s="492"/>
      <c r="AZ174" s="492"/>
      <c r="BA174" s="492"/>
      <c r="BB174" s="493">
        <v>32303</v>
      </c>
      <c r="BC174" s="494">
        <v>0.4375</v>
      </c>
      <c r="BD174" s="493">
        <v>47989</v>
      </c>
      <c r="BE174" s="494">
        <v>0.99998842592592596</v>
      </c>
      <c r="BF174" s="493">
        <v>32639</v>
      </c>
      <c r="BG174" s="494">
        <v>0</v>
      </c>
      <c r="BH174" s="492" t="s">
        <v>1344</v>
      </c>
      <c r="BI174" s="492">
        <v>749</v>
      </c>
      <c r="BJ174" s="492" t="s">
        <v>1304</v>
      </c>
      <c r="BK174" s="492"/>
      <c r="BL174" s="493">
        <v>45551</v>
      </c>
      <c r="BM174" s="492" t="s">
        <v>1305</v>
      </c>
      <c r="BN174" s="492" t="s">
        <v>1301</v>
      </c>
      <c r="BO174" s="492">
        <v>0.15434059947487599</v>
      </c>
      <c r="BP174" s="492">
        <v>6.3356001313399999E-4</v>
      </c>
    </row>
    <row r="175" spans="1:68" ht="75">
      <c r="A175" s="492" t="s">
        <v>801</v>
      </c>
      <c r="B175" s="492">
        <v>391091</v>
      </c>
      <c r="C175" s="492">
        <v>8185425</v>
      </c>
      <c r="D175" s="492">
        <v>175</v>
      </c>
      <c r="E175" s="492">
        <v>109</v>
      </c>
      <c r="F175" s="492">
        <v>60</v>
      </c>
      <c r="G175" s="492" t="b">
        <v>0</v>
      </c>
      <c r="H175" s="492" t="b">
        <v>0</v>
      </c>
      <c r="I175" s="492">
        <v>10</v>
      </c>
      <c r="J175" s="492" t="b">
        <v>0</v>
      </c>
      <c r="K175" s="492">
        <v>120</v>
      </c>
      <c r="L175" s="492" t="s">
        <v>1311</v>
      </c>
      <c r="M175" s="492" t="s">
        <v>1296</v>
      </c>
      <c r="N175" s="492" t="s">
        <v>2</v>
      </c>
      <c r="O175" s="492">
        <v>120</v>
      </c>
      <c r="P175" s="492" t="s">
        <v>109</v>
      </c>
      <c r="Q175" s="492">
        <v>3</v>
      </c>
      <c r="R175" s="492"/>
      <c r="S175" s="492"/>
      <c r="T175" s="492"/>
      <c r="U175" s="492"/>
      <c r="V175" s="492"/>
      <c r="W175" s="492"/>
      <c r="X175" s="492"/>
      <c r="Y175" s="492">
        <v>391091</v>
      </c>
      <c r="Z175" s="492">
        <v>8185425</v>
      </c>
      <c r="AA175" s="492">
        <v>10279.603050923901</v>
      </c>
      <c r="AB175" s="492">
        <v>10440.1309863878</v>
      </c>
      <c r="AC175" s="492">
        <v>7</v>
      </c>
      <c r="AD175" s="492">
        <v>23444</v>
      </c>
      <c r="AE175" s="492" t="s">
        <v>1343</v>
      </c>
      <c r="AF175" s="492" t="s">
        <v>1298</v>
      </c>
      <c r="AG175" s="492" t="s">
        <v>1299</v>
      </c>
      <c r="AH175" s="492" t="s">
        <v>1300</v>
      </c>
      <c r="AI175" s="492">
        <v>1</v>
      </c>
      <c r="AJ175" s="492" t="s">
        <v>1301</v>
      </c>
      <c r="AK175" s="492" t="s">
        <v>1302</v>
      </c>
      <c r="AL175" s="492"/>
      <c r="AM175" s="492"/>
      <c r="AN175" s="492"/>
      <c r="AO175" s="492"/>
      <c r="AP175" s="492"/>
      <c r="AQ175" s="492"/>
      <c r="AR175" s="492"/>
      <c r="AS175" s="492"/>
      <c r="AT175" s="492"/>
      <c r="AU175" s="492"/>
      <c r="AV175" s="492"/>
      <c r="AW175" s="492"/>
      <c r="AX175" s="492"/>
      <c r="AY175" s="492"/>
      <c r="AZ175" s="492"/>
      <c r="BA175" s="492"/>
      <c r="BB175" s="493">
        <v>32303</v>
      </c>
      <c r="BC175" s="494">
        <v>0.4375</v>
      </c>
      <c r="BD175" s="493">
        <v>47989</v>
      </c>
      <c r="BE175" s="494">
        <v>0.99998842592592596</v>
      </c>
      <c r="BF175" s="493">
        <v>32639</v>
      </c>
      <c r="BG175" s="494">
        <v>0</v>
      </c>
      <c r="BH175" s="492" t="s">
        <v>1344</v>
      </c>
      <c r="BI175" s="492">
        <v>749</v>
      </c>
      <c r="BJ175" s="492" t="s">
        <v>1304</v>
      </c>
      <c r="BK175" s="492"/>
      <c r="BL175" s="493">
        <v>45551</v>
      </c>
      <c r="BM175" s="492" t="s">
        <v>1305</v>
      </c>
      <c r="BN175" s="492" t="s">
        <v>1301</v>
      </c>
      <c r="BO175" s="492">
        <v>0.15434059947487599</v>
      </c>
      <c r="BP175" s="492">
        <v>6.3356001313399999E-4</v>
      </c>
    </row>
    <row r="176" spans="1:68" ht="75">
      <c r="A176" s="492" t="s">
        <v>1092</v>
      </c>
      <c r="B176" s="492">
        <v>390825</v>
      </c>
      <c r="C176" s="492">
        <v>8185431</v>
      </c>
      <c r="D176" s="492">
        <v>187</v>
      </c>
      <c r="E176" s="492">
        <v>289</v>
      </c>
      <c r="F176" s="492">
        <v>60</v>
      </c>
      <c r="G176" s="492" t="b">
        <v>0</v>
      </c>
      <c r="H176" s="492" t="b">
        <v>0</v>
      </c>
      <c r="I176" s="492">
        <v>10</v>
      </c>
      <c r="J176" s="492" t="b">
        <v>0</v>
      </c>
      <c r="K176" s="492">
        <v>160</v>
      </c>
      <c r="L176" s="492" t="s">
        <v>1013</v>
      </c>
      <c r="M176" s="492" t="s">
        <v>1308</v>
      </c>
      <c r="N176" s="492" t="s">
        <v>2</v>
      </c>
      <c r="O176" s="492">
        <v>160</v>
      </c>
      <c r="P176" s="492" t="s">
        <v>109</v>
      </c>
      <c r="Q176" s="492">
        <v>3</v>
      </c>
      <c r="R176" s="492"/>
      <c r="S176" s="492"/>
      <c r="T176" s="492"/>
      <c r="U176" s="492"/>
      <c r="V176" s="492"/>
      <c r="W176" s="492"/>
      <c r="X176" s="492"/>
      <c r="Y176" s="492">
        <v>390825</v>
      </c>
      <c r="Z176" s="492">
        <v>8185431</v>
      </c>
      <c r="AA176" s="492">
        <v>10025.911298582299</v>
      </c>
      <c r="AB176" s="492">
        <v>10359.6708676749</v>
      </c>
      <c r="AC176" s="492">
        <v>7</v>
      </c>
      <c r="AD176" s="492">
        <v>23444</v>
      </c>
      <c r="AE176" s="492" t="s">
        <v>1343</v>
      </c>
      <c r="AF176" s="492" t="s">
        <v>1298</v>
      </c>
      <c r="AG176" s="492" t="s">
        <v>1299</v>
      </c>
      <c r="AH176" s="492" t="s">
        <v>1300</v>
      </c>
      <c r="AI176" s="492">
        <v>1</v>
      </c>
      <c r="AJ176" s="492" t="s">
        <v>1301</v>
      </c>
      <c r="AK176" s="492" t="s">
        <v>1302</v>
      </c>
      <c r="AL176" s="492"/>
      <c r="AM176" s="492"/>
      <c r="AN176" s="492"/>
      <c r="AO176" s="492"/>
      <c r="AP176" s="492"/>
      <c r="AQ176" s="492"/>
      <c r="AR176" s="492"/>
      <c r="AS176" s="492"/>
      <c r="AT176" s="492"/>
      <c r="AU176" s="492"/>
      <c r="AV176" s="492"/>
      <c r="AW176" s="492"/>
      <c r="AX176" s="492"/>
      <c r="AY176" s="492"/>
      <c r="AZ176" s="492"/>
      <c r="BA176" s="492"/>
      <c r="BB176" s="493">
        <v>32303</v>
      </c>
      <c r="BC176" s="494">
        <v>0.4375</v>
      </c>
      <c r="BD176" s="493">
        <v>47989</v>
      </c>
      <c r="BE176" s="494">
        <v>0.99998842592592596</v>
      </c>
      <c r="BF176" s="493">
        <v>32639</v>
      </c>
      <c r="BG176" s="494">
        <v>0</v>
      </c>
      <c r="BH176" s="492" t="s">
        <v>1344</v>
      </c>
      <c r="BI176" s="492">
        <v>749</v>
      </c>
      <c r="BJ176" s="492" t="s">
        <v>1304</v>
      </c>
      <c r="BK176" s="492"/>
      <c r="BL176" s="493">
        <v>45551</v>
      </c>
      <c r="BM176" s="492" t="s">
        <v>1305</v>
      </c>
      <c r="BN176" s="492" t="s">
        <v>1301</v>
      </c>
      <c r="BO176" s="492">
        <v>0.15434059947487599</v>
      </c>
      <c r="BP176" s="492">
        <v>6.3356001313399999E-4</v>
      </c>
    </row>
    <row r="177" spans="1:68" ht="75">
      <c r="A177" s="492" t="s">
        <v>799</v>
      </c>
      <c r="B177" s="492">
        <v>391053</v>
      </c>
      <c r="C177" s="492">
        <v>8185438</v>
      </c>
      <c r="D177" s="492">
        <v>176</v>
      </c>
      <c r="E177" s="492">
        <v>109</v>
      </c>
      <c r="F177" s="492">
        <v>60</v>
      </c>
      <c r="G177" s="492" t="b">
        <v>0</v>
      </c>
      <c r="H177" s="492" t="b">
        <v>0</v>
      </c>
      <c r="I177" s="492">
        <v>10</v>
      </c>
      <c r="J177" s="492" t="b">
        <v>0</v>
      </c>
      <c r="K177" s="492">
        <v>196</v>
      </c>
      <c r="L177" s="492" t="s">
        <v>1311</v>
      </c>
      <c r="M177" s="492" t="s">
        <v>1296</v>
      </c>
      <c r="N177" s="492" t="s">
        <v>2</v>
      </c>
      <c r="O177" s="492">
        <v>196</v>
      </c>
      <c r="P177" s="492" t="s">
        <v>109</v>
      </c>
      <c r="Q177" s="492">
        <v>3</v>
      </c>
      <c r="R177" s="492"/>
      <c r="S177" s="492"/>
      <c r="T177" s="492"/>
      <c r="U177" s="492"/>
      <c r="V177" s="492"/>
      <c r="W177" s="492" t="s">
        <v>1307</v>
      </c>
      <c r="X177" s="492"/>
      <c r="Y177" s="492">
        <v>391053</v>
      </c>
      <c r="Z177" s="492">
        <v>8185438</v>
      </c>
      <c r="AA177" s="492">
        <v>10239.429155952201</v>
      </c>
      <c r="AB177" s="492">
        <v>10440.128974732001</v>
      </c>
      <c r="AC177" s="492">
        <v>7</v>
      </c>
      <c r="AD177" s="492">
        <v>23444</v>
      </c>
      <c r="AE177" s="492" t="s">
        <v>1343</v>
      </c>
      <c r="AF177" s="492" t="s">
        <v>1298</v>
      </c>
      <c r="AG177" s="492" t="s">
        <v>1299</v>
      </c>
      <c r="AH177" s="492" t="s">
        <v>1300</v>
      </c>
      <c r="AI177" s="492">
        <v>1</v>
      </c>
      <c r="AJ177" s="492" t="s">
        <v>1301</v>
      </c>
      <c r="AK177" s="492" t="s">
        <v>1302</v>
      </c>
      <c r="AL177" s="492"/>
      <c r="AM177" s="492"/>
      <c r="AN177" s="492"/>
      <c r="AO177" s="492"/>
      <c r="AP177" s="492"/>
      <c r="AQ177" s="492"/>
      <c r="AR177" s="492"/>
      <c r="AS177" s="492"/>
      <c r="AT177" s="492"/>
      <c r="AU177" s="492"/>
      <c r="AV177" s="492"/>
      <c r="AW177" s="492"/>
      <c r="AX177" s="492"/>
      <c r="AY177" s="492"/>
      <c r="AZ177" s="492"/>
      <c r="BA177" s="492"/>
      <c r="BB177" s="493">
        <v>32303</v>
      </c>
      <c r="BC177" s="494">
        <v>0.4375</v>
      </c>
      <c r="BD177" s="493">
        <v>47989</v>
      </c>
      <c r="BE177" s="494">
        <v>0.99998842592592596</v>
      </c>
      <c r="BF177" s="493">
        <v>32639</v>
      </c>
      <c r="BG177" s="494">
        <v>0</v>
      </c>
      <c r="BH177" s="492" t="s">
        <v>1344</v>
      </c>
      <c r="BI177" s="492">
        <v>749</v>
      </c>
      <c r="BJ177" s="492" t="s">
        <v>1304</v>
      </c>
      <c r="BK177" s="492"/>
      <c r="BL177" s="493">
        <v>45551</v>
      </c>
      <c r="BM177" s="492" t="s">
        <v>1305</v>
      </c>
      <c r="BN177" s="492" t="s">
        <v>1301</v>
      </c>
      <c r="BO177" s="492">
        <v>0.15434059947487599</v>
      </c>
      <c r="BP177" s="492">
        <v>6.3356001313399999E-4</v>
      </c>
    </row>
    <row r="178" spans="1:68" ht="75">
      <c r="A178" s="492" t="s">
        <v>468</v>
      </c>
      <c r="B178" s="492">
        <v>390879</v>
      </c>
      <c r="C178" s="492">
        <v>8185455</v>
      </c>
      <c r="D178" s="492">
        <v>183</v>
      </c>
      <c r="E178" s="492">
        <v>289</v>
      </c>
      <c r="F178" s="492">
        <v>60</v>
      </c>
      <c r="G178" s="492" t="b">
        <v>0</v>
      </c>
      <c r="H178" s="492" t="b">
        <v>0</v>
      </c>
      <c r="I178" s="492">
        <v>10</v>
      </c>
      <c r="J178" s="492" t="b">
        <v>0</v>
      </c>
      <c r="K178" s="492">
        <v>230</v>
      </c>
      <c r="L178" s="492" t="s">
        <v>1013</v>
      </c>
      <c r="M178" s="492" t="s">
        <v>1296</v>
      </c>
      <c r="N178" s="492" t="s">
        <v>1</v>
      </c>
      <c r="O178" s="492">
        <v>230</v>
      </c>
      <c r="P178" s="492" t="s">
        <v>109</v>
      </c>
      <c r="Q178" s="492">
        <v>3</v>
      </c>
      <c r="R178" s="492"/>
      <c r="S178" s="492"/>
      <c r="T178" s="492"/>
      <c r="U178" s="492"/>
      <c r="V178" s="492"/>
      <c r="W178" s="492"/>
      <c r="X178" s="492"/>
      <c r="Y178" s="492">
        <v>390879</v>
      </c>
      <c r="Z178" s="492">
        <v>8185455</v>
      </c>
      <c r="AA178" s="492">
        <v>10069.2462833551</v>
      </c>
      <c r="AB178" s="492">
        <v>10399.871839008199</v>
      </c>
      <c r="AC178" s="492">
        <v>7</v>
      </c>
      <c r="AD178" s="492">
        <v>23444</v>
      </c>
      <c r="AE178" s="492" t="s">
        <v>1343</v>
      </c>
      <c r="AF178" s="492" t="s">
        <v>1298</v>
      </c>
      <c r="AG178" s="492" t="s">
        <v>1299</v>
      </c>
      <c r="AH178" s="492" t="s">
        <v>1300</v>
      </c>
      <c r="AI178" s="492">
        <v>1</v>
      </c>
      <c r="AJ178" s="492" t="s">
        <v>1301</v>
      </c>
      <c r="AK178" s="492" t="s">
        <v>1302</v>
      </c>
      <c r="AL178" s="492"/>
      <c r="AM178" s="492"/>
      <c r="AN178" s="492"/>
      <c r="AO178" s="492"/>
      <c r="AP178" s="492"/>
      <c r="AQ178" s="492"/>
      <c r="AR178" s="492"/>
      <c r="AS178" s="492"/>
      <c r="AT178" s="492"/>
      <c r="AU178" s="492"/>
      <c r="AV178" s="492"/>
      <c r="AW178" s="492"/>
      <c r="AX178" s="492"/>
      <c r="AY178" s="492"/>
      <c r="AZ178" s="492"/>
      <c r="BA178" s="492"/>
      <c r="BB178" s="493">
        <v>32303</v>
      </c>
      <c r="BC178" s="494">
        <v>0.4375</v>
      </c>
      <c r="BD178" s="493">
        <v>47989</v>
      </c>
      <c r="BE178" s="494">
        <v>0.99998842592592596</v>
      </c>
      <c r="BF178" s="493">
        <v>32639</v>
      </c>
      <c r="BG178" s="494">
        <v>0</v>
      </c>
      <c r="BH178" s="492" t="s">
        <v>1344</v>
      </c>
      <c r="BI178" s="492">
        <v>749</v>
      </c>
      <c r="BJ178" s="492" t="s">
        <v>1304</v>
      </c>
      <c r="BK178" s="492"/>
      <c r="BL178" s="493">
        <v>45551</v>
      </c>
      <c r="BM178" s="492" t="s">
        <v>1305</v>
      </c>
      <c r="BN178" s="492" t="s">
        <v>1301</v>
      </c>
      <c r="BO178" s="492">
        <v>0.15434059947487599</v>
      </c>
      <c r="BP178" s="492">
        <v>6.3356001313399999E-4</v>
      </c>
    </row>
    <row r="179" spans="1:68" ht="75">
      <c r="A179" s="492" t="s">
        <v>1134</v>
      </c>
      <c r="B179" s="492">
        <v>391099</v>
      </c>
      <c r="C179" s="492">
        <v>8185464</v>
      </c>
      <c r="D179" s="492">
        <v>177</v>
      </c>
      <c r="E179" s="492">
        <v>109</v>
      </c>
      <c r="F179" s="492">
        <v>60</v>
      </c>
      <c r="G179" s="492" t="b">
        <v>0</v>
      </c>
      <c r="H179" s="492" t="b">
        <v>0</v>
      </c>
      <c r="I179" s="492">
        <v>10</v>
      </c>
      <c r="J179" s="492" t="b">
        <v>0</v>
      </c>
      <c r="K179" s="492">
        <v>180</v>
      </c>
      <c r="L179" s="492" t="s">
        <v>1013</v>
      </c>
      <c r="M179" s="492" t="s">
        <v>1308</v>
      </c>
      <c r="N179" s="492" t="s">
        <v>2</v>
      </c>
      <c r="O179" s="492">
        <v>180</v>
      </c>
      <c r="P179" s="492" t="s">
        <v>109</v>
      </c>
      <c r="Q179" s="492">
        <v>3</v>
      </c>
      <c r="R179" s="492"/>
      <c r="S179" s="492"/>
      <c r="T179" s="492"/>
      <c r="U179" s="492"/>
      <c r="V179" s="492"/>
      <c r="W179" s="492"/>
      <c r="X179" s="492"/>
      <c r="Y179" s="492">
        <v>391099</v>
      </c>
      <c r="Z179" s="492">
        <v>8185464</v>
      </c>
      <c r="AA179" s="492">
        <v>10274.5450898814</v>
      </c>
      <c r="AB179" s="492">
        <v>10479.6321575315</v>
      </c>
      <c r="AC179" s="492">
        <v>7</v>
      </c>
      <c r="AD179" s="492">
        <v>23444</v>
      </c>
      <c r="AE179" s="492" t="s">
        <v>1343</v>
      </c>
      <c r="AF179" s="492" t="s">
        <v>1298</v>
      </c>
      <c r="AG179" s="492" t="s">
        <v>1299</v>
      </c>
      <c r="AH179" s="492" t="s">
        <v>1300</v>
      </c>
      <c r="AI179" s="492">
        <v>1</v>
      </c>
      <c r="AJ179" s="492" t="s">
        <v>1301</v>
      </c>
      <c r="AK179" s="492" t="s">
        <v>1302</v>
      </c>
      <c r="AL179" s="492"/>
      <c r="AM179" s="492"/>
      <c r="AN179" s="492"/>
      <c r="AO179" s="492"/>
      <c r="AP179" s="492"/>
      <c r="AQ179" s="492"/>
      <c r="AR179" s="492"/>
      <c r="AS179" s="492"/>
      <c r="AT179" s="492"/>
      <c r="AU179" s="492"/>
      <c r="AV179" s="492"/>
      <c r="AW179" s="492"/>
      <c r="AX179" s="492"/>
      <c r="AY179" s="492"/>
      <c r="AZ179" s="492"/>
      <c r="BA179" s="492"/>
      <c r="BB179" s="493">
        <v>32303</v>
      </c>
      <c r="BC179" s="494">
        <v>0.4375</v>
      </c>
      <c r="BD179" s="493">
        <v>47989</v>
      </c>
      <c r="BE179" s="494">
        <v>0.99998842592592596</v>
      </c>
      <c r="BF179" s="493">
        <v>32639</v>
      </c>
      <c r="BG179" s="494">
        <v>0</v>
      </c>
      <c r="BH179" s="492" t="s">
        <v>1344</v>
      </c>
      <c r="BI179" s="492">
        <v>749</v>
      </c>
      <c r="BJ179" s="492" t="s">
        <v>1304</v>
      </c>
      <c r="BK179" s="492"/>
      <c r="BL179" s="493">
        <v>45551</v>
      </c>
      <c r="BM179" s="492" t="s">
        <v>1305</v>
      </c>
      <c r="BN179" s="492" t="s">
        <v>1301</v>
      </c>
      <c r="BO179" s="492">
        <v>0.15434059947487599</v>
      </c>
      <c r="BP179" s="492">
        <v>6.3356001313399999E-4</v>
      </c>
    </row>
    <row r="180" spans="1:68" ht="75">
      <c r="A180" s="492" t="s">
        <v>807</v>
      </c>
      <c r="B180" s="492">
        <v>391215</v>
      </c>
      <c r="C180" s="492">
        <v>8185467</v>
      </c>
      <c r="D180" s="492">
        <v>175</v>
      </c>
      <c r="E180" s="492">
        <v>109</v>
      </c>
      <c r="F180" s="492">
        <v>60</v>
      </c>
      <c r="G180" s="492" t="b">
        <v>0</v>
      </c>
      <c r="H180" s="492" t="b">
        <v>0</v>
      </c>
      <c r="I180" s="492">
        <v>10</v>
      </c>
      <c r="J180" s="492" t="b">
        <v>0</v>
      </c>
      <c r="K180" s="492">
        <v>70</v>
      </c>
      <c r="L180" s="492" t="s">
        <v>1013</v>
      </c>
      <c r="M180" s="492" t="s">
        <v>1296</v>
      </c>
      <c r="N180" s="492" t="s">
        <v>2</v>
      </c>
      <c r="O180" s="492">
        <v>70</v>
      </c>
      <c r="P180" s="492" t="s">
        <v>109</v>
      </c>
      <c r="Q180" s="492">
        <v>3</v>
      </c>
      <c r="R180" s="492"/>
      <c r="S180" s="492"/>
      <c r="T180" s="492"/>
      <c r="U180" s="492"/>
      <c r="V180" s="492"/>
      <c r="W180" s="492"/>
      <c r="X180" s="492"/>
      <c r="Y180" s="492">
        <v>391215</v>
      </c>
      <c r="Z180" s="492">
        <v>8185467</v>
      </c>
      <c r="AA180" s="492">
        <v>10383.3587812762</v>
      </c>
      <c r="AB180" s="492">
        <v>10520.035658192801</v>
      </c>
      <c r="AC180" s="492">
        <v>7</v>
      </c>
      <c r="AD180" s="492">
        <v>23444</v>
      </c>
      <c r="AE180" s="492" t="s">
        <v>1343</v>
      </c>
      <c r="AF180" s="492" t="s">
        <v>1298</v>
      </c>
      <c r="AG180" s="492" t="s">
        <v>1299</v>
      </c>
      <c r="AH180" s="492" t="s">
        <v>1300</v>
      </c>
      <c r="AI180" s="492">
        <v>1</v>
      </c>
      <c r="AJ180" s="492" t="s">
        <v>1301</v>
      </c>
      <c r="AK180" s="492" t="s">
        <v>1302</v>
      </c>
      <c r="AL180" s="492"/>
      <c r="AM180" s="492"/>
      <c r="AN180" s="492"/>
      <c r="AO180" s="492"/>
      <c r="AP180" s="492"/>
      <c r="AQ180" s="492"/>
      <c r="AR180" s="492"/>
      <c r="AS180" s="492"/>
      <c r="AT180" s="492"/>
      <c r="AU180" s="492"/>
      <c r="AV180" s="492"/>
      <c r="AW180" s="492"/>
      <c r="AX180" s="492"/>
      <c r="AY180" s="492"/>
      <c r="AZ180" s="492"/>
      <c r="BA180" s="492"/>
      <c r="BB180" s="493">
        <v>32303</v>
      </c>
      <c r="BC180" s="494">
        <v>0.4375</v>
      </c>
      <c r="BD180" s="493">
        <v>47989</v>
      </c>
      <c r="BE180" s="494">
        <v>0.99998842592592596</v>
      </c>
      <c r="BF180" s="493">
        <v>32639</v>
      </c>
      <c r="BG180" s="494">
        <v>0</v>
      </c>
      <c r="BH180" s="492" t="s">
        <v>1344</v>
      </c>
      <c r="BI180" s="492">
        <v>749</v>
      </c>
      <c r="BJ180" s="492" t="s">
        <v>1304</v>
      </c>
      <c r="BK180" s="492"/>
      <c r="BL180" s="493">
        <v>45551</v>
      </c>
      <c r="BM180" s="492" t="s">
        <v>1305</v>
      </c>
      <c r="BN180" s="492" t="s">
        <v>1301</v>
      </c>
      <c r="BO180" s="492">
        <v>0.15434059947487599</v>
      </c>
      <c r="BP180" s="492">
        <v>6.3356001313399999E-4</v>
      </c>
    </row>
    <row r="181" spans="1:68" ht="75">
      <c r="A181" s="492" t="s">
        <v>439</v>
      </c>
      <c r="B181" s="492">
        <v>390816</v>
      </c>
      <c r="C181" s="492">
        <v>8185475</v>
      </c>
      <c r="D181" s="492">
        <v>191</v>
      </c>
      <c r="E181" s="492">
        <v>289</v>
      </c>
      <c r="F181" s="492">
        <v>55</v>
      </c>
      <c r="G181" s="492" t="b">
        <v>0</v>
      </c>
      <c r="H181" s="492" t="b">
        <v>0</v>
      </c>
      <c r="I181" s="492">
        <v>10</v>
      </c>
      <c r="J181" s="492" t="b">
        <v>0</v>
      </c>
      <c r="K181" s="492">
        <v>85</v>
      </c>
      <c r="L181" s="492" t="s">
        <v>1306</v>
      </c>
      <c r="M181" s="492" t="s">
        <v>1296</v>
      </c>
      <c r="N181" s="492" t="s">
        <v>1</v>
      </c>
      <c r="O181" s="492">
        <v>85</v>
      </c>
      <c r="P181" s="492" t="s">
        <v>11</v>
      </c>
      <c r="Q181" s="492">
        <v>1</v>
      </c>
      <c r="R181" s="492"/>
      <c r="S181" s="492"/>
      <c r="T181" s="492"/>
      <c r="U181" s="492"/>
      <c r="V181" s="492"/>
      <c r="W181" s="492"/>
      <c r="X181" s="492"/>
      <c r="Y181" s="492">
        <v>390816</v>
      </c>
      <c r="Z181" s="492">
        <v>8185475</v>
      </c>
      <c r="AA181" s="492">
        <v>10003.144982322499</v>
      </c>
      <c r="AB181" s="492">
        <v>10398.3990561552</v>
      </c>
      <c r="AC181" s="492">
        <v>7</v>
      </c>
      <c r="AD181" s="492">
        <v>23444</v>
      </c>
      <c r="AE181" s="492" t="s">
        <v>1343</v>
      </c>
      <c r="AF181" s="492" t="s">
        <v>1298</v>
      </c>
      <c r="AG181" s="492" t="s">
        <v>1299</v>
      </c>
      <c r="AH181" s="492" t="s">
        <v>1300</v>
      </c>
      <c r="AI181" s="492">
        <v>1</v>
      </c>
      <c r="AJ181" s="492" t="s">
        <v>1301</v>
      </c>
      <c r="AK181" s="492" t="s">
        <v>1302</v>
      </c>
      <c r="AL181" s="492"/>
      <c r="AM181" s="492"/>
      <c r="AN181" s="492"/>
      <c r="AO181" s="492"/>
      <c r="AP181" s="492"/>
      <c r="AQ181" s="492"/>
      <c r="AR181" s="492"/>
      <c r="AS181" s="492"/>
      <c r="AT181" s="492"/>
      <c r="AU181" s="492"/>
      <c r="AV181" s="492"/>
      <c r="AW181" s="492"/>
      <c r="AX181" s="492"/>
      <c r="AY181" s="492"/>
      <c r="AZ181" s="492"/>
      <c r="BA181" s="492"/>
      <c r="BB181" s="493">
        <v>32303</v>
      </c>
      <c r="BC181" s="494">
        <v>0.4375</v>
      </c>
      <c r="BD181" s="493">
        <v>47989</v>
      </c>
      <c r="BE181" s="494">
        <v>0.99998842592592596</v>
      </c>
      <c r="BF181" s="493">
        <v>32639</v>
      </c>
      <c r="BG181" s="494">
        <v>0</v>
      </c>
      <c r="BH181" s="492" t="s">
        <v>1344</v>
      </c>
      <c r="BI181" s="492">
        <v>749</v>
      </c>
      <c r="BJ181" s="492" t="s">
        <v>1304</v>
      </c>
      <c r="BK181" s="492"/>
      <c r="BL181" s="493">
        <v>45551</v>
      </c>
      <c r="BM181" s="492" t="s">
        <v>1305</v>
      </c>
      <c r="BN181" s="492" t="s">
        <v>1301</v>
      </c>
      <c r="BO181" s="492">
        <v>0.15434059947487599</v>
      </c>
      <c r="BP181" s="492">
        <v>6.3356001313399999E-4</v>
      </c>
    </row>
    <row r="182" spans="1:68" ht="75">
      <c r="A182" s="492" t="s">
        <v>806</v>
      </c>
      <c r="B182" s="492">
        <v>391192</v>
      </c>
      <c r="C182" s="492">
        <v>8185475</v>
      </c>
      <c r="D182" s="492">
        <v>176</v>
      </c>
      <c r="E182" s="492">
        <v>109</v>
      </c>
      <c r="F182" s="492">
        <v>60</v>
      </c>
      <c r="G182" s="492" t="b">
        <v>0</v>
      </c>
      <c r="H182" s="492" t="b">
        <v>0</v>
      </c>
      <c r="I182" s="492">
        <v>10</v>
      </c>
      <c r="J182" s="492" t="b">
        <v>0</v>
      </c>
      <c r="K182" s="492">
        <v>120</v>
      </c>
      <c r="L182" s="492" t="s">
        <v>1013</v>
      </c>
      <c r="M182" s="492" t="s">
        <v>1296</v>
      </c>
      <c r="N182" s="492" t="s">
        <v>2</v>
      </c>
      <c r="O182" s="492">
        <v>120</v>
      </c>
      <c r="P182" s="492" t="s">
        <v>109</v>
      </c>
      <c r="Q182" s="492">
        <v>3</v>
      </c>
      <c r="R182" s="492"/>
      <c r="S182" s="492"/>
      <c r="T182" s="492"/>
      <c r="U182" s="492"/>
      <c r="V182" s="492"/>
      <c r="W182" s="492" t="s">
        <v>1355</v>
      </c>
      <c r="X182" s="492"/>
      <c r="Y182" s="492">
        <v>391192</v>
      </c>
      <c r="Z182" s="492">
        <v>8185475</v>
      </c>
      <c r="AA182" s="492">
        <v>10359.000393590801</v>
      </c>
      <c r="AB182" s="492">
        <v>10520.1589700812</v>
      </c>
      <c r="AC182" s="492">
        <v>7</v>
      </c>
      <c r="AD182" s="492">
        <v>23444</v>
      </c>
      <c r="AE182" s="492" t="s">
        <v>1343</v>
      </c>
      <c r="AF182" s="492" t="s">
        <v>1298</v>
      </c>
      <c r="AG182" s="492" t="s">
        <v>1299</v>
      </c>
      <c r="AH182" s="492" t="s">
        <v>1300</v>
      </c>
      <c r="AI182" s="492">
        <v>1</v>
      </c>
      <c r="AJ182" s="492" t="s">
        <v>1301</v>
      </c>
      <c r="AK182" s="492" t="s">
        <v>1302</v>
      </c>
      <c r="AL182" s="492"/>
      <c r="AM182" s="492"/>
      <c r="AN182" s="492"/>
      <c r="AO182" s="492"/>
      <c r="AP182" s="492"/>
      <c r="AQ182" s="492"/>
      <c r="AR182" s="492"/>
      <c r="AS182" s="492"/>
      <c r="AT182" s="492"/>
      <c r="AU182" s="492"/>
      <c r="AV182" s="492"/>
      <c r="AW182" s="492"/>
      <c r="AX182" s="492"/>
      <c r="AY182" s="492"/>
      <c r="AZ182" s="492"/>
      <c r="BA182" s="492"/>
      <c r="BB182" s="493">
        <v>32303</v>
      </c>
      <c r="BC182" s="494">
        <v>0.4375</v>
      </c>
      <c r="BD182" s="493">
        <v>47989</v>
      </c>
      <c r="BE182" s="494">
        <v>0.99998842592592596</v>
      </c>
      <c r="BF182" s="493">
        <v>32639</v>
      </c>
      <c r="BG182" s="494">
        <v>0</v>
      </c>
      <c r="BH182" s="492" t="s">
        <v>1344</v>
      </c>
      <c r="BI182" s="492">
        <v>749</v>
      </c>
      <c r="BJ182" s="492" t="s">
        <v>1304</v>
      </c>
      <c r="BK182" s="492"/>
      <c r="BL182" s="493">
        <v>45551</v>
      </c>
      <c r="BM182" s="492" t="s">
        <v>1305</v>
      </c>
      <c r="BN182" s="492" t="s">
        <v>1301</v>
      </c>
      <c r="BO182" s="492">
        <v>0.15434059947487599</v>
      </c>
      <c r="BP182" s="492">
        <v>6.3356001313399999E-4</v>
      </c>
    </row>
    <row r="183" spans="1:68" ht="75">
      <c r="A183" s="492" t="s">
        <v>1073</v>
      </c>
      <c r="B183" s="492">
        <v>390949</v>
      </c>
      <c r="C183" s="492">
        <v>8185938</v>
      </c>
      <c r="D183" s="492">
        <v>205</v>
      </c>
      <c r="E183" s="492">
        <v>289</v>
      </c>
      <c r="F183" s="492">
        <v>60</v>
      </c>
      <c r="G183" s="492" t="b">
        <v>0</v>
      </c>
      <c r="H183" s="492" t="b">
        <v>0</v>
      </c>
      <c r="I183" s="492">
        <v>10</v>
      </c>
      <c r="J183" s="492" t="b">
        <v>0</v>
      </c>
      <c r="K183" s="492">
        <v>50</v>
      </c>
      <c r="L183" s="492" t="s">
        <v>1013</v>
      </c>
      <c r="M183" s="492" t="s">
        <v>1312</v>
      </c>
      <c r="N183" s="492" t="s">
        <v>2</v>
      </c>
      <c r="O183" s="492">
        <v>50</v>
      </c>
      <c r="P183" s="492" t="s">
        <v>109</v>
      </c>
      <c r="Q183" s="492">
        <v>3</v>
      </c>
      <c r="R183" s="492"/>
      <c r="S183" s="492"/>
      <c r="T183" s="492"/>
      <c r="U183" s="492"/>
      <c r="V183" s="492"/>
      <c r="W183" s="492"/>
      <c r="X183" s="492"/>
      <c r="Y183" s="492">
        <v>390949</v>
      </c>
      <c r="Z183" s="492">
        <v>8185938</v>
      </c>
      <c r="AA183" s="492">
        <v>9979.0862843375598</v>
      </c>
      <c r="AB183" s="492">
        <v>10879.6626836918</v>
      </c>
      <c r="AC183" s="492">
        <v>7</v>
      </c>
      <c r="AD183" s="492">
        <v>23444</v>
      </c>
      <c r="AE183" s="492" t="s">
        <v>1343</v>
      </c>
      <c r="AF183" s="492" t="s">
        <v>1298</v>
      </c>
      <c r="AG183" s="492" t="s">
        <v>1299</v>
      </c>
      <c r="AH183" s="492" t="s">
        <v>1300</v>
      </c>
      <c r="AI183" s="492">
        <v>1</v>
      </c>
      <c r="AJ183" s="492" t="s">
        <v>1301</v>
      </c>
      <c r="AK183" s="492" t="s">
        <v>1302</v>
      </c>
      <c r="AL183" s="492"/>
      <c r="AM183" s="492"/>
      <c r="AN183" s="492"/>
      <c r="AO183" s="492"/>
      <c r="AP183" s="492"/>
      <c r="AQ183" s="492"/>
      <c r="AR183" s="492"/>
      <c r="AS183" s="492"/>
      <c r="AT183" s="492"/>
      <c r="AU183" s="492"/>
      <c r="AV183" s="492"/>
      <c r="AW183" s="492"/>
      <c r="AX183" s="492"/>
      <c r="AY183" s="492"/>
      <c r="AZ183" s="492"/>
      <c r="BA183" s="492"/>
      <c r="BB183" s="493">
        <v>32303</v>
      </c>
      <c r="BC183" s="494">
        <v>0.4375</v>
      </c>
      <c r="BD183" s="493">
        <v>47989</v>
      </c>
      <c r="BE183" s="494">
        <v>0.99998842592592596</v>
      </c>
      <c r="BF183" s="493">
        <v>32639</v>
      </c>
      <c r="BG183" s="494">
        <v>0</v>
      </c>
      <c r="BH183" s="492" t="s">
        <v>1344</v>
      </c>
      <c r="BI183" s="492">
        <v>749</v>
      </c>
      <c r="BJ183" s="492" t="s">
        <v>1304</v>
      </c>
      <c r="BK183" s="492"/>
      <c r="BL183" s="493">
        <v>45551</v>
      </c>
      <c r="BM183" s="492" t="s">
        <v>1305</v>
      </c>
      <c r="BN183" s="492" t="s">
        <v>1301</v>
      </c>
      <c r="BO183" s="492">
        <v>0.15434059947487599</v>
      </c>
      <c r="BP183" s="492">
        <v>6.3356001313399999E-4</v>
      </c>
    </row>
    <row r="184" spans="1:68" ht="75">
      <c r="A184" s="492" t="s">
        <v>1074</v>
      </c>
      <c r="B184" s="492">
        <v>390975</v>
      </c>
      <c r="C184" s="492">
        <v>8185929</v>
      </c>
      <c r="D184" s="492">
        <v>199</v>
      </c>
      <c r="E184" s="492">
        <v>289</v>
      </c>
      <c r="F184" s="492">
        <v>55</v>
      </c>
      <c r="G184" s="492" t="b">
        <v>0</v>
      </c>
      <c r="H184" s="492" t="b">
        <v>0</v>
      </c>
      <c r="I184" s="492">
        <v>10</v>
      </c>
      <c r="J184" s="492" t="b">
        <v>0</v>
      </c>
      <c r="K184" s="492">
        <v>90</v>
      </c>
      <c r="L184" s="492" t="s">
        <v>1013</v>
      </c>
      <c r="M184" s="492" t="s">
        <v>1308</v>
      </c>
      <c r="N184" s="492" t="s">
        <v>2</v>
      </c>
      <c r="O184" s="492">
        <v>90</v>
      </c>
      <c r="P184" s="492" t="s">
        <v>109</v>
      </c>
      <c r="Q184" s="492">
        <v>3</v>
      </c>
      <c r="R184" s="492"/>
      <c r="S184" s="492"/>
      <c r="T184" s="492"/>
      <c r="U184" s="492"/>
      <c r="V184" s="492"/>
      <c r="W184" s="492"/>
      <c r="X184" s="492"/>
      <c r="Y184" s="492">
        <v>390975</v>
      </c>
      <c r="Z184" s="492">
        <v>8185929</v>
      </c>
      <c r="AA184" s="492">
        <v>10006.607773481801</v>
      </c>
      <c r="AB184" s="492">
        <v>10879.5644365139</v>
      </c>
      <c r="AC184" s="492">
        <v>7</v>
      </c>
      <c r="AD184" s="492">
        <v>23444</v>
      </c>
      <c r="AE184" s="492" t="s">
        <v>1343</v>
      </c>
      <c r="AF184" s="492" t="s">
        <v>1298</v>
      </c>
      <c r="AG184" s="492" t="s">
        <v>1299</v>
      </c>
      <c r="AH184" s="492" t="s">
        <v>1300</v>
      </c>
      <c r="AI184" s="492">
        <v>1</v>
      </c>
      <c r="AJ184" s="492" t="s">
        <v>1301</v>
      </c>
      <c r="AK184" s="492" t="s">
        <v>1302</v>
      </c>
      <c r="AL184" s="492"/>
      <c r="AM184" s="492"/>
      <c r="AN184" s="492"/>
      <c r="AO184" s="492"/>
      <c r="AP184" s="492"/>
      <c r="AQ184" s="492"/>
      <c r="AR184" s="492"/>
      <c r="AS184" s="492"/>
      <c r="AT184" s="492"/>
      <c r="AU184" s="492"/>
      <c r="AV184" s="492"/>
      <c r="AW184" s="492"/>
      <c r="AX184" s="492"/>
      <c r="AY184" s="492"/>
      <c r="AZ184" s="492"/>
      <c r="BA184" s="492"/>
      <c r="BB184" s="493">
        <v>32303</v>
      </c>
      <c r="BC184" s="494">
        <v>0.4375</v>
      </c>
      <c r="BD184" s="493">
        <v>47989</v>
      </c>
      <c r="BE184" s="494">
        <v>0.99998842592592596</v>
      </c>
      <c r="BF184" s="493">
        <v>32639</v>
      </c>
      <c r="BG184" s="494">
        <v>0</v>
      </c>
      <c r="BH184" s="492" t="s">
        <v>1344</v>
      </c>
      <c r="BI184" s="492">
        <v>749</v>
      </c>
      <c r="BJ184" s="492" t="s">
        <v>1304</v>
      </c>
      <c r="BK184" s="492"/>
      <c r="BL184" s="493">
        <v>45551</v>
      </c>
      <c r="BM184" s="492" t="s">
        <v>1305</v>
      </c>
      <c r="BN184" s="492" t="s">
        <v>1301</v>
      </c>
      <c r="BO184" s="492">
        <v>0.15434059947487599</v>
      </c>
      <c r="BP184" s="492">
        <v>6.3356001313399999E-4</v>
      </c>
    </row>
    <row r="185" spans="1:68" ht="75">
      <c r="A185" s="492" t="s">
        <v>795</v>
      </c>
      <c r="B185" s="492">
        <v>391084</v>
      </c>
      <c r="C185" s="492">
        <v>8185343</v>
      </c>
      <c r="D185" s="492">
        <v>176</v>
      </c>
      <c r="E185" s="492">
        <v>109</v>
      </c>
      <c r="F185" s="492">
        <v>60</v>
      </c>
      <c r="G185" s="492" t="b">
        <v>0</v>
      </c>
      <c r="H185" s="492" t="b">
        <v>0</v>
      </c>
      <c r="I185" s="492">
        <v>10</v>
      </c>
      <c r="J185" s="492" t="b">
        <v>0</v>
      </c>
      <c r="K185" s="492">
        <v>73</v>
      </c>
      <c r="L185" s="492" t="s">
        <v>1311</v>
      </c>
      <c r="M185" s="492" t="s">
        <v>1296</v>
      </c>
      <c r="N185" s="492" t="s">
        <v>2</v>
      </c>
      <c r="O185" s="492">
        <v>73</v>
      </c>
      <c r="P185" s="492" t="s">
        <v>109</v>
      </c>
      <c r="Q185" s="492">
        <v>3</v>
      </c>
      <c r="R185" s="492"/>
      <c r="S185" s="492"/>
      <c r="T185" s="492"/>
      <c r="U185" s="492"/>
      <c r="V185" s="492"/>
      <c r="W185" s="492"/>
      <c r="X185" s="492"/>
      <c r="Y185" s="492">
        <v>391084</v>
      </c>
      <c r="Z185" s="492">
        <v>8185343</v>
      </c>
      <c r="AA185" s="492">
        <v>10299.532106942001</v>
      </c>
      <c r="AB185" s="492">
        <v>10360.257414264601</v>
      </c>
      <c r="AC185" s="492">
        <v>7</v>
      </c>
      <c r="AD185" s="492">
        <v>23444</v>
      </c>
      <c r="AE185" s="492" t="s">
        <v>1343</v>
      </c>
      <c r="AF185" s="492" t="s">
        <v>1298</v>
      </c>
      <c r="AG185" s="492" t="s">
        <v>1299</v>
      </c>
      <c r="AH185" s="492" t="s">
        <v>1300</v>
      </c>
      <c r="AI185" s="492">
        <v>1</v>
      </c>
      <c r="AJ185" s="492" t="s">
        <v>1301</v>
      </c>
      <c r="AK185" s="492" t="s">
        <v>1302</v>
      </c>
      <c r="AL185" s="492"/>
      <c r="AM185" s="492"/>
      <c r="AN185" s="492"/>
      <c r="AO185" s="492"/>
      <c r="AP185" s="492"/>
      <c r="AQ185" s="492"/>
      <c r="AR185" s="492"/>
      <c r="AS185" s="492"/>
      <c r="AT185" s="492"/>
      <c r="AU185" s="492"/>
      <c r="AV185" s="492"/>
      <c r="AW185" s="492"/>
      <c r="AX185" s="492"/>
      <c r="AY185" s="492"/>
      <c r="AZ185" s="492"/>
      <c r="BA185" s="492"/>
      <c r="BB185" s="493">
        <v>32303</v>
      </c>
      <c r="BC185" s="494">
        <v>0.4375</v>
      </c>
      <c r="BD185" s="493">
        <v>47989</v>
      </c>
      <c r="BE185" s="494">
        <v>0.99998842592592596</v>
      </c>
      <c r="BF185" s="493">
        <v>32639</v>
      </c>
      <c r="BG185" s="494">
        <v>0</v>
      </c>
      <c r="BH185" s="492" t="s">
        <v>1344</v>
      </c>
      <c r="BI185" s="492">
        <v>749</v>
      </c>
      <c r="BJ185" s="492" t="s">
        <v>1304</v>
      </c>
      <c r="BK185" s="492"/>
      <c r="BL185" s="493">
        <v>45551</v>
      </c>
      <c r="BM185" s="492" t="s">
        <v>1305</v>
      </c>
      <c r="BN185" s="492" t="s">
        <v>1301</v>
      </c>
      <c r="BO185" s="492">
        <v>0.15434059947487599</v>
      </c>
      <c r="BP185" s="492">
        <v>6.3356001313399999E-4</v>
      </c>
    </row>
    <row r="186" spans="1:68" ht="75">
      <c r="A186" s="492" t="s">
        <v>1094</v>
      </c>
      <c r="B186" s="492">
        <v>390805</v>
      </c>
      <c r="C186" s="492">
        <v>8185353</v>
      </c>
      <c r="D186" s="492">
        <v>186</v>
      </c>
      <c r="E186" s="492">
        <v>289</v>
      </c>
      <c r="F186" s="492">
        <v>60</v>
      </c>
      <c r="G186" s="492" t="b">
        <v>0</v>
      </c>
      <c r="H186" s="492" t="b">
        <v>0</v>
      </c>
      <c r="I186" s="492">
        <v>10</v>
      </c>
      <c r="J186" s="492" t="b">
        <v>0</v>
      </c>
      <c r="K186" s="492">
        <v>180</v>
      </c>
      <c r="L186" s="492" t="s">
        <v>1013</v>
      </c>
      <c r="M186" s="492" t="s">
        <v>1308</v>
      </c>
      <c r="N186" s="492" t="s">
        <v>2</v>
      </c>
      <c r="O186" s="492">
        <v>180</v>
      </c>
      <c r="P186" s="492" t="s">
        <v>109</v>
      </c>
      <c r="Q186" s="492">
        <v>3</v>
      </c>
      <c r="R186" s="492"/>
      <c r="S186" s="492"/>
      <c r="T186" s="492"/>
      <c r="U186" s="492"/>
      <c r="V186" s="492"/>
      <c r="W186" s="492"/>
      <c r="X186" s="492"/>
      <c r="Y186" s="492">
        <v>390805</v>
      </c>
      <c r="Z186" s="492">
        <v>8185353</v>
      </c>
      <c r="AA186" s="492">
        <v>10032.2415248043</v>
      </c>
      <c r="AB186" s="492">
        <v>10279.373207156499</v>
      </c>
      <c r="AC186" s="492">
        <v>7</v>
      </c>
      <c r="AD186" s="492">
        <v>23444</v>
      </c>
      <c r="AE186" s="492" t="s">
        <v>1343</v>
      </c>
      <c r="AF186" s="492" t="s">
        <v>1298</v>
      </c>
      <c r="AG186" s="492" t="s">
        <v>1299</v>
      </c>
      <c r="AH186" s="492" t="s">
        <v>1300</v>
      </c>
      <c r="AI186" s="492">
        <v>1</v>
      </c>
      <c r="AJ186" s="492" t="s">
        <v>1301</v>
      </c>
      <c r="AK186" s="492" t="s">
        <v>1302</v>
      </c>
      <c r="AL186" s="492"/>
      <c r="AM186" s="492"/>
      <c r="AN186" s="492"/>
      <c r="AO186" s="492"/>
      <c r="AP186" s="492"/>
      <c r="AQ186" s="492"/>
      <c r="AR186" s="492"/>
      <c r="AS186" s="492"/>
      <c r="AT186" s="492"/>
      <c r="AU186" s="492"/>
      <c r="AV186" s="492"/>
      <c r="AW186" s="492"/>
      <c r="AX186" s="492"/>
      <c r="AY186" s="492"/>
      <c r="AZ186" s="492"/>
      <c r="BA186" s="492"/>
      <c r="BB186" s="493">
        <v>32303</v>
      </c>
      <c r="BC186" s="494">
        <v>0.4375</v>
      </c>
      <c r="BD186" s="493">
        <v>47989</v>
      </c>
      <c r="BE186" s="494">
        <v>0.99998842592592596</v>
      </c>
      <c r="BF186" s="493">
        <v>32639</v>
      </c>
      <c r="BG186" s="494">
        <v>0</v>
      </c>
      <c r="BH186" s="492" t="s">
        <v>1344</v>
      </c>
      <c r="BI186" s="492">
        <v>749</v>
      </c>
      <c r="BJ186" s="492" t="s">
        <v>1304</v>
      </c>
      <c r="BK186" s="492"/>
      <c r="BL186" s="493">
        <v>45551</v>
      </c>
      <c r="BM186" s="492" t="s">
        <v>1305</v>
      </c>
      <c r="BN186" s="492" t="s">
        <v>1301</v>
      </c>
      <c r="BO186" s="492">
        <v>0.15434059947487599</v>
      </c>
      <c r="BP186" s="492">
        <v>6.3356001313399999E-4</v>
      </c>
    </row>
    <row r="187" spans="1:68" ht="75">
      <c r="A187" s="492" t="s">
        <v>796</v>
      </c>
      <c r="B187" s="492">
        <v>391047</v>
      </c>
      <c r="C187" s="492">
        <v>8185356</v>
      </c>
      <c r="D187" s="492">
        <v>178</v>
      </c>
      <c r="E187" s="492">
        <v>109</v>
      </c>
      <c r="F187" s="492">
        <v>60</v>
      </c>
      <c r="G187" s="492" t="b">
        <v>0</v>
      </c>
      <c r="H187" s="492" t="b">
        <v>0</v>
      </c>
      <c r="I187" s="492">
        <v>10</v>
      </c>
      <c r="J187" s="492" t="b">
        <v>0</v>
      </c>
      <c r="K187" s="492">
        <v>133</v>
      </c>
      <c r="L187" s="492" t="s">
        <v>1311</v>
      </c>
      <c r="M187" s="492" t="s">
        <v>1296</v>
      </c>
      <c r="N187" s="492" t="s">
        <v>2</v>
      </c>
      <c r="O187" s="492">
        <v>133</v>
      </c>
      <c r="P187" s="492" t="s">
        <v>109</v>
      </c>
      <c r="Q187" s="492">
        <v>3</v>
      </c>
      <c r="R187" s="492"/>
      <c r="S187" s="492"/>
      <c r="T187" s="492"/>
      <c r="U187" s="492"/>
      <c r="V187" s="492"/>
      <c r="W187" s="492"/>
      <c r="X187" s="492"/>
      <c r="Y187" s="492">
        <v>391047</v>
      </c>
      <c r="Z187" s="492">
        <v>8185356</v>
      </c>
      <c r="AA187" s="492">
        <v>10260.304635934899</v>
      </c>
      <c r="AB187" s="492">
        <v>10360.579232165501</v>
      </c>
      <c r="AC187" s="492">
        <v>7</v>
      </c>
      <c r="AD187" s="492">
        <v>23444</v>
      </c>
      <c r="AE187" s="492" t="s">
        <v>1343</v>
      </c>
      <c r="AF187" s="492" t="s">
        <v>1298</v>
      </c>
      <c r="AG187" s="492" t="s">
        <v>1299</v>
      </c>
      <c r="AH187" s="492" t="s">
        <v>1300</v>
      </c>
      <c r="AI187" s="492">
        <v>1</v>
      </c>
      <c r="AJ187" s="492" t="s">
        <v>1301</v>
      </c>
      <c r="AK187" s="492" t="s">
        <v>1302</v>
      </c>
      <c r="AL187" s="492"/>
      <c r="AM187" s="492"/>
      <c r="AN187" s="492"/>
      <c r="AO187" s="492"/>
      <c r="AP187" s="492"/>
      <c r="AQ187" s="492"/>
      <c r="AR187" s="492"/>
      <c r="AS187" s="492"/>
      <c r="AT187" s="492"/>
      <c r="AU187" s="492"/>
      <c r="AV187" s="492"/>
      <c r="AW187" s="492"/>
      <c r="AX187" s="492"/>
      <c r="AY187" s="492"/>
      <c r="AZ187" s="492"/>
      <c r="BA187" s="492"/>
      <c r="BB187" s="493">
        <v>32303</v>
      </c>
      <c r="BC187" s="494">
        <v>0.4375</v>
      </c>
      <c r="BD187" s="493">
        <v>47989</v>
      </c>
      <c r="BE187" s="494">
        <v>0.99998842592592596</v>
      </c>
      <c r="BF187" s="493">
        <v>32639</v>
      </c>
      <c r="BG187" s="494">
        <v>0</v>
      </c>
      <c r="BH187" s="492" t="s">
        <v>1344</v>
      </c>
      <c r="BI187" s="492">
        <v>749</v>
      </c>
      <c r="BJ187" s="492" t="s">
        <v>1304</v>
      </c>
      <c r="BK187" s="492"/>
      <c r="BL187" s="493">
        <v>45551</v>
      </c>
      <c r="BM187" s="492" t="s">
        <v>1305</v>
      </c>
      <c r="BN187" s="492" t="s">
        <v>1301</v>
      </c>
      <c r="BO187" s="492">
        <v>0.15434059947487599</v>
      </c>
      <c r="BP187" s="492">
        <v>6.3356001313399999E-4</v>
      </c>
    </row>
    <row r="188" spans="1:68" ht="75">
      <c r="A188" s="492" t="s">
        <v>1093</v>
      </c>
      <c r="B188" s="492">
        <v>390782</v>
      </c>
      <c r="C188" s="492">
        <v>8185361</v>
      </c>
      <c r="D188" s="492">
        <v>189</v>
      </c>
      <c r="E188" s="492">
        <v>289</v>
      </c>
      <c r="F188" s="492">
        <v>60</v>
      </c>
      <c r="G188" s="492" t="b">
        <v>0</v>
      </c>
      <c r="H188" s="492" t="b">
        <v>0</v>
      </c>
      <c r="I188" s="492">
        <v>10</v>
      </c>
      <c r="J188" s="492" t="b">
        <v>0</v>
      </c>
      <c r="K188" s="492">
        <v>140</v>
      </c>
      <c r="L188" s="492" t="s">
        <v>1013</v>
      </c>
      <c r="M188" s="492" t="s">
        <v>1308</v>
      </c>
      <c r="N188" s="492" t="s">
        <v>2</v>
      </c>
      <c r="O188" s="492">
        <v>140</v>
      </c>
      <c r="P188" s="492" t="s">
        <v>109</v>
      </c>
      <c r="Q188" s="492">
        <v>3</v>
      </c>
      <c r="R188" s="492"/>
      <c r="S188" s="492"/>
      <c r="T188" s="492"/>
      <c r="U188" s="492"/>
      <c r="V188" s="492"/>
      <c r="W188" s="492"/>
      <c r="X188" s="492"/>
      <c r="Y188" s="492">
        <v>390782</v>
      </c>
      <c r="Z188" s="492">
        <v>8185361</v>
      </c>
      <c r="AA188" s="492">
        <v>10007.8831371166</v>
      </c>
      <c r="AB188" s="492">
        <v>10279.496519042101</v>
      </c>
      <c r="AC188" s="492">
        <v>7</v>
      </c>
      <c r="AD188" s="492">
        <v>23444</v>
      </c>
      <c r="AE188" s="492" t="s">
        <v>1343</v>
      </c>
      <c r="AF188" s="492" t="s">
        <v>1298</v>
      </c>
      <c r="AG188" s="492" t="s">
        <v>1299</v>
      </c>
      <c r="AH188" s="492" t="s">
        <v>1300</v>
      </c>
      <c r="AI188" s="492">
        <v>1</v>
      </c>
      <c r="AJ188" s="492" t="s">
        <v>1301</v>
      </c>
      <c r="AK188" s="492" t="s">
        <v>1302</v>
      </c>
      <c r="AL188" s="492"/>
      <c r="AM188" s="492"/>
      <c r="AN188" s="492"/>
      <c r="AO188" s="492"/>
      <c r="AP188" s="492"/>
      <c r="AQ188" s="492"/>
      <c r="AR188" s="492"/>
      <c r="AS188" s="492"/>
      <c r="AT188" s="492"/>
      <c r="AU188" s="492"/>
      <c r="AV188" s="492"/>
      <c r="AW188" s="492"/>
      <c r="AX188" s="492"/>
      <c r="AY188" s="492"/>
      <c r="AZ188" s="492"/>
      <c r="BA188" s="492"/>
      <c r="BB188" s="493">
        <v>32303</v>
      </c>
      <c r="BC188" s="494">
        <v>0.4375</v>
      </c>
      <c r="BD188" s="493">
        <v>47989</v>
      </c>
      <c r="BE188" s="494">
        <v>0.99998842592592596</v>
      </c>
      <c r="BF188" s="493">
        <v>32639</v>
      </c>
      <c r="BG188" s="494">
        <v>0</v>
      </c>
      <c r="BH188" s="492" t="s">
        <v>1344</v>
      </c>
      <c r="BI188" s="492">
        <v>749</v>
      </c>
      <c r="BJ188" s="492" t="s">
        <v>1304</v>
      </c>
      <c r="BK188" s="492"/>
      <c r="BL188" s="493">
        <v>45551</v>
      </c>
      <c r="BM188" s="492" t="s">
        <v>1305</v>
      </c>
      <c r="BN188" s="492" t="s">
        <v>1301</v>
      </c>
      <c r="BO188" s="492">
        <v>0.15434059947487599</v>
      </c>
      <c r="BP188" s="492">
        <v>6.3356001313399999E-4</v>
      </c>
    </row>
    <row r="189" spans="1:68" ht="75">
      <c r="A189" s="492" t="s">
        <v>798</v>
      </c>
      <c r="B189" s="492">
        <v>391009</v>
      </c>
      <c r="C189" s="492">
        <v>8185368</v>
      </c>
      <c r="D189" s="492">
        <v>177</v>
      </c>
      <c r="E189" s="492">
        <v>109</v>
      </c>
      <c r="F189" s="492">
        <v>60</v>
      </c>
      <c r="G189" s="492" t="b">
        <v>0</v>
      </c>
      <c r="H189" s="492" t="b">
        <v>0</v>
      </c>
      <c r="I189" s="492">
        <v>10</v>
      </c>
      <c r="J189" s="492" t="b">
        <v>0</v>
      </c>
      <c r="K189" s="492">
        <v>185</v>
      </c>
      <c r="L189" s="492" t="s">
        <v>1311</v>
      </c>
      <c r="M189" s="492" t="s">
        <v>1296</v>
      </c>
      <c r="N189" s="492" t="s">
        <v>2</v>
      </c>
      <c r="O189" s="492">
        <v>185</v>
      </c>
      <c r="P189" s="492" t="s">
        <v>109</v>
      </c>
      <c r="Q189" s="492">
        <v>3</v>
      </c>
      <c r="R189" s="492"/>
      <c r="S189" s="492"/>
      <c r="T189" s="492"/>
      <c r="U189" s="492"/>
      <c r="V189" s="492"/>
      <c r="W189" s="492"/>
      <c r="X189" s="492"/>
      <c r="Y189" s="492">
        <v>391009</v>
      </c>
      <c r="Z189" s="492">
        <v>8185368</v>
      </c>
      <c r="AA189" s="492">
        <v>10220.454570522001</v>
      </c>
      <c r="AB189" s="492">
        <v>10359.6307965414</v>
      </c>
      <c r="AC189" s="492">
        <v>7</v>
      </c>
      <c r="AD189" s="492">
        <v>23444</v>
      </c>
      <c r="AE189" s="492" t="s">
        <v>1343</v>
      </c>
      <c r="AF189" s="492" t="s">
        <v>1298</v>
      </c>
      <c r="AG189" s="492" t="s">
        <v>1299</v>
      </c>
      <c r="AH189" s="492" t="s">
        <v>1300</v>
      </c>
      <c r="AI189" s="492">
        <v>1</v>
      </c>
      <c r="AJ189" s="492" t="s">
        <v>1301</v>
      </c>
      <c r="AK189" s="492" t="s">
        <v>1302</v>
      </c>
      <c r="AL189" s="492"/>
      <c r="AM189" s="492"/>
      <c r="AN189" s="492"/>
      <c r="AO189" s="492"/>
      <c r="AP189" s="492"/>
      <c r="AQ189" s="492"/>
      <c r="AR189" s="492"/>
      <c r="AS189" s="492"/>
      <c r="AT189" s="492"/>
      <c r="AU189" s="492"/>
      <c r="AV189" s="492"/>
      <c r="AW189" s="492"/>
      <c r="AX189" s="492"/>
      <c r="AY189" s="492"/>
      <c r="AZ189" s="492"/>
      <c r="BA189" s="492"/>
      <c r="BB189" s="493">
        <v>32303</v>
      </c>
      <c r="BC189" s="494">
        <v>0.4375</v>
      </c>
      <c r="BD189" s="493">
        <v>47989</v>
      </c>
      <c r="BE189" s="494">
        <v>0.99998842592592596</v>
      </c>
      <c r="BF189" s="493">
        <v>32639</v>
      </c>
      <c r="BG189" s="494">
        <v>0</v>
      </c>
      <c r="BH189" s="492" t="s">
        <v>1344</v>
      </c>
      <c r="BI189" s="492">
        <v>749</v>
      </c>
      <c r="BJ189" s="492" t="s">
        <v>1304</v>
      </c>
      <c r="BK189" s="492"/>
      <c r="BL189" s="493">
        <v>45551</v>
      </c>
      <c r="BM189" s="492" t="s">
        <v>1305</v>
      </c>
      <c r="BN189" s="492" t="s">
        <v>1301</v>
      </c>
      <c r="BO189" s="492">
        <v>0.15434059947487599</v>
      </c>
      <c r="BP189" s="492">
        <v>6.3356001313399999E-4</v>
      </c>
    </row>
    <row r="190" spans="1:68" ht="75">
      <c r="A190" s="492" t="s">
        <v>841</v>
      </c>
      <c r="B190" s="492">
        <v>390851</v>
      </c>
      <c r="C190" s="492">
        <v>8185422</v>
      </c>
      <c r="D190" s="492">
        <v>184</v>
      </c>
      <c r="E190" s="492">
        <v>289</v>
      </c>
      <c r="F190" s="492">
        <v>60</v>
      </c>
      <c r="G190" s="492" t="b">
        <v>0</v>
      </c>
      <c r="H190" s="492" t="b">
        <v>0</v>
      </c>
      <c r="I190" s="492">
        <v>10</v>
      </c>
      <c r="J190" s="492" t="b">
        <v>0</v>
      </c>
      <c r="K190" s="492">
        <v>210</v>
      </c>
      <c r="L190" s="492" t="s">
        <v>1013</v>
      </c>
      <c r="M190" s="492" t="s">
        <v>1296</v>
      </c>
      <c r="N190" s="492" t="s">
        <v>2</v>
      </c>
      <c r="O190" s="492">
        <v>210</v>
      </c>
      <c r="P190" s="492" t="s">
        <v>109</v>
      </c>
      <c r="Q190" s="492">
        <v>3</v>
      </c>
      <c r="R190" s="492"/>
      <c r="S190" s="492"/>
      <c r="T190" s="492"/>
      <c r="U190" s="492"/>
      <c r="V190" s="492"/>
      <c r="W190" s="492" t="s">
        <v>1307</v>
      </c>
      <c r="X190" s="492"/>
      <c r="Y190" s="492">
        <v>390851</v>
      </c>
      <c r="Z190" s="492">
        <v>8185422</v>
      </c>
      <c r="AA190" s="492">
        <v>10053.4327877252</v>
      </c>
      <c r="AB190" s="492">
        <v>10359.572620495201</v>
      </c>
      <c r="AC190" s="492">
        <v>7</v>
      </c>
      <c r="AD190" s="492">
        <v>23444</v>
      </c>
      <c r="AE190" s="492" t="s">
        <v>1343</v>
      </c>
      <c r="AF190" s="492" t="s">
        <v>1298</v>
      </c>
      <c r="AG190" s="492" t="s">
        <v>1299</v>
      </c>
      <c r="AH190" s="492" t="s">
        <v>1300</v>
      </c>
      <c r="AI190" s="492">
        <v>1</v>
      </c>
      <c r="AJ190" s="492" t="s">
        <v>1301</v>
      </c>
      <c r="AK190" s="492" t="s">
        <v>1302</v>
      </c>
      <c r="AL190" s="492"/>
      <c r="AM190" s="492"/>
      <c r="AN190" s="492"/>
      <c r="AO190" s="492"/>
      <c r="AP190" s="492"/>
      <c r="AQ190" s="492"/>
      <c r="AR190" s="492"/>
      <c r="AS190" s="492"/>
      <c r="AT190" s="492"/>
      <c r="AU190" s="492"/>
      <c r="AV190" s="492"/>
      <c r="AW190" s="492"/>
      <c r="AX190" s="492"/>
      <c r="AY190" s="492"/>
      <c r="AZ190" s="492"/>
      <c r="BA190" s="492"/>
      <c r="BB190" s="493">
        <v>32303</v>
      </c>
      <c r="BC190" s="494">
        <v>0.4375</v>
      </c>
      <c r="BD190" s="493">
        <v>47989</v>
      </c>
      <c r="BE190" s="494">
        <v>0.99998842592592596</v>
      </c>
      <c r="BF190" s="493">
        <v>32639</v>
      </c>
      <c r="BG190" s="494">
        <v>0</v>
      </c>
      <c r="BH190" s="492" t="s">
        <v>1344</v>
      </c>
      <c r="BI190" s="492">
        <v>749</v>
      </c>
      <c r="BJ190" s="492" t="s">
        <v>1304</v>
      </c>
      <c r="BK190" s="492"/>
      <c r="BL190" s="493">
        <v>45551</v>
      </c>
      <c r="BM190" s="492" t="s">
        <v>1305</v>
      </c>
      <c r="BN190" s="492" t="s">
        <v>1301</v>
      </c>
      <c r="BO190" s="492">
        <v>0.15434059947487599</v>
      </c>
      <c r="BP190" s="492">
        <v>6.3356001313399999E-4</v>
      </c>
    </row>
    <row r="191" spans="1:68" ht="75">
      <c r="A191" s="492" t="s">
        <v>1075</v>
      </c>
      <c r="B191" s="492">
        <v>391008</v>
      </c>
      <c r="C191" s="492">
        <v>8185918</v>
      </c>
      <c r="D191" s="492">
        <v>193</v>
      </c>
      <c r="E191" s="492">
        <v>289</v>
      </c>
      <c r="F191" s="492">
        <v>60</v>
      </c>
      <c r="G191" s="492" t="b">
        <v>0</v>
      </c>
      <c r="H191" s="492" t="b">
        <v>0</v>
      </c>
      <c r="I191" s="492">
        <v>10</v>
      </c>
      <c r="J191" s="492" t="b">
        <v>0</v>
      </c>
      <c r="K191" s="492">
        <v>160</v>
      </c>
      <c r="L191" s="492" t="s">
        <v>1013</v>
      </c>
      <c r="M191" s="492" t="s">
        <v>1308</v>
      </c>
      <c r="N191" s="492" t="s">
        <v>2</v>
      </c>
      <c r="O191" s="492">
        <v>160</v>
      </c>
      <c r="P191" s="492" t="s">
        <v>109</v>
      </c>
      <c r="Q191" s="492">
        <v>3</v>
      </c>
      <c r="R191" s="492"/>
      <c r="S191" s="492"/>
      <c r="T191" s="492"/>
      <c r="U191" s="492"/>
      <c r="V191" s="492"/>
      <c r="W191" s="492" t="s">
        <v>1342</v>
      </c>
      <c r="X191" s="492"/>
      <c r="Y191" s="492">
        <v>391008</v>
      </c>
      <c r="Z191" s="492">
        <v>8185918</v>
      </c>
      <c r="AA191" s="492">
        <v>10041.401889507601</v>
      </c>
      <c r="AB191" s="492">
        <v>10879.840148311099</v>
      </c>
      <c r="AC191" s="492">
        <v>6</v>
      </c>
      <c r="AD191" s="492">
        <v>23443</v>
      </c>
      <c r="AE191" s="492" t="s">
        <v>1297</v>
      </c>
      <c r="AF191" s="492" t="s">
        <v>1298</v>
      </c>
      <c r="AG191" s="492" t="s">
        <v>1299</v>
      </c>
      <c r="AH191" s="492" t="s">
        <v>1300</v>
      </c>
      <c r="AI191" s="492">
        <v>1</v>
      </c>
      <c r="AJ191" s="492" t="s">
        <v>1301</v>
      </c>
      <c r="AK191" s="492" t="s">
        <v>1302</v>
      </c>
      <c r="AL191" s="492"/>
      <c r="AM191" s="492"/>
      <c r="AN191" s="492"/>
      <c r="AO191" s="492"/>
      <c r="AP191" s="492"/>
      <c r="AQ191" s="492"/>
      <c r="AR191" s="492"/>
      <c r="AS191" s="492"/>
      <c r="AT191" s="492"/>
      <c r="AU191" s="492"/>
      <c r="AV191" s="492"/>
      <c r="AW191" s="492"/>
      <c r="AX191" s="492"/>
      <c r="AY191" s="492"/>
      <c r="AZ191" s="492"/>
      <c r="BA191" s="492"/>
      <c r="BB191" s="493">
        <v>32303</v>
      </c>
      <c r="BC191" s="494">
        <v>0.375</v>
      </c>
      <c r="BD191" s="493">
        <v>47989</v>
      </c>
      <c r="BE191" s="494">
        <v>0.99998842592592596</v>
      </c>
      <c r="BF191" s="493">
        <v>32639</v>
      </c>
      <c r="BG191" s="494">
        <v>0</v>
      </c>
      <c r="BH191" s="492" t="s">
        <v>1303</v>
      </c>
      <c r="BI191" s="492">
        <v>597.20000000000005</v>
      </c>
      <c r="BJ191" s="492" t="s">
        <v>1304</v>
      </c>
      <c r="BK191" s="492"/>
      <c r="BL191" s="493">
        <v>45551</v>
      </c>
      <c r="BM191" s="492" t="s">
        <v>1305</v>
      </c>
      <c r="BN191" s="492" t="s">
        <v>1301</v>
      </c>
      <c r="BO191" s="492">
        <v>0.16432140619605901</v>
      </c>
      <c r="BP191" s="492">
        <v>5.0513892581900005E-4</v>
      </c>
    </row>
    <row r="192" spans="1:68" ht="75">
      <c r="A192" s="492" t="s">
        <v>1364</v>
      </c>
      <c r="B192" s="492"/>
      <c r="C192" s="492"/>
      <c r="D192" s="492"/>
      <c r="E192" s="492"/>
      <c r="F192" s="492"/>
      <c r="G192" s="492"/>
      <c r="H192" s="492"/>
      <c r="I192" s="492"/>
      <c r="J192" s="492"/>
      <c r="K192" s="492"/>
      <c r="L192" s="492"/>
      <c r="M192" s="492"/>
      <c r="N192" s="492"/>
      <c r="O192" s="492"/>
      <c r="P192" s="492"/>
      <c r="Q192" s="492"/>
      <c r="R192" s="492"/>
      <c r="S192" s="492"/>
      <c r="T192" s="492"/>
      <c r="U192" s="492"/>
      <c r="V192" s="492"/>
      <c r="W192" s="492"/>
      <c r="X192" s="492"/>
      <c r="Y192" s="492"/>
      <c r="Z192" s="492"/>
      <c r="AA192" s="492"/>
      <c r="AB192" s="492"/>
      <c r="AC192" s="492">
        <v>6</v>
      </c>
      <c r="AD192" s="492">
        <v>23443</v>
      </c>
      <c r="AE192" s="492" t="s">
        <v>1297</v>
      </c>
      <c r="AF192" s="492" t="s">
        <v>1298</v>
      </c>
      <c r="AG192" s="492" t="s">
        <v>1299</v>
      </c>
      <c r="AH192" s="492" t="s">
        <v>1300</v>
      </c>
      <c r="AI192" s="492">
        <v>1</v>
      </c>
      <c r="AJ192" s="492" t="s">
        <v>1301</v>
      </c>
      <c r="AK192" s="492" t="s">
        <v>1302</v>
      </c>
      <c r="AL192" s="492"/>
      <c r="AM192" s="492"/>
      <c r="AN192" s="492"/>
      <c r="AO192" s="492"/>
      <c r="AP192" s="492"/>
      <c r="AQ192" s="492"/>
      <c r="AR192" s="492"/>
      <c r="AS192" s="492"/>
      <c r="AT192" s="492"/>
      <c r="AU192" s="492"/>
      <c r="AV192" s="492"/>
      <c r="AW192" s="492"/>
      <c r="AX192" s="492"/>
      <c r="AY192" s="492"/>
      <c r="AZ192" s="492"/>
      <c r="BA192" s="492"/>
      <c r="BB192" s="493">
        <v>32303</v>
      </c>
      <c r="BC192" s="494">
        <v>0.375</v>
      </c>
      <c r="BD192" s="493">
        <v>47989</v>
      </c>
      <c r="BE192" s="494">
        <v>0.99998842592592596</v>
      </c>
      <c r="BF192" s="493">
        <v>32639</v>
      </c>
      <c r="BG192" s="494">
        <v>0</v>
      </c>
      <c r="BH192" s="492" t="s">
        <v>1303</v>
      </c>
      <c r="BI192" s="492">
        <v>597.20000000000005</v>
      </c>
      <c r="BJ192" s="492" t="s">
        <v>1304</v>
      </c>
      <c r="BK192" s="492"/>
      <c r="BL192" s="493">
        <v>45551</v>
      </c>
      <c r="BM192" s="492" t="s">
        <v>1305</v>
      </c>
      <c r="BN192" s="492" t="s">
        <v>1301</v>
      </c>
      <c r="BO192" s="492">
        <v>0.16432140619605901</v>
      </c>
      <c r="BP192" s="492">
        <v>5.0513892581900005E-4</v>
      </c>
    </row>
    <row r="193" spans="1:68" ht="75">
      <c r="A193" s="492" t="s">
        <v>825</v>
      </c>
      <c r="B193" s="492">
        <v>391555</v>
      </c>
      <c r="C193" s="492">
        <v>8186534</v>
      </c>
      <c r="D193" s="492">
        <v>173</v>
      </c>
      <c r="E193" s="492">
        <v>109</v>
      </c>
      <c r="F193" s="492">
        <v>62</v>
      </c>
      <c r="G193" s="492" t="b">
        <v>0</v>
      </c>
      <c r="H193" s="492" t="b">
        <v>0</v>
      </c>
      <c r="I193" s="492">
        <v>10</v>
      </c>
      <c r="J193" s="492" t="b">
        <v>0</v>
      </c>
      <c r="K193" s="492">
        <v>102</v>
      </c>
      <c r="L193" s="492" t="s">
        <v>1311</v>
      </c>
      <c r="M193" s="492" t="s">
        <v>1296</v>
      </c>
      <c r="N193" s="492" t="s">
        <v>2</v>
      </c>
      <c r="O193" s="492">
        <v>102</v>
      </c>
      <c r="P193" s="492" t="s">
        <v>109</v>
      </c>
      <c r="Q193" s="492">
        <v>3</v>
      </c>
      <c r="R193" s="492"/>
      <c r="S193" s="492"/>
      <c r="T193" s="492"/>
      <c r="U193" s="492"/>
      <c r="V193" s="492"/>
      <c r="W193" s="492"/>
      <c r="X193" s="492"/>
      <c r="Y193" s="492">
        <v>391555</v>
      </c>
      <c r="Z193" s="492">
        <v>8186534</v>
      </c>
      <c r="AA193" s="492">
        <v>10359.616791095999</v>
      </c>
      <c r="AB193" s="492">
        <v>11639.972079781801</v>
      </c>
      <c r="AC193" s="492">
        <v>6</v>
      </c>
      <c r="AD193" s="492">
        <v>23443</v>
      </c>
      <c r="AE193" s="492" t="s">
        <v>1297</v>
      </c>
      <c r="AF193" s="492" t="s">
        <v>1298</v>
      </c>
      <c r="AG193" s="492" t="s">
        <v>1299</v>
      </c>
      <c r="AH193" s="492" t="s">
        <v>1300</v>
      </c>
      <c r="AI193" s="492">
        <v>1</v>
      </c>
      <c r="AJ193" s="492" t="s">
        <v>1301</v>
      </c>
      <c r="AK193" s="492" t="s">
        <v>1302</v>
      </c>
      <c r="AL193" s="492"/>
      <c r="AM193" s="492"/>
      <c r="AN193" s="492"/>
      <c r="AO193" s="492"/>
      <c r="AP193" s="492"/>
      <c r="AQ193" s="492"/>
      <c r="AR193" s="492"/>
      <c r="AS193" s="492"/>
      <c r="AT193" s="492"/>
      <c r="AU193" s="492"/>
      <c r="AV193" s="492"/>
      <c r="AW193" s="492"/>
      <c r="AX193" s="492"/>
      <c r="AY193" s="492"/>
      <c r="AZ193" s="492"/>
      <c r="BA193" s="492"/>
      <c r="BB193" s="493">
        <v>32303</v>
      </c>
      <c r="BC193" s="494">
        <v>0.375</v>
      </c>
      <c r="BD193" s="493">
        <v>47989</v>
      </c>
      <c r="BE193" s="494">
        <v>0.99998842592592596</v>
      </c>
      <c r="BF193" s="493">
        <v>32639</v>
      </c>
      <c r="BG193" s="494">
        <v>0</v>
      </c>
      <c r="BH193" s="492" t="s">
        <v>1303</v>
      </c>
      <c r="BI193" s="492">
        <v>597.20000000000005</v>
      </c>
      <c r="BJ193" s="492" t="s">
        <v>1304</v>
      </c>
      <c r="BK193" s="492"/>
      <c r="BL193" s="493">
        <v>45551</v>
      </c>
      <c r="BM193" s="492" t="s">
        <v>1305</v>
      </c>
      <c r="BN193" s="492" t="s">
        <v>1301</v>
      </c>
      <c r="BO193" s="492">
        <v>0.16432140619605901</v>
      </c>
      <c r="BP193" s="492">
        <v>5.0513892581900005E-4</v>
      </c>
    </row>
    <row r="194" spans="1:68" ht="75">
      <c r="A194" s="492" t="s">
        <v>1042</v>
      </c>
      <c r="B194" s="492">
        <v>391284</v>
      </c>
      <c r="C194" s="492">
        <v>8186542</v>
      </c>
      <c r="D194" s="492">
        <v>190</v>
      </c>
      <c r="E194" s="492">
        <v>289</v>
      </c>
      <c r="F194" s="492">
        <v>60</v>
      </c>
      <c r="G194" s="492" t="b">
        <v>0</v>
      </c>
      <c r="H194" s="492" t="b">
        <v>0</v>
      </c>
      <c r="I194" s="492">
        <v>10</v>
      </c>
      <c r="J194" s="492" t="b">
        <v>0</v>
      </c>
      <c r="K194" s="492">
        <v>180</v>
      </c>
      <c r="L194" s="492" t="s">
        <v>1013</v>
      </c>
      <c r="M194" s="492" t="s">
        <v>1308</v>
      </c>
      <c r="N194" s="492" t="s">
        <v>2</v>
      </c>
      <c r="O194" s="492">
        <v>180</v>
      </c>
      <c r="P194" s="492" t="s">
        <v>109</v>
      </c>
      <c r="Q194" s="492">
        <v>3</v>
      </c>
      <c r="R194" s="492"/>
      <c r="S194" s="492"/>
      <c r="T194" s="492"/>
      <c r="U194" s="492"/>
      <c r="V194" s="492"/>
      <c r="W194" s="492"/>
      <c r="X194" s="492"/>
      <c r="Y194" s="492">
        <v>391284</v>
      </c>
      <c r="Z194" s="492">
        <v>8186542</v>
      </c>
      <c r="AA194" s="492">
        <v>10100.5452598067</v>
      </c>
      <c r="AB194" s="492">
        <v>11559.785661215799</v>
      </c>
      <c r="AC194" s="492">
        <v>6</v>
      </c>
      <c r="AD194" s="492">
        <v>23443</v>
      </c>
      <c r="AE194" s="492" t="s">
        <v>1297</v>
      </c>
      <c r="AF194" s="492" t="s">
        <v>1298</v>
      </c>
      <c r="AG194" s="492" t="s">
        <v>1299</v>
      </c>
      <c r="AH194" s="492" t="s">
        <v>1300</v>
      </c>
      <c r="AI194" s="492">
        <v>1</v>
      </c>
      <c r="AJ194" s="492" t="s">
        <v>1301</v>
      </c>
      <c r="AK194" s="492" t="s">
        <v>1302</v>
      </c>
      <c r="AL194" s="492"/>
      <c r="AM194" s="492"/>
      <c r="AN194" s="492"/>
      <c r="AO194" s="492"/>
      <c r="AP194" s="492"/>
      <c r="AQ194" s="492"/>
      <c r="AR194" s="492"/>
      <c r="AS194" s="492"/>
      <c r="AT194" s="492"/>
      <c r="AU194" s="492"/>
      <c r="AV194" s="492"/>
      <c r="AW194" s="492"/>
      <c r="AX194" s="492"/>
      <c r="AY194" s="492"/>
      <c r="AZ194" s="492"/>
      <c r="BA194" s="492"/>
      <c r="BB194" s="493">
        <v>32303</v>
      </c>
      <c r="BC194" s="494">
        <v>0.375</v>
      </c>
      <c r="BD194" s="493">
        <v>47989</v>
      </c>
      <c r="BE194" s="494">
        <v>0.99998842592592596</v>
      </c>
      <c r="BF194" s="493">
        <v>32639</v>
      </c>
      <c r="BG194" s="494">
        <v>0</v>
      </c>
      <c r="BH194" s="492" t="s">
        <v>1303</v>
      </c>
      <c r="BI194" s="492">
        <v>597.20000000000005</v>
      </c>
      <c r="BJ194" s="492" t="s">
        <v>1304</v>
      </c>
      <c r="BK194" s="492"/>
      <c r="BL194" s="493">
        <v>45551</v>
      </c>
      <c r="BM194" s="492" t="s">
        <v>1305</v>
      </c>
      <c r="BN194" s="492" t="s">
        <v>1301</v>
      </c>
      <c r="BO194" s="492">
        <v>0.16432140619605901</v>
      </c>
      <c r="BP194" s="492">
        <v>5.0513892581900005E-4</v>
      </c>
    </row>
    <row r="195" spans="1:68" ht="75">
      <c r="A195" s="492" t="s">
        <v>1041</v>
      </c>
      <c r="B195" s="492">
        <v>391333</v>
      </c>
      <c r="C195" s="492">
        <v>8186568</v>
      </c>
      <c r="D195" s="492">
        <v>209</v>
      </c>
      <c r="E195" s="492">
        <v>69</v>
      </c>
      <c r="F195" s="492">
        <v>50</v>
      </c>
      <c r="G195" s="492" t="b">
        <v>0</v>
      </c>
      <c r="H195" s="492" t="b">
        <v>0</v>
      </c>
      <c r="I195" s="492">
        <v>10</v>
      </c>
      <c r="J195" s="492" t="b">
        <v>0</v>
      </c>
      <c r="K195" s="492">
        <v>50</v>
      </c>
      <c r="L195" s="492" t="s">
        <v>1013</v>
      </c>
      <c r="M195" s="492" t="s">
        <v>1308</v>
      </c>
      <c r="N195" s="492" t="s">
        <v>2</v>
      </c>
      <c r="O195" s="492">
        <v>50</v>
      </c>
      <c r="P195" s="492" t="s">
        <v>109</v>
      </c>
      <c r="Q195" s="492">
        <v>3</v>
      </c>
      <c r="R195" s="492" t="b">
        <v>1</v>
      </c>
      <c r="S195" s="492" t="b">
        <v>1</v>
      </c>
      <c r="T195" s="492"/>
      <c r="U195" s="492"/>
      <c r="V195" s="492"/>
      <c r="W195" s="492"/>
      <c r="X195" s="492"/>
      <c r="Y195" s="492">
        <v>391323.69245857198</v>
      </c>
      <c r="Z195" s="492">
        <v>8186544.4470345704</v>
      </c>
      <c r="AA195" s="492">
        <v>10137.318731749399</v>
      </c>
      <c r="AB195" s="492">
        <v>11574.955184710199</v>
      </c>
      <c r="AC195" s="492">
        <v>6</v>
      </c>
      <c r="AD195" s="492">
        <v>23443</v>
      </c>
      <c r="AE195" s="492" t="s">
        <v>1297</v>
      </c>
      <c r="AF195" s="492" t="s">
        <v>1298</v>
      </c>
      <c r="AG195" s="492" t="s">
        <v>1299</v>
      </c>
      <c r="AH195" s="492" t="s">
        <v>1300</v>
      </c>
      <c r="AI195" s="492">
        <v>1</v>
      </c>
      <c r="AJ195" s="492" t="s">
        <v>1301</v>
      </c>
      <c r="AK195" s="492" t="s">
        <v>1302</v>
      </c>
      <c r="AL195" s="492"/>
      <c r="AM195" s="492"/>
      <c r="AN195" s="492"/>
      <c r="AO195" s="492"/>
      <c r="AP195" s="492"/>
      <c r="AQ195" s="492"/>
      <c r="AR195" s="492"/>
      <c r="AS195" s="492"/>
      <c r="AT195" s="492"/>
      <c r="AU195" s="492"/>
      <c r="AV195" s="492"/>
      <c r="AW195" s="492"/>
      <c r="AX195" s="492"/>
      <c r="AY195" s="492"/>
      <c r="AZ195" s="492"/>
      <c r="BA195" s="492"/>
      <c r="BB195" s="493">
        <v>32303</v>
      </c>
      <c r="BC195" s="494">
        <v>0.375</v>
      </c>
      <c r="BD195" s="493">
        <v>47989</v>
      </c>
      <c r="BE195" s="494">
        <v>0.99998842592592596</v>
      </c>
      <c r="BF195" s="493">
        <v>32639</v>
      </c>
      <c r="BG195" s="494">
        <v>0</v>
      </c>
      <c r="BH195" s="492" t="s">
        <v>1303</v>
      </c>
      <c r="BI195" s="492">
        <v>597.20000000000005</v>
      </c>
      <c r="BJ195" s="492" t="s">
        <v>1304</v>
      </c>
      <c r="BK195" s="492"/>
      <c r="BL195" s="493">
        <v>45551</v>
      </c>
      <c r="BM195" s="492" t="s">
        <v>1305</v>
      </c>
      <c r="BN195" s="492" t="s">
        <v>1301</v>
      </c>
      <c r="BO195" s="492">
        <v>0.16432140619605901</v>
      </c>
      <c r="BP195" s="492">
        <v>5.0513892581900005E-4</v>
      </c>
    </row>
    <row r="196" spans="1:68" ht="75">
      <c r="A196" s="492" t="s">
        <v>1121</v>
      </c>
      <c r="B196" s="492">
        <v>391395</v>
      </c>
      <c r="C196" s="492">
        <v>8186546</v>
      </c>
      <c r="D196" s="492">
        <v>203</v>
      </c>
      <c r="E196" s="492">
        <v>289</v>
      </c>
      <c r="F196" s="492">
        <v>60</v>
      </c>
      <c r="G196" s="492" t="b">
        <v>0</v>
      </c>
      <c r="H196" s="492" t="b">
        <v>0</v>
      </c>
      <c r="I196" s="492">
        <v>10</v>
      </c>
      <c r="J196" s="492" t="b">
        <v>0</v>
      </c>
      <c r="K196" s="492">
        <v>50</v>
      </c>
      <c r="L196" s="492" t="s">
        <v>1013</v>
      </c>
      <c r="M196" s="492" t="s">
        <v>1312</v>
      </c>
      <c r="N196" s="492" t="s">
        <v>2</v>
      </c>
      <c r="O196" s="492">
        <v>50</v>
      </c>
      <c r="P196" s="492" t="s">
        <v>109</v>
      </c>
      <c r="Q196" s="492">
        <v>3</v>
      </c>
      <c r="R196" s="492"/>
      <c r="S196" s="492"/>
      <c r="T196" s="492"/>
      <c r="U196" s="492"/>
      <c r="V196" s="492"/>
      <c r="W196" s="492"/>
      <c r="X196" s="492"/>
      <c r="Y196" s="492">
        <v>391395</v>
      </c>
      <c r="Z196" s="492">
        <v>8186546</v>
      </c>
      <c r="AA196" s="492">
        <v>10204.3030018145</v>
      </c>
      <c r="AB196" s="492">
        <v>11599.516438049201</v>
      </c>
      <c r="AC196" s="492">
        <v>6</v>
      </c>
      <c r="AD196" s="492">
        <v>23443</v>
      </c>
      <c r="AE196" s="492" t="s">
        <v>1297</v>
      </c>
      <c r="AF196" s="492" t="s">
        <v>1298</v>
      </c>
      <c r="AG196" s="492" t="s">
        <v>1299</v>
      </c>
      <c r="AH196" s="492" t="s">
        <v>1300</v>
      </c>
      <c r="AI196" s="492">
        <v>1</v>
      </c>
      <c r="AJ196" s="492" t="s">
        <v>1301</v>
      </c>
      <c r="AK196" s="492" t="s">
        <v>1302</v>
      </c>
      <c r="AL196" s="492"/>
      <c r="AM196" s="492"/>
      <c r="AN196" s="492"/>
      <c r="AO196" s="492"/>
      <c r="AP196" s="492"/>
      <c r="AQ196" s="492"/>
      <c r="AR196" s="492"/>
      <c r="AS196" s="492"/>
      <c r="AT196" s="492"/>
      <c r="AU196" s="492"/>
      <c r="AV196" s="492"/>
      <c r="AW196" s="492"/>
      <c r="AX196" s="492"/>
      <c r="AY196" s="492"/>
      <c r="AZ196" s="492"/>
      <c r="BA196" s="492"/>
      <c r="BB196" s="493">
        <v>32303</v>
      </c>
      <c r="BC196" s="494">
        <v>0.375</v>
      </c>
      <c r="BD196" s="493">
        <v>47989</v>
      </c>
      <c r="BE196" s="494">
        <v>0.99998842592592596</v>
      </c>
      <c r="BF196" s="493">
        <v>32639</v>
      </c>
      <c r="BG196" s="494">
        <v>0</v>
      </c>
      <c r="BH196" s="492" t="s">
        <v>1303</v>
      </c>
      <c r="BI196" s="492">
        <v>597.20000000000005</v>
      </c>
      <c r="BJ196" s="492" t="s">
        <v>1304</v>
      </c>
      <c r="BK196" s="492"/>
      <c r="BL196" s="493">
        <v>45551</v>
      </c>
      <c r="BM196" s="492" t="s">
        <v>1305</v>
      </c>
      <c r="BN196" s="492" t="s">
        <v>1301</v>
      </c>
      <c r="BO196" s="492">
        <v>0.16432140619605901</v>
      </c>
      <c r="BP196" s="492">
        <v>5.0513892581900005E-4</v>
      </c>
    </row>
    <row r="197" spans="1:68" ht="75">
      <c r="A197" s="492" t="s">
        <v>827</v>
      </c>
      <c r="B197" s="492">
        <v>391518</v>
      </c>
      <c r="C197" s="492">
        <v>8186547</v>
      </c>
      <c r="D197" s="492">
        <v>176</v>
      </c>
      <c r="E197" s="492">
        <v>109</v>
      </c>
      <c r="F197" s="492">
        <v>60</v>
      </c>
      <c r="G197" s="492" t="b">
        <v>0</v>
      </c>
      <c r="H197" s="492" t="b">
        <v>0</v>
      </c>
      <c r="I197" s="492">
        <v>10</v>
      </c>
      <c r="J197" s="492" t="b">
        <v>0</v>
      </c>
      <c r="K197" s="492">
        <v>172</v>
      </c>
      <c r="L197" s="492" t="s">
        <v>1311</v>
      </c>
      <c r="M197" s="492" t="s">
        <v>1296</v>
      </c>
      <c r="N197" s="492" t="s">
        <v>2</v>
      </c>
      <c r="O197" s="492">
        <v>172</v>
      </c>
      <c r="P197" s="492" t="s">
        <v>109</v>
      </c>
      <c r="Q197" s="492">
        <v>3</v>
      </c>
      <c r="R197" s="492"/>
      <c r="S197" s="492"/>
      <c r="T197" s="492"/>
      <c r="U197" s="492"/>
      <c r="V197" s="492"/>
      <c r="W197" s="492"/>
      <c r="X197" s="492"/>
      <c r="Y197" s="492">
        <v>391518</v>
      </c>
      <c r="Z197" s="492">
        <v>8186547</v>
      </c>
      <c r="AA197" s="492">
        <v>10320.389320090801</v>
      </c>
      <c r="AB197" s="492">
        <v>11640.293897683699</v>
      </c>
      <c r="AC197" s="492">
        <v>6</v>
      </c>
      <c r="AD197" s="492">
        <v>23443</v>
      </c>
      <c r="AE197" s="492" t="s">
        <v>1297</v>
      </c>
      <c r="AF197" s="492" t="s">
        <v>1298</v>
      </c>
      <c r="AG197" s="492" t="s">
        <v>1299</v>
      </c>
      <c r="AH197" s="492" t="s">
        <v>1300</v>
      </c>
      <c r="AI197" s="492">
        <v>1</v>
      </c>
      <c r="AJ197" s="492" t="s">
        <v>1301</v>
      </c>
      <c r="AK197" s="492" t="s">
        <v>1302</v>
      </c>
      <c r="AL197" s="492"/>
      <c r="AM197" s="492"/>
      <c r="AN197" s="492"/>
      <c r="AO197" s="492"/>
      <c r="AP197" s="492"/>
      <c r="AQ197" s="492"/>
      <c r="AR197" s="492"/>
      <c r="AS197" s="492"/>
      <c r="AT197" s="492"/>
      <c r="AU197" s="492"/>
      <c r="AV197" s="492"/>
      <c r="AW197" s="492"/>
      <c r="AX197" s="492"/>
      <c r="AY197" s="492"/>
      <c r="AZ197" s="492"/>
      <c r="BA197" s="492"/>
      <c r="BB197" s="493">
        <v>32303</v>
      </c>
      <c r="BC197" s="494">
        <v>0.375</v>
      </c>
      <c r="BD197" s="493">
        <v>47989</v>
      </c>
      <c r="BE197" s="494">
        <v>0.99998842592592596</v>
      </c>
      <c r="BF197" s="493">
        <v>32639</v>
      </c>
      <c r="BG197" s="494">
        <v>0</v>
      </c>
      <c r="BH197" s="492" t="s">
        <v>1303</v>
      </c>
      <c r="BI197" s="492">
        <v>597.20000000000005</v>
      </c>
      <c r="BJ197" s="492" t="s">
        <v>1304</v>
      </c>
      <c r="BK197" s="492"/>
      <c r="BL197" s="493">
        <v>45551</v>
      </c>
      <c r="BM197" s="492" t="s">
        <v>1305</v>
      </c>
      <c r="BN197" s="492" t="s">
        <v>1301</v>
      </c>
      <c r="BO197" s="492">
        <v>0.16432140619605901</v>
      </c>
      <c r="BP197" s="492">
        <v>5.0513892581900005E-4</v>
      </c>
    </row>
    <row r="198" spans="1:68" ht="75">
      <c r="A198" s="492" t="s">
        <v>1120</v>
      </c>
      <c r="B198" s="492">
        <v>391495</v>
      </c>
      <c r="C198" s="492">
        <v>8186554</v>
      </c>
      <c r="D198" s="492">
        <v>178</v>
      </c>
      <c r="E198" s="492">
        <v>289</v>
      </c>
      <c r="F198" s="492">
        <v>60</v>
      </c>
      <c r="G198" s="492" t="b">
        <v>0</v>
      </c>
      <c r="H198" s="492" t="b">
        <v>0</v>
      </c>
      <c r="I198" s="492">
        <v>10</v>
      </c>
      <c r="J198" s="492" t="b">
        <v>0</v>
      </c>
      <c r="K198" s="492">
        <v>40</v>
      </c>
      <c r="L198" s="492" t="s">
        <v>1013</v>
      </c>
      <c r="M198" s="492" t="s">
        <v>1308</v>
      </c>
      <c r="N198" s="492" t="s">
        <v>2</v>
      </c>
      <c r="O198" s="492">
        <v>40</v>
      </c>
      <c r="P198" s="492" t="s">
        <v>109</v>
      </c>
      <c r="Q198" s="492">
        <v>3</v>
      </c>
      <c r="R198" s="492"/>
      <c r="S198" s="492"/>
      <c r="T198" s="492"/>
      <c r="U198" s="492"/>
      <c r="V198" s="492"/>
      <c r="W198" s="492"/>
      <c r="X198" s="492"/>
      <c r="Y198" s="492">
        <v>391495</v>
      </c>
      <c r="Z198" s="492">
        <v>8186554</v>
      </c>
      <c r="AA198" s="492">
        <v>10296.354761963201</v>
      </c>
      <c r="AB198" s="492">
        <v>11639.470785604701</v>
      </c>
      <c r="AC198" s="492">
        <v>6</v>
      </c>
      <c r="AD198" s="492">
        <v>23443</v>
      </c>
      <c r="AE198" s="492" t="s">
        <v>1297</v>
      </c>
      <c r="AF198" s="492" t="s">
        <v>1298</v>
      </c>
      <c r="AG198" s="492" t="s">
        <v>1299</v>
      </c>
      <c r="AH198" s="492" t="s">
        <v>1300</v>
      </c>
      <c r="AI198" s="492">
        <v>1</v>
      </c>
      <c r="AJ198" s="492" t="s">
        <v>1301</v>
      </c>
      <c r="AK198" s="492" t="s">
        <v>1302</v>
      </c>
      <c r="AL198" s="492"/>
      <c r="AM198" s="492"/>
      <c r="AN198" s="492"/>
      <c r="AO198" s="492"/>
      <c r="AP198" s="492"/>
      <c r="AQ198" s="492"/>
      <c r="AR198" s="492"/>
      <c r="AS198" s="492"/>
      <c r="AT198" s="492"/>
      <c r="AU198" s="492"/>
      <c r="AV198" s="492"/>
      <c r="AW198" s="492"/>
      <c r="AX198" s="492"/>
      <c r="AY198" s="492"/>
      <c r="AZ198" s="492"/>
      <c r="BA198" s="492"/>
      <c r="BB198" s="493">
        <v>32303</v>
      </c>
      <c r="BC198" s="494">
        <v>0.375</v>
      </c>
      <c r="BD198" s="493">
        <v>47989</v>
      </c>
      <c r="BE198" s="494">
        <v>0.99998842592592596</v>
      </c>
      <c r="BF198" s="493">
        <v>32639</v>
      </c>
      <c r="BG198" s="494">
        <v>0</v>
      </c>
      <c r="BH198" s="492" t="s">
        <v>1303</v>
      </c>
      <c r="BI198" s="492">
        <v>597.20000000000005</v>
      </c>
      <c r="BJ198" s="492" t="s">
        <v>1304</v>
      </c>
      <c r="BK198" s="492"/>
      <c r="BL198" s="493">
        <v>45551</v>
      </c>
      <c r="BM198" s="492" t="s">
        <v>1305</v>
      </c>
      <c r="BN198" s="492" t="s">
        <v>1301</v>
      </c>
      <c r="BO198" s="492">
        <v>0.16432140619605901</v>
      </c>
      <c r="BP198" s="492">
        <v>5.0513892581900005E-4</v>
      </c>
    </row>
    <row r="199" spans="1:68" ht="75">
      <c r="A199" s="492" t="s">
        <v>1124</v>
      </c>
      <c r="B199" s="492">
        <v>391419</v>
      </c>
      <c r="C199" s="492">
        <v>8186496</v>
      </c>
      <c r="D199" s="492">
        <v>181</v>
      </c>
      <c r="E199" s="492">
        <v>289</v>
      </c>
      <c r="F199" s="492">
        <v>60</v>
      </c>
      <c r="G199" s="492" t="b">
        <v>0</v>
      </c>
      <c r="H199" s="492" t="b">
        <v>0</v>
      </c>
      <c r="I199" s="492">
        <v>10</v>
      </c>
      <c r="J199" s="492" t="b">
        <v>0</v>
      </c>
      <c r="K199" s="492">
        <v>40</v>
      </c>
      <c r="L199" s="492" t="s">
        <v>1013</v>
      </c>
      <c r="M199" s="492" t="s">
        <v>1308</v>
      </c>
      <c r="N199" s="492" t="s">
        <v>2</v>
      </c>
      <c r="O199" s="492">
        <v>40</v>
      </c>
      <c r="P199" s="492" t="s">
        <v>109</v>
      </c>
      <c r="Q199" s="492">
        <v>3</v>
      </c>
      <c r="R199" s="492"/>
      <c r="S199" s="492"/>
      <c r="T199" s="492"/>
      <c r="U199" s="492"/>
      <c r="V199" s="492"/>
      <c r="W199" s="492"/>
      <c r="X199" s="492"/>
      <c r="Y199" s="492">
        <v>391419</v>
      </c>
      <c r="Z199" s="492">
        <v>8186496</v>
      </c>
      <c r="AA199" s="492">
        <v>10243.208654914501</v>
      </c>
      <c r="AB199" s="492">
        <v>11559.967149144901</v>
      </c>
      <c r="AC199" s="492">
        <v>6</v>
      </c>
      <c r="AD199" s="492">
        <v>23443</v>
      </c>
      <c r="AE199" s="492" t="s">
        <v>1297</v>
      </c>
      <c r="AF199" s="492" t="s">
        <v>1298</v>
      </c>
      <c r="AG199" s="492" t="s">
        <v>1299</v>
      </c>
      <c r="AH199" s="492" t="s">
        <v>1300</v>
      </c>
      <c r="AI199" s="492">
        <v>1</v>
      </c>
      <c r="AJ199" s="492" t="s">
        <v>1301</v>
      </c>
      <c r="AK199" s="492" t="s">
        <v>1302</v>
      </c>
      <c r="AL199" s="492"/>
      <c r="AM199" s="492"/>
      <c r="AN199" s="492"/>
      <c r="AO199" s="492"/>
      <c r="AP199" s="492"/>
      <c r="AQ199" s="492"/>
      <c r="AR199" s="492"/>
      <c r="AS199" s="492"/>
      <c r="AT199" s="492"/>
      <c r="AU199" s="492"/>
      <c r="AV199" s="492"/>
      <c r="AW199" s="492"/>
      <c r="AX199" s="492"/>
      <c r="AY199" s="492"/>
      <c r="AZ199" s="492"/>
      <c r="BA199" s="492"/>
      <c r="BB199" s="493">
        <v>32303</v>
      </c>
      <c r="BC199" s="494">
        <v>0.375</v>
      </c>
      <c r="BD199" s="493">
        <v>47989</v>
      </c>
      <c r="BE199" s="494">
        <v>0.99998842592592596</v>
      </c>
      <c r="BF199" s="493">
        <v>32639</v>
      </c>
      <c r="BG199" s="494">
        <v>0</v>
      </c>
      <c r="BH199" s="492" t="s">
        <v>1303</v>
      </c>
      <c r="BI199" s="492">
        <v>597.20000000000005</v>
      </c>
      <c r="BJ199" s="492" t="s">
        <v>1304</v>
      </c>
      <c r="BK199" s="492"/>
      <c r="BL199" s="493">
        <v>45551</v>
      </c>
      <c r="BM199" s="492" t="s">
        <v>1305</v>
      </c>
      <c r="BN199" s="492" t="s">
        <v>1301</v>
      </c>
      <c r="BO199" s="492">
        <v>0.16432140619605901</v>
      </c>
      <c r="BP199" s="492">
        <v>5.0513892581900005E-4</v>
      </c>
    </row>
    <row r="200" spans="1:68" ht="75">
      <c r="A200" s="492" t="s">
        <v>1125</v>
      </c>
      <c r="B200" s="492">
        <v>391489</v>
      </c>
      <c r="C200" s="492">
        <v>8186482</v>
      </c>
      <c r="D200" s="492">
        <v>176</v>
      </c>
      <c r="E200" s="492">
        <v>289</v>
      </c>
      <c r="F200" s="492">
        <v>60</v>
      </c>
      <c r="G200" s="492" t="b">
        <v>0</v>
      </c>
      <c r="H200" s="492" t="b">
        <v>0</v>
      </c>
      <c r="I200" s="492">
        <v>10</v>
      </c>
      <c r="J200" s="492" t="b">
        <v>0</v>
      </c>
      <c r="K200" s="492">
        <v>70</v>
      </c>
      <c r="L200" s="492" t="s">
        <v>1013</v>
      </c>
      <c r="M200" s="492" t="s">
        <v>1308</v>
      </c>
      <c r="N200" s="492" t="s">
        <v>2</v>
      </c>
      <c r="O200" s="492">
        <v>70</v>
      </c>
      <c r="P200" s="492" t="s">
        <v>109</v>
      </c>
      <c r="Q200" s="492">
        <v>3</v>
      </c>
      <c r="R200" s="492"/>
      <c r="S200" s="492"/>
      <c r="T200" s="492"/>
      <c r="U200" s="492"/>
      <c r="V200" s="492"/>
      <c r="W200" s="492"/>
      <c r="X200" s="492"/>
      <c r="Y200" s="492">
        <v>391489</v>
      </c>
      <c r="Z200" s="492">
        <v>8186482</v>
      </c>
      <c r="AA200" s="492">
        <v>10313.991946361901</v>
      </c>
      <c r="AB200" s="492">
        <v>11569.3852827018</v>
      </c>
      <c r="AC200" s="492">
        <v>6</v>
      </c>
      <c r="AD200" s="492">
        <v>23443</v>
      </c>
      <c r="AE200" s="492" t="s">
        <v>1297</v>
      </c>
      <c r="AF200" s="492" t="s">
        <v>1298</v>
      </c>
      <c r="AG200" s="492" t="s">
        <v>1299</v>
      </c>
      <c r="AH200" s="492" t="s">
        <v>1300</v>
      </c>
      <c r="AI200" s="492">
        <v>1</v>
      </c>
      <c r="AJ200" s="492" t="s">
        <v>1301</v>
      </c>
      <c r="AK200" s="492" t="s">
        <v>1302</v>
      </c>
      <c r="AL200" s="492"/>
      <c r="AM200" s="492"/>
      <c r="AN200" s="492"/>
      <c r="AO200" s="492"/>
      <c r="AP200" s="492"/>
      <c r="AQ200" s="492"/>
      <c r="AR200" s="492"/>
      <c r="AS200" s="492"/>
      <c r="AT200" s="492"/>
      <c r="AU200" s="492"/>
      <c r="AV200" s="492"/>
      <c r="AW200" s="492"/>
      <c r="AX200" s="492"/>
      <c r="AY200" s="492"/>
      <c r="AZ200" s="492"/>
      <c r="BA200" s="492"/>
      <c r="BB200" s="493">
        <v>32303</v>
      </c>
      <c r="BC200" s="494">
        <v>0.375</v>
      </c>
      <c r="BD200" s="493">
        <v>47989</v>
      </c>
      <c r="BE200" s="494">
        <v>0.99998842592592596</v>
      </c>
      <c r="BF200" s="493">
        <v>32639</v>
      </c>
      <c r="BG200" s="494">
        <v>0</v>
      </c>
      <c r="BH200" s="492" t="s">
        <v>1303</v>
      </c>
      <c r="BI200" s="492">
        <v>597.20000000000005</v>
      </c>
      <c r="BJ200" s="492" t="s">
        <v>1304</v>
      </c>
      <c r="BK200" s="492"/>
      <c r="BL200" s="493">
        <v>45551</v>
      </c>
      <c r="BM200" s="492" t="s">
        <v>1305</v>
      </c>
      <c r="BN200" s="492" t="s">
        <v>1301</v>
      </c>
      <c r="BO200" s="492">
        <v>0.16432140619605901</v>
      </c>
      <c r="BP200" s="492">
        <v>5.0513892581900005E-4</v>
      </c>
    </row>
    <row r="201" spans="1:68" ht="75">
      <c r="A201" s="492" t="s">
        <v>1126</v>
      </c>
      <c r="B201" s="492">
        <v>391485</v>
      </c>
      <c r="C201" s="492">
        <v>8186473</v>
      </c>
      <c r="D201" s="492">
        <v>177</v>
      </c>
      <c r="E201" s="492">
        <v>289</v>
      </c>
      <c r="F201" s="492">
        <v>60</v>
      </c>
      <c r="G201" s="492" t="b">
        <v>0</v>
      </c>
      <c r="H201" s="492" t="b">
        <v>0</v>
      </c>
      <c r="I201" s="492">
        <v>10</v>
      </c>
      <c r="J201" s="492" t="b">
        <v>0</v>
      </c>
      <c r="K201" s="492">
        <v>70</v>
      </c>
      <c r="L201" s="492" t="s">
        <v>1013</v>
      </c>
      <c r="M201" s="492" t="s">
        <v>1308</v>
      </c>
      <c r="N201" s="492" t="s">
        <v>2</v>
      </c>
      <c r="O201" s="492">
        <v>70</v>
      </c>
      <c r="P201" s="492" t="s">
        <v>109</v>
      </c>
      <c r="Q201" s="492">
        <v>3</v>
      </c>
      <c r="R201" s="492"/>
      <c r="S201" s="492"/>
      <c r="T201" s="492"/>
      <c r="U201" s="492"/>
      <c r="V201" s="492"/>
      <c r="W201" s="492"/>
      <c r="X201" s="492"/>
      <c r="Y201" s="492">
        <v>391485</v>
      </c>
      <c r="Z201" s="492">
        <v>8186473</v>
      </c>
      <c r="AA201" s="492">
        <v>10313.120716520099</v>
      </c>
      <c r="AB201" s="492">
        <v>11559.5721487747</v>
      </c>
      <c r="AC201" s="492">
        <v>6</v>
      </c>
      <c r="AD201" s="492">
        <v>23443</v>
      </c>
      <c r="AE201" s="492" t="s">
        <v>1297</v>
      </c>
      <c r="AF201" s="492" t="s">
        <v>1298</v>
      </c>
      <c r="AG201" s="492" t="s">
        <v>1299</v>
      </c>
      <c r="AH201" s="492" t="s">
        <v>1300</v>
      </c>
      <c r="AI201" s="492">
        <v>1</v>
      </c>
      <c r="AJ201" s="492" t="s">
        <v>1301</v>
      </c>
      <c r="AK201" s="492" t="s">
        <v>1302</v>
      </c>
      <c r="AL201" s="492"/>
      <c r="AM201" s="492"/>
      <c r="AN201" s="492"/>
      <c r="AO201" s="492"/>
      <c r="AP201" s="492"/>
      <c r="AQ201" s="492"/>
      <c r="AR201" s="492"/>
      <c r="AS201" s="492"/>
      <c r="AT201" s="492"/>
      <c r="AU201" s="492"/>
      <c r="AV201" s="492"/>
      <c r="AW201" s="492"/>
      <c r="AX201" s="492"/>
      <c r="AY201" s="492"/>
      <c r="AZ201" s="492"/>
      <c r="BA201" s="492"/>
      <c r="BB201" s="493">
        <v>32303</v>
      </c>
      <c r="BC201" s="494">
        <v>0.375</v>
      </c>
      <c r="BD201" s="493">
        <v>47989</v>
      </c>
      <c r="BE201" s="494">
        <v>0.99998842592592596</v>
      </c>
      <c r="BF201" s="493">
        <v>32639</v>
      </c>
      <c r="BG201" s="494">
        <v>0</v>
      </c>
      <c r="BH201" s="492" t="s">
        <v>1303</v>
      </c>
      <c r="BI201" s="492">
        <v>597.20000000000005</v>
      </c>
      <c r="BJ201" s="492" t="s">
        <v>1304</v>
      </c>
      <c r="BK201" s="492"/>
      <c r="BL201" s="493">
        <v>45551</v>
      </c>
      <c r="BM201" s="492" t="s">
        <v>1305</v>
      </c>
      <c r="BN201" s="492" t="s">
        <v>1301</v>
      </c>
      <c r="BO201" s="492">
        <v>0.16432140619605901</v>
      </c>
      <c r="BP201" s="492">
        <v>5.0513892581900005E-4</v>
      </c>
    </row>
    <row r="202" spans="1:68" ht="75">
      <c r="A202" s="492" t="s">
        <v>1127</v>
      </c>
      <c r="B202" s="492">
        <v>391377</v>
      </c>
      <c r="C202" s="492">
        <v>8186468</v>
      </c>
      <c r="D202" s="492">
        <v>183</v>
      </c>
      <c r="E202" s="492">
        <v>289</v>
      </c>
      <c r="F202" s="492">
        <v>60</v>
      </c>
      <c r="G202" s="492" t="b">
        <v>0</v>
      </c>
      <c r="H202" s="492" t="b">
        <v>0</v>
      </c>
      <c r="I202" s="492">
        <v>10</v>
      </c>
      <c r="J202" s="492" t="b">
        <v>0</v>
      </c>
      <c r="K202" s="492">
        <v>85</v>
      </c>
      <c r="L202" s="492" t="s">
        <v>1013</v>
      </c>
      <c r="M202" s="492" t="s">
        <v>1308</v>
      </c>
      <c r="N202" s="492" t="s">
        <v>2</v>
      </c>
      <c r="O202" s="492">
        <v>85</v>
      </c>
      <c r="P202" s="492" t="s">
        <v>109</v>
      </c>
      <c r="Q202" s="492">
        <v>3</v>
      </c>
      <c r="R202" s="492" t="b">
        <v>1</v>
      </c>
      <c r="S202" s="492" t="b">
        <v>1</v>
      </c>
      <c r="T202" s="492"/>
      <c r="U202" s="492"/>
      <c r="V202" s="492"/>
      <c r="W202" s="492" t="s">
        <v>1307</v>
      </c>
      <c r="X202" s="492"/>
      <c r="Y202" s="492">
        <v>391390.29165733297</v>
      </c>
      <c r="Z202" s="492">
        <v>8186463.4551107101</v>
      </c>
      <c r="AA202" s="492">
        <v>10226.577388506799</v>
      </c>
      <c r="AB202" s="492">
        <v>11519.869276032699</v>
      </c>
      <c r="AC202" s="492">
        <v>6</v>
      </c>
      <c r="AD202" s="492">
        <v>23443</v>
      </c>
      <c r="AE202" s="492" t="s">
        <v>1297</v>
      </c>
      <c r="AF202" s="492" t="s">
        <v>1298</v>
      </c>
      <c r="AG202" s="492" t="s">
        <v>1299</v>
      </c>
      <c r="AH202" s="492" t="s">
        <v>1300</v>
      </c>
      <c r="AI202" s="492">
        <v>1</v>
      </c>
      <c r="AJ202" s="492" t="s">
        <v>1301</v>
      </c>
      <c r="AK202" s="492" t="s">
        <v>1302</v>
      </c>
      <c r="AL202" s="492"/>
      <c r="AM202" s="492"/>
      <c r="AN202" s="492"/>
      <c r="AO202" s="492"/>
      <c r="AP202" s="492"/>
      <c r="AQ202" s="492"/>
      <c r="AR202" s="492"/>
      <c r="AS202" s="492"/>
      <c r="AT202" s="492"/>
      <c r="AU202" s="492"/>
      <c r="AV202" s="492"/>
      <c r="AW202" s="492"/>
      <c r="AX202" s="492"/>
      <c r="AY202" s="492"/>
      <c r="AZ202" s="492"/>
      <c r="BA202" s="492"/>
      <c r="BB202" s="493">
        <v>32303</v>
      </c>
      <c r="BC202" s="494">
        <v>0.375</v>
      </c>
      <c r="BD202" s="493">
        <v>47989</v>
      </c>
      <c r="BE202" s="494">
        <v>0.99998842592592596</v>
      </c>
      <c r="BF202" s="493">
        <v>32639</v>
      </c>
      <c r="BG202" s="494">
        <v>0</v>
      </c>
      <c r="BH202" s="492" t="s">
        <v>1303</v>
      </c>
      <c r="BI202" s="492">
        <v>597.20000000000005</v>
      </c>
      <c r="BJ202" s="492" t="s">
        <v>1304</v>
      </c>
      <c r="BK202" s="492"/>
      <c r="BL202" s="493">
        <v>45551</v>
      </c>
      <c r="BM202" s="492" t="s">
        <v>1305</v>
      </c>
      <c r="BN202" s="492" t="s">
        <v>1301</v>
      </c>
      <c r="BO202" s="492">
        <v>0.16432140619605901</v>
      </c>
      <c r="BP202" s="492">
        <v>5.0513892581900005E-4</v>
      </c>
    </row>
    <row r="203" spans="1:68" ht="75">
      <c r="A203" s="492" t="s">
        <v>1069</v>
      </c>
      <c r="B203" s="492">
        <v>390976</v>
      </c>
      <c r="C203" s="492">
        <v>8186014</v>
      </c>
      <c r="D203" s="492">
        <v>206</v>
      </c>
      <c r="E203" s="492">
        <v>289</v>
      </c>
      <c r="F203" s="492">
        <v>60</v>
      </c>
      <c r="G203" s="492" t="b">
        <v>0</v>
      </c>
      <c r="H203" s="492" t="b">
        <v>0</v>
      </c>
      <c r="I203" s="492">
        <v>10</v>
      </c>
      <c r="J203" s="492" t="b">
        <v>0</v>
      </c>
      <c r="K203" s="492">
        <v>50</v>
      </c>
      <c r="L203" s="492" t="s">
        <v>1013</v>
      </c>
      <c r="M203" s="492" t="s">
        <v>1312</v>
      </c>
      <c r="N203" s="492" t="s">
        <v>2</v>
      </c>
      <c r="O203" s="492">
        <v>50</v>
      </c>
      <c r="P203" s="492" t="s">
        <v>109</v>
      </c>
      <c r="Q203" s="492">
        <v>3</v>
      </c>
      <c r="R203" s="492"/>
      <c r="S203" s="492"/>
      <c r="T203" s="492"/>
      <c r="U203" s="492"/>
      <c r="V203" s="492"/>
      <c r="W203" s="492"/>
      <c r="X203" s="492"/>
      <c r="Y203" s="492">
        <v>390976</v>
      </c>
      <c r="Z203" s="492">
        <v>8186014</v>
      </c>
      <c r="AA203" s="492">
        <v>9980.0286849969998</v>
      </c>
      <c r="AB203" s="492">
        <v>10960.3343031881</v>
      </c>
      <c r="AC203" s="492">
        <v>6</v>
      </c>
      <c r="AD203" s="492">
        <v>23443</v>
      </c>
      <c r="AE203" s="492" t="s">
        <v>1297</v>
      </c>
      <c r="AF203" s="492" t="s">
        <v>1298</v>
      </c>
      <c r="AG203" s="492" t="s">
        <v>1299</v>
      </c>
      <c r="AH203" s="492" t="s">
        <v>1300</v>
      </c>
      <c r="AI203" s="492">
        <v>1</v>
      </c>
      <c r="AJ203" s="492" t="s">
        <v>1301</v>
      </c>
      <c r="AK203" s="492" t="s">
        <v>1302</v>
      </c>
      <c r="AL203" s="492"/>
      <c r="AM203" s="492"/>
      <c r="AN203" s="492"/>
      <c r="AO203" s="492"/>
      <c r="AP203" s="492"/>
      <c r="AQ203" s="492"/>
      <c r="AR203" s="492"/>
      <c r="AS203" s="492"/>
      <c r="AT203" s="492"/>
      <c r="AU203" s="492"/>
      <c r="AV203" s="492"/>
      <c r="AW203" s="492"/>
      <c r="AX203" s="492"/>
      <c r="AY203" s="492"/>
      <c r="AZ203" s="492"/>
      <c r="BA203" s="492"/>
      <c r="BB203" s="493">
        <v>32303</v>
      </c>
      <c r="BC203" s="494">
        <v>0.375</v>
      </c>
      <c r="BD203" s="493">
        <v>47989</v>
      </c>
      <c r="BE203" s="494">
        <v>0.99998842592592596</v>
      </c>
      <c r="BF203" s="493">
        <v>32639</v>
      </c>
      <c r="BG203" s="494">
        <v>0</v>
      </c>
      <c r="BH203" s="492" t="s">
        <v>1303</v>
      </c>
      <c r="BI203" s="492">
        <v>597.20000000000005</v>
      </c>
      <c r="BJ203" s="492" t="s">
        <v>1304</v>
      </c>
      <c r="BK203" s="492"/>
      <c r="BL203" s="493">
        <v>45551</v>
      </c>
      <c r="BM203" s="492" t="s">
        <v>1305</v>
      </c>
      <c r="BN203" s="492" t="s">
        <v>1301</v>
      </c>
      <c r="BO203" s="492">
        <v>0.16432140619605901</v>
      </c>
      <c r="BP203" s="492">
        <v>5.0513892581900005E-4</v>
      </c>
    </row>
    <row r="204" spans="1:68" ht="75">
      <c r="A204" s="492" t="s">
        <v>1071</v>
      </c>
      <c r="B204" s="492">
        <v>390980</v>
      </c>
      <c r="C204" s="492">
        <v>8185969</v>
      </c>
      <c r="D204" s="492">
        <v>201</v>
      </c>
      <c r="E204" s="492">
        <v>289</v>
      </c>
      <c r="F204" s="492">
        <v>55</v>
      </c>
      <c r="G204" s="492" t="b">
        <v>0</v>
      </c>
      <c r="H204" s="492" t="b">
        <v>0</v>
      </c>
      <c r="I204" s="492">
        <v>10</v>
      </c>
      <c r="J204" s="492" t="b">
        <v>0</v>
      </c>
      <c r="K204" s="492">
        <v>80</v>
      </c>
      <c r="L204" s="492" t="s">
        <v>1013</v>
      </c>
      <c r="M204" s="492" t="s">
        <v>1308</v>
      </c>
      <c r="N204" s="492" t="s">
        <v>2</v>
      </c>
      <c r="O204" s="492">
        <v>80</v>
      </c>
      <c r="P204" s="492" t="s">
        <v>109</v>
      </c>
      <c r="Q204" s="492">
        <v>3</v>
      </c>
      <c r="R204" s="492"/>
      <c r="S204" s="492"/>
      <c r="T204" s="492"/>
      <c r="U204" s="492"/>
      <c r="V204" s="492"/>
      <c r="W204" s="492"/>
      <c r="X204" s="492"/>
      <c r="Y204" s="492">
        <v>390980</v>
      </c>
      <c r="Z204" s="492">
        <v>8185969</v>
      </c>
      <c r="AA204" s="492">
        <v>9998.3867109818293</v>
      </c>
      <c r="AB204" s="492">
        <v>10919.040542948</v>
      </c>
      <c r="AC204" s="492">
        <v>6</v>
      </c>
      <c r="AD204" s="492">
        <v>23443</v>
      </c>
      <c r="AE204" s="492" t="s">
        <v>1297</v>
      </c>
      <c r="AF204" s="492" t="s">
        <v>1298</v>
      </c>
      <c r="AG204" s="492" t="s">
        <v>1299</v>
      </c>
      <c r="AH204" s="492" t="s">
        <v>1300</v>
      </c>
      <c r="AI204" s="492">
        <v>1</v>
      </c>
      <c r="AJ204" s="492" t="s">
        <v>1301</v>
      </c>
      <c r="AK204" s="492" t="s">
        <v>1302</v>
      </c>
      <c r="AL204" s="492"/>
      <c r="AM204" s="492"/>
      <c r="AN204" s="492"/>
      <c r="AO204" s="492"/>
      <c r="AP204" s="492"/>
      <c r="AQ204" s="492"/>
      <c r="AR204" s="492"/>
      <c r="AS204" s="492"/>
      <c r="AT204" s="492"/>
      <c r="AU204" s="492"/>
      <c r="AV204" s="492"/>
      <c r="AW204" s="492"/>
      <c r="AX204" s="492"/>
      <c r="AY204" s="492"/>
      <c r="AZ204" s="492"/>
      <c r="BA204" s="492"/>
      <c r="BB204" s="493">
        <v>32303</v>
      </c>
      <c r="BC204" s="494">
        <v>0.375</v>
      </c>
      <c r="BD204" s="493">
        <v>47989</v>
      </c>
      <c r="BE204" s="494">
        <v>0.99998842592592596</v>
      </c>
      <c r="BF204" s="493">
        <v>32639</v>
      </c>
      <c r="BG204" s="494">
        <v>0</v>
      </c>
      <c r="BH204" s="492" t="s">
        <v>1303</v>
      </c>
      <c r="BI204" s="492">
        <v>597.20000000000005</v>
      </c>
      <c r="BJ204" s="492" t="s">
        <v>1304</v>
      </c>
      <c r="BK204" s="492"/>
      <c r="BL204" s="493">
        <v>45551</v>
      </c>
      <c r="BM204" s="492" t="s">
        <v>1305</v>
      </c>
      <c r="BN204" s="492" t="s">
        <v>1301</v>
      </c>
      <c r="BO204" s="492">
        <v>0.16432140619605901</v>
      </c>
      <c r="BP204" s="492">
        <v>5.0513892581900005E-4</v>
      </c>
    </row>
    <row r="205" spans="1:68" ht="75">
      <c r="A205" s="492" t="s">
        <v>1070</v>
      </c>
      <c r="B205" s="492">
        <v>390999</v>
      </c>
      <c r="C205" s="492">
        <v>8186005</v>
      </c>
      <c r="D205" s="492">
        <v>196</v>
      </c>
      <c r="E205" s="492">
        <v>289</v>
      </c>
      <c r="F205" s="492">
        <v>55</v>
      </c>
      <c r="G205" s="492" t="b">
        <v>0</v>
      </c>
      <c r="H205" s="492" t="b">
        <v>0</v>
      </c>
      <c r="I205" s="492">
        <v>10</v>
      </c>
      <c r="J205" s="492" t="b">
        <v>0</v>
      </c>
      <c r="K205" s="492">
        <v>100</v>
      </c>
      <c r="L205" s="492" t="s">
        <v>1013</v>
      </c>
      <c r="M205" s="492" t="s">
        <v>1308</v>
      </c>
      <c r="N205" s="492" t="s">
        <v>2</v>
      </c>
      <c r="O205" s="492">
        <v>100</v>
      </c>
      <c r="P205" s="492" t="s">
        <v>109</v>
      </c>
      <c r="Q205" s="492">
        <v>3</v>
      </c>
      <c r="R205" s="492"/>
      <c r="S205" s="492"/>
      <c r="T205" s="492"/>
      <c r="U205" s="492"/>
      <c r="V205" s="492"/>
      <c r="W205" s="492"/>
      <c r="X205" s="492"/>
      <c r="Y205" s="492">
        <v>390999</v>
      </c>
      <c r="Z205" s="492">
        <v>8186005</v>
      </c>
      <c r="AA205" s="492">
        <v>10004.710902242399</v>
      </c>
      <c r="AB205" s="492">
        <v>10959.264567334199</v>
      </c>
      <c r="AC205" s="492">
        <v>6</v>
      </c>
      <c r="AD205" s="492">
        <v>23443</v>
      </c>
      <c r="AE205" s="492" t="s">
        <v>1297</v>
      </c>
      <c r="AF205" s="492" t="s">
        <v>1298</v>
      </c>
      <c r="AG205" s="492" t="s">
        <v>1299</v>
      </c>
      <c r="AH205" s="492" t="s">
        <v>1300</v>
      </c>
      <c r="AI205" s="492">
        <v>1</v>
      </c>
      <c r="AJ205" s="492" t="s">
        <v>1301</v>
      </c>
      <c r="AK205" s="492" t="s">
        <v>1302</v>
      </c>
      <c r="AL205" s="492"/>
      <c r="AM205" s="492"/>
      <c r="AN205" s="492"/>
      <c r="AO205" s="492"/>
      <c r="AP205" s="492"/>
      <c r="AQ205" s="492"/>
      <c r="AR205" s="492"/>
      <c r="AS205" s="492"/>
      <c r="AT205" s="492"/>
      <c r="AU205" s="492"/>
      <c r="AV205" s="492"/>
      <c r="AW205" s="492"/>
      <c r="AX205" s="492"/>
      <c r="AY205" s="492"/>
      <c r="AZ205" s="492"/>
      <c r="BA205" s="492"/>
      <c r="BB205" s="493">
        <v>32303</v>
      </c>
      <c r="BC205" s="494">
        <v>0.375</v>
      </c>
      <c r="BD205" s="493">
        <v>47989</v>
      </c>
      <c r="BE205" s="494">
        <v>0.99998842592592596</v>
      </c>
      <c r="BF205" s="493">
        <v>32639</v>
      </c>
      <c r="BG205" s="494">
        <v>0</v>
      </c>
      <c r="BH205" s="492" t="s">
        <v>1303</v>
      </c>
      <c r="BI205" s="492">
        <v>597.20000000000005</v>
      </c>
      <c r="BJ205" s="492" t="s">
        <v>1304</v>
      </c>
      <c r="BK205" s="492"/>
      <c r="BL205" s="493">
        <v>45551</v>
      </c>
      <c r="BM205" s="492" t="s">
        <v>1305</v>
      </c>
      <c r="BN205" s="492" t="s">
        <v>1301</v>
      </c>
      <c r="BO205" s="492">
        <v>0.16432140619605901</v>
      </c>
      <c r="BP205" s="492">
        <v>5.0513892581900005E-4</v>
      </c>
    </row>
    <row r="206" spans="1:68" ht="75">
      <c r="A206" s="492" t="s">
        <v>1068</v>
      </c>
      <c r="B206" s="492">
        <v>391002</v>
      </c>
      <c r="C206" s="492">
        <v>8186047</v>
      </c>
      <c r="D206" s="492">
        <v>203</v>
      </c>
      <c r="E206" s="492">
        <v>289</v>
      </c>
      <c r="F206" s="492">
        <v>55</v>
      </c>
      <c r="G206" s="492" t="b">
        <v>0</v>
      </c>
      <c r="H206" s="492" t="b">
        <v>0</v>
      </c>
      <c r="I206" s="492">
        <v>10</v>
      </c>
      <c r="J206" s="492" t="b">
        <v>0</v>
      </c>
      <c r="K206" s="492">
        <v>70</v>
      </c>
      <c r="L206" s="492" t="s">
        <v>1013</v>
      </c>
      <c r="M206" s="492" t="s">
        <v>1312</v>
      </c>
      <c r="N206" s="492" t="s">
        <v>2</v>
      </c>
      <c r="O206" s="492">
        <v>70</v>
      </c>
      <c r="P206" s="492" t="s">
        <v>109</v>
      </c>
      <c r="Q206" s="492">
        <v>3</v>
      </c>
      <c r="R206" s="492"/>
      <c r="S206" s="492"/>
      <c r="T206" s="492"/>
      <c r="U206" s="492"/>
      <c r="V206" s="492"/>
      <c r="W206" s="492"/>
      <c r="X206" s="492"/>
      <c r="Y206" s="492">
        <v>391002</v>
      </c>
      <c r="Z206" s="492">
        <v>8186047</v>
      </c>
      <c r="AA206" s="492">
        <v>9993.94933269172</v>
      </c>
      <c r="AB206" s="492">
        <v>10999.9858625819</v>
      </c>
      <c r="AC206" s="492">
        <v>6</v>
      </c>
      <c r="AD206" s="492">
        <v>23443</v>
      </c>
      <c r="AE206" s="492" t="s">
        <v>1297</v>
      </c>
      <c r="AF206" s="492" t="s">
        <v>1298</v>
      </c>
      <c r="AG206" s="492" t="s">
        <v>1299</v>
      </c>
      <c r="AH206" s="492" t="s">
        <v>1300</v>
      </c>
      <c r="AI206" s="492">
        <v>1</v>
      </c>
      <c r="AJ206" s="492" t="s">
        <v>1301</v>
      </c>
      <c r="AK206" s="492" t="s">
        <v>1302</v>
      </c>
      <c r="AL206" s="492"/>
      <c r="AM206" s="492"/>
      <c r="AN206" s="492"/>
      <c r="AO206" s="492"/>
      <c r="AP206" s="492"/>
      <c r="AQ206" s="492"/>
      <c r="AR206" s="492"/>
      <c r="AS206" s="492"/>
      <c r="AT206" s="492"/>
      <c r="AU206" s="492"/>
      <c r="AV206" s="492"/>
      <c r="AW206" s="492"/>
      <c r="AX206" s="492"/>
      <c r="AY206" s="492"/>
      <c r="AZ206" s="492"/>
      <c r="BA206" s="492"/>
      <c r="BB206" s="493">
        <v>32303</v>
      </c>
      <c r="BC206" s="494">
        <v>0.375</v>
      </c>
      <c r="BD206" s="493">
        <v>47989</v>
      </c>
      <c r="BE206" s="494">
        <v>0.99998842592592596</v>
      </c>
      <c r="BF206" s="493">
        <v>32639</v>
      </c>
      <c r="BG206" s="494">
        <v>0</v>
      </c>
      <c r="BH206" s="492" t="s">
        <v>1303</v>
      </c>
      <c r="BI206" s="492">
        <v>597.20000000000005</v>
      </c>
      <c r="BJ206" s="492" t="s">
        <v>1304</v>
      </c>
      <c r="BK206" s="492"/>
      <c r="BL206" s="493">
        <v>45551</v>
      </c>
      <c r="BM206" s="492" t="s">
        <v>1305</v>
      </c>
      <c r="BN206" s="492" t="s">
        <v>1301</v>
      </c>
      <c r="BO206" s="492">
        <v>0.16432140619605901</v>
      </c>
      <c r="BP206" s="492">
        <v>5.0513892581900005E-4</v>
      </c>
    </row>
    <row r="207" spans="1:68" ht="75">
      <c r="A207" s="492" t="s">
        <v>1115</v>
      </c>
      <c r="B207" s="492">
        <v>391439</v>
      </c>
      <c r="C207" s="492">
        <v>8186605</v>
      </c>
      <c r="D207" s="492">
        <v>202</v>
      </c>
      <c r="E207" s="492">
        <v>289</v>
      </c>
      <c r="F207" s="492">
        <v>60</v>
      </c>
      <c r="G207" s="492" t="b">
        <v>0</v>
      </c>
      <c r="H207" s="492" t="b">
        <v>0</v>
      </c>
      <c r="I207" s="492">
        <v>10</v>
      </c>
      <c r="J207" s="492" t="b">
        <v>0</v>
      </c>
      <c r="K207" s="492">
        <v>40</v>
      </c>
      <c r="L207" s="492" t="s">
        <v>1013</v>
      </c>
      <c r="M207" s="492" t="s">
        <v>1312</v>
      </c>
      <c r="N207" s="492" t="s">
        <v>2</v>
      </c>
      <c r="O207" s="492">
        <v>40</v>
      </c>
      <c r="P207" s="492" t="s">
        <v>109</v>
      </c>
      <c r="Q207" s="492">
        <v>3</v>
      </c>
      <c r="R207" s="492"/>
      <c r="S207" s="492"/>
      <c r="T207" s="492"/>
      <c r="U207" s="492"/>
      <c r="V207" s="492"/>
      <c r="W207" s="492"/>
      <c r="X207" s="492"/>
      <c r="Y207" s="492">
        <v>391439</v>
      </c>
      <c r="Z207" s="492">
        <v>8186605</v>
      </c>
      <c r="AA207" s="492">
        <v>10226.839712388801</v>
      </c>
      <c r="AB207" s="492">
        <v>11669.603952609899</v>
      </c>
      <c r="AC207" s="492">
        <v>6</v>
      </c>
      <c r="AD207" s="492">
        <v>23443</v>
      </c>
      <c r="AE207" s="492" t="s">
        <v>1297</v>
      </c>
      <c r="AF207" s="492" t="s">
        <v>1298</v>
      </c>
      <c r="AG207" s="492" t="s">
        <v>1299</v>
      </c>
      <c r="AH207" s="492" t="s">
        <v>1300</v>
      </c>
      <c r="AI207" s="492">
        <v>1</v>
      </c>
      <c r="AJ207" s="492" t="s">
        <v>1301</v>
      </c>
      <c r="AK207" s="492" t="s">
        <v>1302</v>
      </c>
      <c r="AL207" s="492"/>
      <c r="AM207" s="492"/>
      <c r="AN207" s="492"/>
      <c r="AO207" s="492"/>
      <c r="AP207" s="492"/>
      <c r="AQ207" s="492"/>
      <c r="AR207" s="492"/>
      <c r="AS207" s="492"/>
      <c r="AT207" s="492"/>
      <c r="AU207" s="492"/>
      <c r="AV207" s="492"/>
      <c r="AW207" s="492"/>
      <c r="AX207" s="492"/>
      <c r="AY207" s="492"/>
      <c r="AZ207" s="492"/>
      <c r="BA207" s="492"/>
      <c r="BB207" s="493">
        <v>32303</v>
      </c>
      <c r="BC207" s="494">
        <v>0.375</v>
      </c>
      <c r="BD207" s="493">
        <v>47989</v>
      </c>
      <c r="BE207" s="494">
        <v>0.99998842592592596</v>
      </c>
      <c r="BF207" s="493">
        <v>32639</v>
      </c>
      <c r="BG207" s="494">
        <v>0</v>
      </c>
      <c r="BH207" s="492" t="s">
        <v>1303</v>
      </c>
      <c r="BI207" s="492">
        <v>597.20000000000005</v>
      </c>
      <c r="BJ207" s="492" t="s">
        <v>1304</v>
      </c>
      <c r="BK207" s="492"/>
      <c r="BL207" s="493">
        <v>45551</v>
      </c>
      <c r="BM207" s="492" t="s">
        <v>1305</v>
      </c>
      <c r="BN207" s="492" t="s">
        <v>1301</v>
      </c>
      <c r="BO207" s="492">
        <v>0.16432140619605901</v>
      </c>
      <c r="BP207" s="492">
        <v>5.0513892581900005E-4</v>
      </c>
    </row>
    <row r="208" spans="1:68" ht="75">
      <c r="A208" s="492" t="s">
        <v>831</v>
      </c>
      <c r="B208" s="492">
        <v>391600</v>
      </c>
      <c r="C208" s="492">
        <v>8186603</v>
      </c>
      <c r="D208" s="492">
        <v>173</v>
      </c>
      <c r="E208" s="492">
        <v>109</v>
      </c>
      <c r="F208" s="492">
        <v>55</v>
      </c>
      <c r="G208" s="492" t="b">
        <v>0</v>
      </c>
      <c r="H208" s="492" t="b">
        <v>0</v>
      </c>
      <c r="I208" s="492">
        <v>10</v>
      </c>
      <c r="J208" s="492" t="b">
        <v>0</v>
      </c>
      <c r="K208" s="492">
        <v>57</v>
      </c>
      <c r="L208" s="492" t="s">
        <v>1311</v>
      </c>
      <c r="M208" s="492" t="s">
        <v>1296</v>
      </c>
      <c r="N208" s="492" t="s">
        <v>2</v>
      </c>
      <c r="O208" s="492">
        <v>57</v>
      </c>
      <c r="P208" s="492" t="s">
        <v>109</v>
      </c>
      <c r="Q208" s="492">
        <v>3</v>
      </c>
      <c r="R208" s="492" t="b">
        <v>1</v>
      </c>
      <c r="S208" s="492" t="b">
        <v>1</v>
      </c>
      <c r="T208" s="492"/>
      <c r="U208" s="492"/>
      <c r="V208" s="492"/>
      <c r="W208" s="492"/>
      <c r="X208" s="492"/>
      <c r="Y208" s="492">
        <v>391595.62692479801</v>
      </c>
      <c r="Z208" s="492">
        <v>8186611.4997098502</v>
      </c>
      <c r="AA208" s="492">
        <v>10372.9703895887</v>
      </c>
      <c r="AB208" s="492">
        <v>11726.4758616667</v>
      </c>
      <c r="AC208" s="492">
        <v>6</v>
      </c>
      <c r="AD208" s="492">
        <v>23443</v>
      </c>
      <c r="AE208" s="492" t="s">
        <v>1297</v>
      </c>
      <c r="AF208" s="492" t="s">
        <v>1298</v>
      </c>
      <c r="AG208" s="492" t="s">
        <v>1299</v>
      </c>
      <c r="AH208" s="492" t="s">
        <v>1300</v>
      </c>
      <c r="AI208" s="492">
        <v>1</v>
      </c>
      <c r="AJ208" s="492" t="s">
        <v>1301</v>
      </c>
      <c r="AK208" s="492" t="s">
        <v>1302</v>
      </c>
      <c r="AL208" s="492"/>
      <c r="AM208" s="492"/>
      <c r="AN208" s="492"/>
      <c r="AO208" s="492"/>
      <c r="AP208" s="492"/>
      <c r="AQ208" s="492"/>
      <c r="AR208" s="492"/>
      <c r="AS208" s="492"/>
      <c r="AT208" s="492"/>
      <c r="AU208" s="492"/>
      <c r="AV208" s="492"/>
      <c r="AW208" s="492"/>
      <c r="AX208" s="492"/>
      <c r="AY208" s="492"/>
      <c r="AZ208" s="492"/>
      <c r="BA208" s="492"/>
      <c r="BB208" s="493">
        <v>32303</v>
      </c>
      <c r="BC208" s="494">
        <v>0.375</v>
      </c>
      <c r="BD208" s="493">
        <v>47989</v>
      </c>
      <c r="BE208" s="494">
        <v>0.99998842592592596</v>
      </c>
      <c r="BF208" s="493">
        <v>32639</v>
      </c>
      <c r="BG208" s="494">
        <v>0</v>
      </c>
      <c r="BH208" s="492" t="s">
        <v>1303</v>
      </c>
      <c r="BI208" s="492">
        <v>597.20000000000005</v>
      </c>
      <c r="BJ208" s="492" t="s">
        <v>1304</v>
      </c>
      <c r="BK208" s="492"/>
      <c r="BL208" s="493">
        <v>45551</v>
      </c>
      <c r="BM208" s="492" t="s">
        <v>1305</v>
      </c>
      <c r="BN208" s="492" t="s">
        <v>1301</v>
      </c>
      <c r="BO208" s="492">
        <v>0.16432140619605901</v>
      </c>
      <c r="BP208" s="492">
        <v>5.0513892581900005E-4</v>
      </c>
    </row>
    <row r="209" spans="1:68" ht="75">
      <c r="A209" s="492" t="s">
        <v>1038</v>
      </c>
      <c r="B209" s="492">
        <v>391307</v>
      </c>
      <c r="C209" s="492">
        <v>8186618</v>
      </c>
      <c r="D209" s="492">
        <v>206</v>
      </c>
      <c r="E209" s="492">
        <v>289</v>
      </c>
      <c r="F209" s="492">
        <v>58</v>
      </c>
      <c r="G209" s="492" t="b">
        <v>0</v>
      </c>
      <c r="H209" s="492" t="b">
        <v>0</v>
      </c>
      <c r="I209" s="492">
        <v>10</v>
      </c>
      <c r="J209" s="492" t="b">
        <v>0</v>
      </c>
      <c r="K209" s="492">
        <v>190</v>
      </c>
      <c r="L209" s="492" t="s">
        <v>1013</v>
      </c>
      <c r="M209" s="492" t="s">
        <v>1308</v>
      </c>
      <c r="N209" s="492" t="s">
        <v>2</v>
      </c>
      <c r="O209" s="492">
        <v>190</v>
      </c>
      <c r="P209" s="492" t="s">
        <v>109</v>
      </c>
      <c r="Q209" s="492">
        <v>3</v>
      </c>
      <c r="R209" s="492" t="b">
        <v>1</v>
      </c>
      <c r="S209" s="492" t="b">
        <v>1</v>
      </c>
      <c r="T209" s="492"/>
      <c r="U209" s="492"/>
      <c r="V209" s="492"/>
      <c r="W209" s="492"/>
      <c r="X209" s="492"/>
      <c r="Y209" s="492">
        <v>391310.88609301898</v>
      </c>
      <c r="Z209" s="492">
        <v>8186614.4328375198</v>
      </c>
      <c r="AA209" s="492">
        <v>10102.535008820199</v>
      </c>
      <c r="AB209" s="492">
        <v>11637.0443461993</v>
      </c>
      <c r="AC209" s="492">
        <v>6</v>
      </c>
      <c r="AD209" s="492">
        <v>23443</v>
      </c>
      <c r="AE209" s="492" t="s">
        <v>1297</v>
      </c>
      <c r="AF209" s="492" t="s">
        <v>1298</v>
      </c>
      <c r="AG209" s="492" t="s">
        <v>1299</v>
      </c>
      <c r="AH209" s="492" t="s">
        <v>1300</v>
      </c>
      <c r="AI209" s="492">
        <v>1</v>
      </c>
      <c r="AJ209" s="492" t="s">
        <v>1301</v>
      </c>
      <c r="AK209" s="492" t="s">
        <v>1302</v>
      </c>
      <c r="AL209" s="492"/>
      <c r="AM209" s="492"/>
      <c r="AN209" s="492"/>
      <c r="AO209" s="492"/>
      <c r="AP209" s="492"/>
      <c r="AQ209" s="492"/>
      <c r="AR209" s="492"/>
      <c r="AS209" s="492"/>
      <c r="AT209" s="492"/>
      <c r="AU209" s="492"/>
      <c r="AV209" s="492"/>
      <c r="AW209" s="492"/>
      <c r="AX209" s="492"/>
      <c r="AY209" s="492"/>
      <c r="AZ209" s="492"/>
      <c r="BA209" s="492"/>
      <c r="BB209" s="493">
        <v>32303</v>
      </c>
      <c r="BC209" s="494">
        <v>0.375</v>
      </c>
      <c r="BD209" s="493">
        <v>47989</v>
      </c>
      <c r="BE209" s="494">
        <v>0.99998842592592596</v>
      </c>
      <c r="BF209" s="493">
        <v>32639</v>
      </c>
      <c r="BG209" s="494">
        <v>0</v>
      </c>
      <c r="BH209" s="492" t="s">
        <v>1303</v>
      </c>
      <c r="BI209" s="492">
        <v>597.20000000000005</v>
      </c>
      <c r="BJ209" s="492" t="s">
        <v>1304</v>
      </c>
      <c r="BK209" s="492"/>
      <c r="BL209" s="493">
        <v>45551</v>
      </c>
      <c r="BM209" s="492" t="s">
        <v>1305</v>
      </c>
      <c r="BN209" s="492" t="s">
        <v>1301</v>
      </c>
      <c r="BO209" s="492">
        <v>0.16432140619605901</v>
      </c>
      <c r="BP209" s="492">
        <v>5.0513892581900005E-4</v>
      </c>
    </row>
    <row r="210" spans="1:68" ht="75">
      <c r="A210" s="492" t="s">
        <v>1114</v>
      </c>
      <c r="B210" s="492">
        <v>391557</v>
      </c>
      <c r="C210" s="492">
        <v>8186618</v>
      </c>
      <c r="D210" s="492">
        <v>179</v>
      </c>
      <c r="E210" s="492">
        <v>289</v>
      </c>
      <c r="F210" s="492">
        <v>60</v>
      </c>
      <c r="G210" s="492" t="b">
        <v>0</v>
      </c>
      <c r="H210" s="492" t="b">
        <v>0</v>
      </c>
      <c r="I210" s="492">
        <v>10</v>
      </c>
      <c r="J210" s="492" t="b">
        <v>0</v>
      </c>
      <c r="K210" s="492">
        <v>30</v>
      </c>
      <c r="L210" s="492" t="s">
        <v>1013</v>
      </c>
      <c r="M210" s="492" t="s">
        <v>1312</v>
      </c>
      <c r="N210" s="492" t="s">
        <v>2</v>
      </c>
      <c r="O210" s="492">
        <v>30</v>
      </c>
      <c r="P210" s="492" t="s">
        <v>109</v>
      </c>
      <c r="Q210" s="492">
        <v>3</v>
      </c>
      <c r="R210" s="492"/>
      <c r="S210" s="492"/>
      <c r="T210" s="492"/>
      <c r="U210" s="492"/>
      <c r="V210" s="492"/>
      <c r="W210" s="492"/>
      <c r="X210" s="492"/>
      <c r="Y210" s="492">
        <v>391557</v>
      </c>
      <c r="Z210" s="492">
        <v>8186618</v>
      </c>
      <c r="AA210" s="492">
        <v>10334.307956133</v>
      </c>
      <c r="AB210" s="492">
        <v>11720.1193520464</v>
      </c>
      <c r="AC210" s="492">
        <v>6</v>
      </c>
      <c r="AD210" s="492">
        <v>23443</v>
      </c>
      <c r="AE210" s="492" t="s">
        <v>1297</v>
      </c>
      <c r="AF210" s="492" t="s">
        <v>1298</v>
      </c>
      <c r="AG210" s="492" t="s">
        <v>1299</v>
      </c>
      <c r="AH210" s="492" t="s">
        <v>1300</v>
      </c>
      <c r="AI210" s="492">
        <v>1</v>
      </c>
      <c r="AJ210" s="492" t="s">
        <v>1301</v>
      </c>
      <c r="AK210" s="492" t="s">
        <v>1302</v>
      </c>
      <c r="AL210" s="492"/>
      <c r="AM210" s="492"/>
      <c r="AN210" s="492"/>
      <c r="AO210" s="492"/>
      <c r="AP210" s="492"/>
      <c r="AQ210" s="492"/>
      <c r="AR210" s="492"/>
      <c r="AS210" s="492"/>
      <c r="AT210" s="492"/>
      <c r="AU210" s="492"/>
      <c r="AV210" s="492"/>
      <c r="AW210" s="492"/>
      <c r="AX210" s="492"/>
      <c r="AY210" s="492"/>
      <c r="AZ210" s="492"/>
      <c r="BA210" s="492"/>
      <c r="BB210" s="493">
        <v>32303</v>
      </c>
      <c r="BC210" s="494">
        <v>0.375</v>
      </c>
      <c r="BD210" s="493">
        <v>47989</v>
      </c>
      <c r="BE210" s="494">
        <v>0.99998842592592596</v>
      </c>
      <c r="BF210" s="493">
        <v>32639</v>
      </c>
      <c r="BG210" s="494">
        <v>0</v>
      </c>
      <c r="BH210" s="492" t="s">
        <v>1303</v>
      </c>
      <c r="BI210" s="492">
        <v>597.20000000000005</v>
      </c>
      <c r="BJ210" s="492" t="s">
        <v>1304</v>
      </c>
      <c r="BK210" s="492"/>
      <c r="BL210" s="493">
        <v>45551</v>
      </c>
      <c r="BM210" s="492" t="s">
        <v>1305</v>
      </c>
      <c r="BN210" s="492" t="s">
        <v>1301</v>
      </c>
      <c r="BO210" s="492">
        <v>0.16432140619605901</v>
      </c>
      <c r="BP210" s="492">
        <v>5.0513892581900005E-4</v>
      </c>
    </row>
    <row r="211" spans="1:68" ht="75">
      <c r="A211" s="492" t="s">
        <v>1113</v>
      </c>
      <c r="B211" s="492">
        <v>391524</v>
      </c>
      <c r="C211" s="492">
        <v>8186629</v>
      </c>
      <c r="D211" s="492">
        <v>188</v>
      </c>
      <c r="E211" s="492">
        <v>289</v>
      </c>
      <c r="F211" s="492">
        <v>60</v>
      </c>
      <c r="G211" s="492" t="b">
        <v>0</v>
      </c>
      <c r="H211" s="492" t="b">
        <v>0</v>
      </c>
      <c r="I211" s="492">
        <v>10</v>
      </c>
      <c r="J211" s="492" t="b">
        <v>0</v>
      </c>
      <c r="K211" s="492">
        <v>20</v>
      </c>
      <c r="L211" s="492" t="s">
        <v>1013</v>
      </c>
      <c r="M211" s="492" t="s">
        <v>1312</v>
      </c>
      <c r="N211" s="492" t="s">
        <v>2</v>
      </c>
      <c r="O211" s="492">
        <v>20</v>
      </c>
      <c r="P211" s="492" t="s">
        <v>109</v>
      </c>
      <c r="Q211" s="492">
        <v>3</v>
      </c>
      <c r="R211" s="492"/>
      <c r="S211" s="492"/>
      <c r="T211" s="492"/>
      <c r="U211" s="492"/>
      <c r="V211" s="492"/>
      <c r="W211" s="492"/>
      <c r="X211" s="492"/>
      <c r="Y211" s="492">
        <v>391524</v>
      </c>
      <c r="Z211" s="492">
        <v>8186629</v>
      </c>
      <c r="AA211" s="492">
        <v>10299.513840112801</v>
      </c>
      <c r="AB211" s="492">
        <v>11719.843640249201</v>
      </c>
      <c r="AC211" s="492">
        <v>6</v>
      </c>
      <c r="AD211" s="492">
        <v>23443</v>
      </c>
      <c r="AE211" s="492" t="s">
        <v>1297</v>
      </c>
      <c r="AF211" s="492" t="s">
        <v>1298</v>
      </c>
      <c r="AG211" s="492" t="s">
        <v>1299</v>
      </c>
      <c r="AH211" s="492" t="s">
        <v>1300</v>
      </c>
      <c r="AI211" s="492">
        <v>1</v>
      </c>
      <c r="AJ211" s="492" t="s">
        <v>1301</v>
      </c>
      <c r="AK211" s="492" t="s">
        <v>1302</v>
      </c>
      <c r="AL211" s="492"/>
      <c r="AM211" s="492"/>
      <c r="AN211" s="492"/>
      <c r="AO211" s="492"/>
      <c r="AP211" s="492"/>
      <c r="AQ211" s="492"/>
      <c r="AR211" s="492"/>
      <c r="AS211" s="492"/>
      <c r="AT211" s="492"/>
      <c r="AU211" s="492"/>
      <c r="AV211" s="492"/>
      <c r="AW211" s="492"/>
      <c r="AX211" s="492"/>
      <c r="AY211" s="492"/>
      <c r="AZ211" s="492"/>
      <c r="BA211" s="492"/>
      <c r="BB211" s="493">
        <v>32303</v>
      </c>
      <c r="BC211" s="494">
        <v>0.375</v>
      </c>
      <c r="BD211" s="493">
        <v>47989</v>
      </c>
      <c r="BE211" s="494">
        <v>0.99998842592592596</v>
      </c>
      <c r="BF211" s="493">
        <v>32639</v>
      </c>
      <c r="BG211" s="494">
        <v>0</v>
      </c>
      <c r="BH211" s="492" t="s">
        <v>1303</v>
      </c>
      <c r="BI211" s="492">
        <v>597.20000000000005</v>
      </c>
      <c r="BJ211" s="492" t="s">
        <v>1304</v>
      </c>
      <c r="BK211" s="492"/>
      <c r="BL211" s="493">
        <v>45551</v>
      </c>
      <c r="BM211" s="492" t="s">
        <v>1305</v>
      </c>
      <c r="BN211" s="492" t="s">
        <v>1301</v>
      </c>
      <c r="BO211" s="492">
        <v>0.16432140619605901</v>
      </c>
      <c r="BP211" s="492">
        <v>5.0513892581900005E-4</v>
      </c>
    </row>
    <row r="212" spans="1:68" ht="75">
      <c r="A212" s="492" t="s">
        <v>1037</v>
      </c>
      <c r="B212" s="492">
        <v>391379</v>
      </c>
      <c r="C212" s="492">
        <v>8186636</v>
      </c>
      <c r="D212" s="492">
        <v>217</v>
      </c>
      <c r="E212" s="492">
        <v>109</v>
      </c>
      <c r="F212" s="492">
        <v>60</v>
      </c>
      <c r="G212" s="492" t="b">
        <v>0</v>
      </c>
      <c r="H212" s="492" t="b">
        <v>0</v>
      </c>
      <c r="I212" s="492">
        <v>10</v>
      </c>
      <c r="J212" s="492" t="b">
        <v>0</v>
      </c>
      <c r="K212" s="492">
        <v>50</v>
      </c>
      <c r="L212" s="492" t="s">
        <v>1013</v>
      </c>
      <c r="M212" s="492" t="s">
        <v>1308</v>
      </c>
      <c r="N212" s="492" t="s">
        <v>2</v>
      </c>
      <c r="O212" s="492">
        <v>50</v>
      </c>
      <c r="P212" s="492" t="s">
        <v>109</v>
      </c>
      <c r="Q212" s="492">
        <v>3</v>
      </c>
      <c r="R212" s="492"/>
      <c r="S212" s="492"/>
      <c r="T212" s="492"/>
      <c r="U212" s="492"/>
      <c r="V212" s="492"/>
      <c r="W212" s="492"/>
      <c r="X212" s="492"/>
      <c r="Y212" s="492">
        <v>391379</v>
      </c>
      <c r="Z212" s="492">
        <v>8186636</v>
      </c>
      <c r="AA212" s="492">
        <v>10160.015558114699</v>
      </c>
      <c r="AB212" s="492">
        <v>11679.513322061801</v>
      </c>
      <c r="AC212" s="492">
        <v>6</v>
      </c>
      <c r="AD212" s="492">
        <v>23443</v>
      </c>
      <c r="AE212" s="492" t="s">
        <v>1297</v>
      </c>
      <c r="AF212" s="492" t="s">
        <v>1298</v>
      </c>
      <c r="AG212" s="492" t="s">
        <v>1299</v>
      </c>
      <c r="AH212" s="492" t="s">
        <v>1300</v>
      </c>
      <c r="AI212" s="492">
        <v>1</v>
      </c>
      <c r="AJ212" s="492" t="s">
        <v>1301</v>
      </c>
      <c r="AK212" s="492" t="s">
        <v>1302</v>
      </c>
      <c r="AL212" s="492"/>
      <c r="AM212" s="492"/>
      <c r="AN212" s="492"/>
      <c r="AO212" s="492"/>
      <c r="AP212" s="492"/>
      <c r="AQ212" s="492"/>
      <c r="AR212" s="492"/>
      <c r="AS212" s="492"/>
      <c r="AT212" s="492"/>
      <c r="AU212" s="492"/>
      <c r="AV212" s="492"/>
      <c r="AW212" s="492"/>
      <c r="AX212" s="492"/>
      <c r="AY212" s="492"/>
      <c r="AZ212" s="492"/>
      <c r="BA212" s="492"/>
      <c r="BB212" s="493">
        <v>32303</v>
      </c>
      <c r="BC212" s="494">
        <v>0.375</v>
      </c>
      <c r="BD212" s="493">
        <v>47989</v>
      </c>
      <c r="BE212" s="494">
        <v>0.99998842592592596</v>
      </c>
      <c r="BF212" s="493">
        <v>32639</v>
      </c>
      <c r="BG212" s="494">
        <v>0</v>
      </c>
      <c r="BH212" s="492" t="s">
        <v>1303</v>
      </c>
      <c r="BI212" s="492">
        <v>597.20000000000005</v>
      </c>
      <c r="BJ212" s="492" t="s">
        <v>1304</v>
      </c>
      <c r="BK212" s="492"/>
      <c r="BL212" s="493">
        <v>45551</v>
      </c>
      <c r="BM212" s="492" t="s">
        <v>1305</v>
      </c>
      <c r="BN212" s="492" t="s">
        <v>1301</v>
      </c>
      <c r="BO212" s="492">
        <v>0.16432140619605901</v>
      </c>
      <c r="BP212" s="492">
        <v>5.0513892581900005E-4</v>
      </c>
    </row>
    <row r="213" spans="1:68" ht="75">
      <c r="A213" s="492" t="s">
        <v>1112</v>
      </c>
      <c r="B213" s="492">
        <v>391493</v>
      </c>
      <c r="C213" s="492">
        <v>8186640</v>
      </c>
      <c r="D213" s="492">
        <v>192</v>
      </c>
      <c r="E213" s="492">
        <v>289</v>
      </c>
      <c r="F213" s="492">
        <v>60</v>
      </c>
      <c r="G213" s="492" t="b">
        <v>0</v>
      </c>
      <c r="H213" s="492" t="b">
        <v>0</v>
      </c>
      <c r="I213" s="492">
        <v>10</v>
      </c>
      <c r="J213" s="492" t="b">
        <v>0</v>
      </c>
      <c r="K213" s="492">
        <v>20</v>
      </c>
      <c r="L213" s="492" t="s">
        <v>1013</v>
      </c>
      <c r="M213" s="492" t="s">
        <v>1312</v>
      </c>
      <c r="N213" s="492" t="s">
        <v>2</v>
      </c>
      <c r="O213" s="492">
        <v>20</v>
      </c>
      <c r="P213" s="492" t="s">
        <v>109</v>
      </c>
      <c r="Q213" s="492">
        <v>3</v>
      </c>
      <c r="R213" s="492"/>
      <c r="S213" s="492"/>
      <c r="T213" s="492"/>
      <c r="U213" s="492"/>
      <c r="V213" s="492"/>
      <c r="W213" s="492"/>
      <c r="X213" s="492"/>
      <c r="Y213" s="492">
        <v>391493</v>
      </c>
      <c r="Z213" s="492">
        <v>8186640</v>
      </c>
      <c r="AA213" s="492">
        <v>10266.6125720203</v>
      </c>
      <c r="AB213" s="492">
        <v>11720.2155875684</v>
      </c>
      <c r="AC213" s="492">
        <v>6</v>
      </c>
      <c r="AD213" s="492">
        <v>23443</v>
      </c>
      <c r="AE213" s="492" t="s">
        <v>1297</v>
      </c>
      <c r="AF213" s="492" t="s">
        <v>1298</v>
      </c>
      <c r="AG213" s="492" t="s">
        <v>1299</v>
      </c>
      <c r="AH213" s="492" t="s">
        <v>1300</v>
      </c>
      <c r="AI213" s="492">
        <v>1</v>
      </c>
      <c r="AJ213" s="492" t="s">
        <v>1301</v>
      </c>
      <c r="AK213" s="492" t="s">
        <v>1302</v>
      </c>
      <c r="AL213" s="492"/>
      <c r="AM213" s="492"/>
      <c r="AN213" s="492"/>
      <c r="AO213" s="492"/>
      <c r="AP213" s="492"/>
      <c r="AQ213" s="492"/>
      <c r="AR213" s="492"/>
      <c r="AS213" s="492"/>
      <c r="AT213" s="492"/>
      <c r="AU213" s="492"/>
      <c r="AV213" s="492"/>
      <c r="AW213" s="492"/>
      <c r="AX213" s="492"/>
      <c r="AY213" s="492"/>
      <c r="AZ213" s="492"/>
      <c r="BA213" s="492"/>
      <c r="BB213" s="493">
        <v>32303</v>
      </c>
      <c r="BC213" s="494">
        <v>0.375</v>
      </c>
      <c r="BD213" s="493">
        <v>47989</v>
      </c>
      <c r="BE213" s="494">
        <v>0.99998842592592596</v>
      </c>
      <c r="BF213" s="493">
        <v>32639</v>
      </c>
      <c r="BG213" s="494">
        <v>0</v>
      </c>
      <c r="BH213" s="492" t="s">
        <v>1303</v>
      </c>
      <c r="BI213" s="492">
        <v>597.20000000000005</v>
      </c>
      <c r="BJ213" s="492" t="s">
        <v>1304</v>
      </c>
      <c r="BK213" s="492"/>
      <c r="BL213" s="493">
        <v>45551</v>
      </c>
      <c r="BM213" s="492" t="s">
        <v>1305</v>
      </c>
      <c r="BN213" s="492" t="s">
        <v>1301</v>
      </c>
      <c r="BO213" s="492">
        <v>0.16432140619605901</v>
      </c>
      <c r="BP213" s="492">
        <v>5.0513892581900005E-4</v>
      </c>
    </row>
    <row r="214" spans="1:68" ht="75">
      <c r="A214" s="492" t="s">
        <v>1036</v>
      </c>
      <c r="B214" s="492">
        <v>391356</v>
      </c>
      <c r="C214" s="492">
        <v>8186644</v>
      </c>
      <c r="D214" s="492">
        <v>217</v>
      </c>
      <c r="E214" s="492">
        <v>289</v>
      </c>
      <c r="F214" s="492">
        <v>60</v>
      </c>
      <c r="G214" s="492" t="b">
        <v>0</v>
      </c>
      <c r="H214" s="492" t="b">
        <v>0</v>
      </c>
      <c r="I214" s="492">
        <v>10</v>
      </c>
      <c r="J214" s="492" t="b">
        <v>0</v>
      </c>
      <c r="K214" s="492">
        <v>50</v>
      </c>
      <c r="L214" s="492" t="s">
        <v>1013</v>
      </c>
      <c r="M214" s="492" t="s">
        <v>1308</v>
      </c>
      <c r="N214" s="492" t="s">
        <v>2</v>
      </c>
      <c r="O214" s="492">
        <v>50</v>
      </c>
      <c r="P214" s="492" t="s">
        <v>109</v>
      </c>
      <c r="Q214" s="492">
        <v>3</v>
      </c>
      <c r="R214" s="492"/>
      <c r="S214" s="492"/>
      <c r="T214" s="492"/>
      <c r="U214" s="492"/>
      <c r="V214" s="492"/>
      <c r="W214" s="492"/>
      <c r="X214" s="492"/>
      <c r="Y214" s="492">
        <v>391356</v>
      </c>
      <c r="Z214" s="492">
        <v>8186644</v>
      </c>
      <c r="AA214" s="492">
        <v>10135.657170427899</v>
      </c>
      <c r="AB214" s="492">
        <v>11679.6366339493</v>
      </c>
      <c r="AC214" s="492">
        <v>6</v>
      </c>
      <c r="AD214" s="492">
        <v>23443</v>
      </c>
      <c r="AE214" s="492" t="s">
        <v>1297</v>
      </c>
      <c r="AF214" s="492" t="s">
        <v>1298</v>
      </c>
      <c r="AG214" s="492" t="s">
        <v>1299</v>
      </c>
      <c r="AH214" s="492" t="s">
        <v>1300</v>
      </c>
      <c r="AI214" s="492">
        <v>1</v>
      </c>
      <c r="AJ214" s="492" t="s">
        <v>1301</v>
      </c>
      <c r="AK214" s="492" t="s">
        <v>1302</v>
      </c>
      <c r="AL214" s="492"/>
      <c r="AM214" s="492"/>
      <c r="AN214" s="492"/>
      <c r="AO214" s="492"/>
      <c r="AP214" s="492"/>
      <c r="AQ214" s="492"/>
      <c r="AR214" s="492"/>
      <c r="AS214" s="492"/>
      <c r="AT214" s="492"/>
      <c r="AU214" s="492"/>
      <c r="AV214" s="492"/>
      <c r="AW214" s="492"/>
      <c r="AX214" s="492"/>
      <c r="AY214" s="492"/>
      <c r="AZ214" s="492"/>
      <c r="BA214" s="492"/>
      <c r="BB214" s="493">
        <v>32303</v>
      </c>
      <c r="BC214" s="494">
        <v>0.375</v>
      </c>
      <c r="BD214" s="493">
        <v>47989</v>
      </c>
      <c r="BE214" s="494">
        <v>0.99998842592592596</v>
      </c>
      <c r="BF214" s="493">
        <v>32639</v>
      </c>
      <c r="BG214" s="494">
        <v>0</v>
      </c>
      <c r="BH214" s="492" t="s">
        <v>1303</v>
      </c>
      <c r="BI214" s="492">
        <v>597.20000000000005</v>
      </c>
      <c r="BJ214" s="492" t="s">
        <v>1304</v>
      </c>
      <c r="BK214" s="492"/>
      <c r="BL214" s="493">
        <v>45551</v>
      </c>
      <c r="BM214" s="492" t="s">
        <v>1305</v>
      </c>
      <c r="BN214" s="492" t="s">
        <v>1301</v>
      </c>
      <c r="BO214" s="492">
        <v>0.16432140619605901</v>
      </c>
      <c r="BP214" s="492">
        <v>5.0513892581900005E-4</v>
      </c>
    </row>
    <row r="215" spans="1:68" ht="75">
      <c r="A215" s="492" t="s">
        <v>829</v>
      </c>
      <c r="B215" s="492">
        <v>391480</v>
      </c>
      <c r="C215" s="492">
        <v>8186560</v>
      </c>
      <c r="D215" s="492">
        <v>180</v>
      </c>
      <c r="E215" s="492">
        <v>109</v>
      </c>
      <c r="F215" s="492">
        <v>62</v>
      </c>
      <c r="G215" s="492" t="b">
        <v>0</v>
      </c>
      <c r="H215" s="492" t="b">
        <v>0</v>
      </c>
      <c r="I215" s="492">
        <v>10</v>
      </c>
      <c r="J215" s="492" t="b">
        <v>0</v>
      </c>
      <c r="K215" s="492">
        <v>250</v>
      </c>
      <c r="L215" s="492" t="s">
        <v>1311</v>
      </c>
      <c r="M215" s="492" t="s">
        <v>1296</v>
      </c>
      <c r="N215" s="492" t="s">
        <v>2</v>
      </c>
      <c r="O215" s="492">
        <v>250</v>
      </c>
      <c r="P215" s="492" t="s">
        <v>109</v>
      </c>
      <c r="Q215" s="492">
        <v>3</v>
      </c>
      <c r="R215" s="492"/>
      <c r="S215" s="492"/>
      <c r="T215" s="492"/>
      <c r="U215" s="492"/>
      <c r="V215" s="492"/>
      <c r="W215" s="492"/>
      <c r="X215" s="492"/>
      <c r="Y215" s="492">
        <v>391480</v>
      </c>
      <c r="Z215" s="492">
        <v>8186560</v>
      </c>
      <c r="AA215" s="492">
        <v>10280.215425119701</v>
      </c>
      <c r="AB215" s="492">
        <v>11640.291886027901</v>
      </c>
      <c r="AC215" s="492">
        <v>6</v>
      </c>
      <c r="AD215" s="492">
        <v>23443</v>
      </c>
      <c r="AE215" s="492" t="s">
        <v>1297</v>
      </c>
      <c r="AF215" s="492" t="s">
        <v>1298</v>
      </c>
      <c r="AG215" s="492" t="s">
        <v>1299</v>
      </c>
      <c r="AH215" s="492" t="s">
        <v>1300</v>
      </c>
      <c r="AI215" s="492">
        <v>1</v>
      </c>
      <c r="AJ215" s="492" t="s">
        <v>1301</v>
      </c>
      <c r="AK215" s="492" t="s">
        <v>1302</v>
      </c>
      <c r="AL215" s="492"/>
      <c r="AM215" s="492"/>
      <c r="AN215" s="492"/>
      <c r="AO215" s="492"/>
      <c r="AP215" s="492"/>
      <c r="AQ215" s="492"/>
      <c r="AR215" s="492"/>
      <c r="AS215" s="492"/>
      <c r="AT215" s="492"/>
      <c r="AU215" s="492"/>
      <c r="AV215" s="492"/>
      <c r="AW215" s="492"/>
      <c r="AX215" s="492"/>
      <c r="AY215" s="492"/>
      <c r="AZ215" s="492"/>
      <c r="BA215" s="492"/>
      <c r="BB215" s="493">
        <v>32303</v>
      </c>
      <c r="BC215" s="494">
        <v>0.375</v>
      </c>
      <c r="BD215" s="493">
        <v>47989</v>
      </c>
      <c r="BE215" s="494">
        <v>0.99998842592592596</v>
      </c>
      <c r="BF215" s="493">
        <v>32639</v>
      </c>
      <c r="BG215" s="494">
        <v>0</v>
      </c>
      <c r="BH215" s="492" t="s">
        <v>1303</v>
      </c>
      <c r="BI215" s="492">
        <v>597.20000000000005</v>
      </c>
      <c r="BJ215" s="492" t="s">
        <v>1304</v>
      </c>
      <c r="BK215" s="492"/>
      <c r="BL215" s="493">
        <v>45551</v>
      </c>
      <c r="BM215" s="492" t="s">
        <v>1305</v>
      </c>
      <c r="BN215" s="492" t="s">
        <v>1301</v>
      </c>
      <c r="BO215" s="492">
        <v>0.16432140619605901</v>
      </c>
      <c r="BP215" s="492">
        <v>5.0513892581900005E-4</v>
      </c>
    </row>
    <row r="216" spans="1:68" ht="75">
      <c r="A216" s="492" t="s">
        <v>835</v>
      </c>
      <c r="B216" s="492">
        <v>391457</v>
      </c>
      <c r="C216" s="492">
        <v>8186568</v>
      </c>
      <c r="D216" s="492">
        <v>183</v>
      </c>
      <c r="E216" s="492">
        <v>289</v>
      </c>
      <c r="F216" s="492">
        <v>60</v>
      </c>
      <c r="G216" s="492" t="b">
        <v>0</v>
      </c>
      <c r="H216" s="492" t="b">
        <v>0</v>
      </c>
      <c r="I216" s="492">
        <v>10</v>
      </c>
      <c r="J216" s="492" t="b">
        <v>0</v>
      </c>
      <c r="K216" s="492">
        <v>30</v>
      </c>
      <c r="L216" s="492" t="s">
        <v>1013</v>
      </c>
      <c r="M216" s="492" t="s">
        <v>1296</v>
      </c>
      <c r="N216" s="492" t="s">
        <v>2</v>
      </c>
      <c r="O216" s="492">
        <v>30</v>
      </c>
      <c r="P216" s="492" t="s">
        <v>109</v>
      </c>
      <c r="Q216" s="492">
        <v>3</v>
      </c>
      <c r="R216" s="492"/>
      <c r="S216" s="492"/>
      <c r="T216" s="492"/>
      <c r="U216" s="492"/>
      <c r="V216" s="492"/>
      <c r="W216" s="492" t="s">
        <v>1307</v>
      </c>
      <c r="X216" s="492"/>
      <c r="Y216" s="492">
        <v>391457</v>
      </c>
      <c r="Z216" s="492">
        <v>8186568</v>
      </c>
      <c r="AA216" s="492">
        <v>10255.857037433399</v>
      </c>
      <c r="AB216" s="492">
        <v>11640.4151979163</v>
      </c>
      <c r="AC216" s="492">
        <v>6</v>
      </c>
      <c r="AD216" s="492">
        <v>23443</v>
      </c>
      <c r="AE216" s="492" t="s">
        <v>1297</v>
      </c>
      <c r="AF216" s="492" t="s">
        <v>1298</v>
      </c>
      <c r="AG216" s="492" t="s">
        <v>1299</v>
      </c>
      <c r="AH216" s="492" t="s">
        <v>1300</v>
      </c>
      <c r="AI216" s="492">
        <v>1</v>
      </c>
      <c r="AJ216" s="492" t="s">
        <v>1301</v>
      </c>
      <c r="AK216" s="492" t="s">
        <v>1302</v>
      </c>
      <c r="AL216" s="492"/>
      <c r="AM216" s="492"/>
      <c r="AN216" s="492"/>
      <c r="AO216" s="492"/>
      <c r="AP216" s="492"/>
      <c r="AQ216" s="492"/>
      <c r="AR216" s="492"/>
      <c r="AS216" s="492"/>
      <c r="AT216" s="492"/>
      <c r="AU216" s="492"/>
      <c r="AV216" s="492"/>
      <c r="AW216" s="492"/>
      <c r="AX216" s="492"/>
      <c r="AY216" s="492"/>
      <c r="AZ216" s="492"/>
      <c r="BA216" s="492"/>
      <c r="BB216" s="493">
        <v>32303</v>
      </c>
      <c r="BC216" s="494">
        <v>0.375</v>
      </c>
      <c r="BD216" s="493">
        <v>47989</v>
      </c>
      <c r="BE216" s="494">
        <v>0.99998842592592596</v>
      </c>
      <c r="BF216" s="493">
        <v>32639</v>
      </c>
      <c r="BG216" s="494">
        <v>0</v>
      </c>
      <c r="BH216" s="492" t="s">
        <v>1303</v>
      </c>
      <c r="BI216" s="492">
        <v>597.20000000000005</v>
      </c>
      <c r="BJ216" s="492" t="s">
        <v>1304</v>
      </c>
      <c r="BK216" s="492"/>
      <c r="BL216" s="493">
        <v>45551</v>
      </c>
      <c r="BM216" s="492" t="s">
        <v>1305</v>
      </c>
      <c r="BN216" s="492" t="s">
        <v>1301</v>
      </c>
      <c r="BO216" s="492">
        <v>0.16432140619605901</v>
      </c>
      <c r="BP216" s="492">
        <v>5.0513892581900005E-4</v>
      </c>
    </row>
    <row r="217" spans="1:68" ht="75">
      <c r="A217" s="492" t="s">
        <v>1040</v>
      </c>
      <c r="B217" s="492">
        <v>391302</v>
      </c>
      <c r="C217" s="492">
        <v>8186578</v>
      </c>
      <c r="D217" s="492">
        <v>201</v>
      </c>
      <c r="E217" s="492">
        <v>99</v>
      </c>
      <c r="F217" s="492">
        <v>70</v>
      </c>
      <c r="G217" s="492" t="b">
        <v>0</v>
      </c>
      <c r="H217" s="492" t="b">
        <v>0</v>
      </c>
      <c r="I217" s="492">
        <v>10</v>
      </c>
      <c r="J217" s="492" t="b">
        <v>0</v>
      </c>
      <c r="K217" s="492">
        <v>40</v>
      </c>
      <c r="L217" s="492" t="s">
        <v>1013</v>
      </c>
      <c r="M217" s="492" t="s">
        <v>1308</v>
      </c>
      <c r="N217" s="492" t="s">
        <v>2</v>
      </c>
      <c r="O217" s="492">
        <v>40</v>
      </c>
      <c r="P217" s="492" t="s">
        <v>109</v>
      </c>
      <c r="Q217" s="492">
        <v>3</v>
      </c>
      <c r="R217" s="492" t="b">
        <v>1</v>
      </c>
      <c r="S217" s="492" t="b">
        <v>1</v>
      </c>
      <c r="T217" s="492"/>
      <c r="U217" s="492"/>
      <c r="V217" s="492"/>
      <c r="W217" s="492"/>
      <c r="X217" s="492"/>
      <c r="Y217" s="492">
        <v>391309.143492189</v>
      </c>
      <c r="Z217" s="492">
        <v>8186571.1537521798</v>
      </c>
      <c r="AA217" s="492">
        <v>10114.9008167185</v>
      </c>
      <c r="AB217" s="492">
        <v>11595.519676948799</v>
      </c>
      <c r="AC217" s="492">
        <v>6</v>
      </c>
      <c r="AD217" s="492">
        <v>23443</v>
      </c>
      <c r="AE217" s="492" t="s">
        <v>1297</v>
      </c>
      <c r="AF217" s="492" t="s">
        <v>1298</v>
      </c>
      <c r="AG217" s="492" t="s">
        <v>1299</v>
      </c>
      <c r="AH217" s="492" t="s">
        <v>1300</v>
      </c>
      <c r="AI217" s="492">
        <v>1</v>
      </c>
      <c r="AJ217" s="492" t="s">
        <v>1301</v>
      </c>
      <c r="AK217" s="492" t="s">
        <v>1302</v>
      </c>
      <c r="AL217" s="492"/>
      <c r="AM217" s="492"/>
      <c r="AN217" s="492"/>
      <c r="AO217" s="492"/>
      <c r="AP217" s="492"/>
      <c r="AQ217" s="492"/>
      <c r="AR217" s="492"/>
      <c r="AS217" s="492"/>
      <c r="AT217" s="492"/>
      <c r="AU217" s="492"/>
      <c r="AV217" s="492"/>
      <c r="AW217" s="492"/>
      <c r="AX217" s="492"/>
      <c r="AY217" s="492"/>
      <c r="AZ217" s="492"/>
      <c r="BA217" s="492"/>
      <c r="BB217" s="493">
        <v>32303</v>
      </c>
      <c r="BC217" s="494">
        <v>0.375</v>
      </c>
      <c r="BD217" s="493">
        <v>47989</v>
      </c>
      <c r="BE217" s="494">
        <v>0.99998842592592596</v>
      </c>
      <c r="BF217" s="493">
        <v>32639</v>
      </c>
      <c r="BG217" s="494">
        <v>0</v>
      </c>
      <c r="BH217" s="492" t="s">
        <v>1303</v>
      </c>
      <c r="BI217" s="492">
        <v>597.20000000000005</v>
      </c>
      <c r="BJ217" s="492" t="s">
        <v>1304</v>
      </c>
      <c r="BK217" s="492"/>
      <c r="BL217" s="493">
        <v>45551</v>
      </c>
      <c r="BM217" s="492" t="s">
        <v>1305</v>
      </c>
      <c r="BN217" s="492" t="s">
        <v>1301</v>
      </c>
      <c r="BO217" s="492">
        <v>0.16432140619605901</v>
      </c>
      <c r="BP217" s="492">
        <v>5.0513892581900005E-4</v>
      </c>
    </row>
    <row r="218" spans="1:68" ht="75">
      <c r="A218" s="492" t="s">
        <v>1118</v>
      </c>
      <c r="B218" s="492">
        <v>391549</v>
      </c>
      <c r="C218" s="492">
        <v>8186578</v>
      </c>
      <c r="D218" s="492">
        <v>175</v>
      </c>
      <c r="E218" s="492">
        <v>289</v>
      </c>
      <c r="F218" s="492">
        <v>60</v>
      </c>
      <c r="G218" s="492" t="b">
        <v>0</v>
      </c>
      <c r="H218" s="492" t="b">
        <v>0</v>
      </c>
      <c r="I218" s="492">
        <v>10</v>
      </c>
      <c r="J218" s="492" t="b">
        <v>0</v>
      </c>
      <c r="K218" s="492">
        <v>40</v>
      </c>
      <c r="L218" s="492" t="s">
        <v>1013</v>
      </c>
      <c r="M218" s="492" t="s">
        <v>1308</v>
      </c>
      <c r="N218" s="492" t="s">
        <v>2</v>
      </c>
      <c r="O218" s="492">
        <v>40</v>
      </c>
      <c r="P218" s="492" t="s">
        <v>109</v>
      </c>
      <c r="Q218" s="492">
        <v>3</v>
      </c>
      <c r="R218" s="492"/>
      <c r="S218" s="492"/>
      <c r="T218" s="492"/>
      <c r="U218" s="492"/>
      <c r="V218" s="492"/>
      <c r="W218" s="492"/>
      <c r="X218" s="492"/>
      <c r="Y218" s="492">
        <v>391549</v>
      </c>
      <c r="Z218" s="492">
        <v>8186578</v>
      </c>
      <c r="AA218" s="492">
        <v>10339.689746735599</v>
      </c>
      <c r="AB218" s="492">
        <v>11679.671756936201</v>
      </c>
      <c r="AC218" s="492">
        <v>6</v>
      </c>
      <c r="AD218" s="492">
        <v>23443</v>
      </c>
      <c r="AE218" s="492" t="s">
        <v>1297</v>
      </c>
      <c r="AF218" s="492" t="s">
        <v>1298</v>
      </c>
      <c r="AG218" s="492" t="s">
        <v>1299</v>
      </c>
      <c r="AH218" s="492" t="s">
        <v>1300</v>
      </c>
      <c r="AI218" s="492">
        <v>1</v>
      </c>
      <c r="AJ218" s="492" t="s">
        <v>1301</v>
      </c>
      <c r="AK218" s="492" t="s">
        <v>1302</v>
      </c>
      <c r="AL218" s="492"/>
      <c r="AM218" s="492"/>
      <c r="AN218" s="492"/>
      <c r="AO218" s="492"/>
      <c r="AP218" s="492"/>
      <c r="AQ218" s="492"/>
      <c r="AR218" s="492"/>
      <c r="AS218" s="492"/>
      <c r="AT218" s="492"/>
      <c r="AU218" s="492"/>
      <c r="AV218" s="492"/>
      <c r="AW218" s="492"/>
      <c r="AX218" s="492"/>
      <c r="AY218" s="492"/>
      <c r="AZ218" s="492"/>
      <c r="BA218" s="492"/>
      <c r="BB218" s="493">
        <v>32303</v>
      </c>
      <c r="BC218" s="494">
        <v>0.375</v>
      </c>
      <c r="BD218" s="493">
        <v>47989</v>
      </c>
      <c r="BE218" s="494">
        <v>0.99998842592592596</v>
      </c>
      <c r="BF218" s="493">
        <v>32639</v>
      </c>
      <c r="BG218" s="494">
        <v>0</v>
      </c>
      <c r="BH218" s="492" t="s">
        <v>1303</v>
      </c>
      <c r="BI218" s="492">
        <v>597.20000000000005</v>
      </c>
      <c r="BJ218" s="492" t="s">
        <v>1304</v>
      </c>
      <c r="BK218" s="492"/>
      <c r="BL218" s="493">
        <v>45551</v>
      </c>
      <c r="BM218" s="492" t="s">
        <v>1305</v>
      </c>
      <c r="BN218" s="492" t="s">
        <v>1301</v>
      </c>
      <c r="BO218" s="492">
        <v>0.16432140619605901</v>
      </c>
      <c r="BP218" s="492">
        <v>5.0513892581900005E-4</v>
      </c>
    </row>
    <row r="219" spans="1:68" ht="75">
      <c r="A219" s="492" t="s">
        <v>1119</v>
      </c>
      <c r="B219" s="492">
        <v>391427</v>
      </c>
      <c r="C219" s="492">
        <v>8186578</v>
      </c>
      <c r="D219" s="492">
        <v>195</v>
      </c>
      <c r="E219" s="492">
        <v>289</v>
      </c>
      <c r="F219" s="492">
        <v>60</v>
      </c>
      <c r="G219" s="492" t="b">
        <v>0</v>
      </c>
      <c r="H219" s="492" t="b">
        <v>0</v>
      </c>
      <c r="I219" s="492">
        <v>10</v>
      </c>
      <c r="J219" s="492" t="b">
        <v>0</v>
      </c>
      <c r="K219" s="492">
        <v>40</v>
      </c>
      <c r="L219" s="492" t="s">
        <v>1013</v>
      </c>
      <c r="M219" s="492" t="s">
        <v>1312</v>
      </c>
      <c r="N219" s="492" t="s">
        <v>2</v>
      </c>
      <c r="O219" s="492">
        <v>40</v>
      </c>
      <c r="P219" s="492" t="s">
        <v>109</v>
      </c>
      <c r="Q219" s="492">
        <v>3</v>
      </c>
      <c r="R219" s="492"/>
      <c r="S219" s="492"/>
      <c r="T219" s="492"/>
      <c r="U219" s="492"/>
      <c r="V219" s="492"/>
      <c r="W219" s="492"/>
      <c r="X219" s="492"/>
      <c r="Y219" s="492">
        <v>391427</v>
      </c>
      <c r="Z219" s="492">
        <v>8186578</v>
      </c>
      <c r="AA219" s="492">
        <v>10224.226022868799</v>
      </c>
      <c r="AB219" s="492">
        <v>11640.1645508287</v>
      </c>
      <c r="AC219" s="492">
        <v>6</v>
      </c>
      <c r="AD219" s="492">
        <v>23443</v>
      </c>
      <c r="AE219" s="492" t="s">
        <v>1297</v>
      </c>
      <c r="AF219" s="492" t="s">
        <v>1298</v>
      </c>
      <c r="AG219" s="492" t="s">
        <v>1299</v>
      </c>
      <c r="AH219" s="492" t="s">
        <v>1300</v>
      </c>
      <c r="AI219" s="492">
        <v>1</v>
      </c>
      <c r="AJ219" s="492" t="s">
        <v>1301</v>
      </c>
      <c r="AK219" s="492" t="s">
        <v>1302</v>
      </c>
      <c r="AL219" s="492"/>
      <c r="AM219" s="492"/>
      <c r="AN219" s="492"/>
      <c r="AO219" s="492"/>
      <c r="AP219" s="492"/>
      <c r="AQ219" s="492"/>
      <c r="AR219" s="492"/>
      <c r="AS219" s="492"/>
      <c r="AT219" s="492"/>
      <c r="AU219" s="492"/>
      <c r="AV219" s="492"/>
      <c r="AW219" s="492"/>
      <c r="AX219" s="492"/>
      <c r="AY219" s="492"/>
      <c r="AZ219" s="492"/>
      <c r="BA219" s="492"/>
      <c r="BB219" s="493">
        <v>32303</v>
      </c>
      <c r="BC219" s="494">
        <v>0.375</v>
      </c>
      <c r="BD219" s="493">
        <v>47989</v>
      </c>
      <c r="BE219" s="494">
        <v>0.99998842592592596</v>
      </c>
      <c r="BF219" s="493">
        <v>32639</v>
      </c>
      <c r="BG219" s="494">
        <v>0</v>
      </c>
      <c r="BH219" s="492" t="s">
        <v>1303</v>
      </c>
      <c r="BI219" s="492">
        <v>597.20000000000005</v>
      </c>
      <c r="BJ219" s="492" t="s">
        <v>1304</v>
      </c>
      <c r="BK219" s="492"/>
      <c r="BL219" s="493">
        <v>45551</v>
      </c>
      <c r="BM219" s="492" t="s">
        <v>1305</v>
      </c>
      <c r="BN219" s="492" t="s">
        <v>1301</v>
      </c>
      <c r="BO219" s="492">
        <v>0.16432140619605901</v>
      </c>
      <c r="BP219" s="492">
        <v>5.0513892581900005E-4</v>
      </c>
    </row>
    <row r="220" spans="1:68" ht="75">
      <c r="A220" s="492" t="s">
        <v>1117</v>
      </c>
      <c r="B220" s="492">
        <v>391512</v>
      </c>
      <c r="C220" s="492">
        <v>8186591</v>
      </c>
      <c r="D220" s="492">
        <v>179</v>
      </c>
      <c r="E220" s="492">
        <v>289</v>
      </c>
      <c r="F220" s="492">
        <v>60</v>
      </c>
      <c r="G220" s="492" t="b">
        <v>0</v>
      </c>
      <c r="H220" s="492" t="b">
        <v>0</v>
      </c>
      <c r="I220" s="492">
        <v>10</v>
      </c>
      <c r="J220" s="492" t="b">
        <v>0</v>
      </c>
      <c r="K220" s="492">
        <v>30</v>
      </c>
      <c r="L220" s="492" t="s">
        <v>1013</v>
      </c>
      <c r="M220" s="492" t="s">
        <v>1308</v>
      </c>
      <c r="N220" s="492" t="s">
        <v>2</v>
      </c>
      <c r="O220" s="492">
        <v>30</v>
      </c>
      <c r="P220" s="492" t="s">
        <v>109</v>
      </c>
      <c r="Q220" s="492">
        <v>3</v>
      </c>
      <c r="R220" s="492"/>
      <c r="S220" s="492"/>
      <c r="T220" s="492"/>
      <c r="U220" s="492"/>
      <c r="V220" s="492"/>
      <c r="W220" s="492"/>
      <c r="X220" s="492"/>
      <c r="Y220" s="492">
        <v>391512</v>
      </c>
      <c r="Z220" s="492">
        <v>8186591</v>
      </c>
      <c r="AA220" s="492">
        <v>10300.4622757327</v>
      </c>
      <c r="AB220" s="492">
        <v>11679.993574840901</v>
      </c>
      <c r="AC220" s="492">
        <v>6</v>
      </c>
      <c r="AD220" s="492">
        <v>23443</v>
      </c>
      <c r="AE220" s="492" t="s">
        <v>1297</v>
      </c>
      <c r="AF220" s="492" t="s">
        <v>1298</v>
      </c>
      <c r="AG220" s="492" t="s">
        <v>1299</v>
      </c>
      <c r="AH220" s="492" t="s">
        <v>1300</v>
      </c>
      <c r="AI220" s="492">
        <v>1</v>
      </c>
      <c r="AJ220" s="492" t="s">
        <v>1301</v>
      </c>
      <c r="AK220" s="492" t="s">
        <v>1302</v>
      </c>
      <c r="AL220" s="492"/>
      <c r="AM220" s="492"/>
      <c r="AN220" s="492"/>
      <c r="AO220" s="492"/>
      <c r="AP220" s="492"/>
      <c r="AQ220" s="492"/>
      <c r="AR220" s="492"/>
      <c r="AS220" s="492"/>
      <c r="AT220" s="492"/>
      <c r="AU220" s="492"/>
      <c r="AV220" s="492"/>
      <c r="AW220" s="492"/>
      <c r="AX220" s="492"/>
      <c r="AY220" s="492"/>
      <c r="AZ220" s="492"/>
      <c r="BA220" s="492"/>
      <c r="BB220" s="493">
        <v>32303</v>
      </c>
      <c r="BC220" s="494">
        <v>0.375</v>
      </c>
      <c r="BD220" s="493">
        <v>47989</v>
      </c>
      <c r="BE220" s="494">
        <v>0.99998842592592596</v>
      </c>
      <c r="BF220" s="493">
        <v>32639</v>
      </c>
      <c r="BG220" s="494">
        <v>0</v>
      </c>
      <c r="BH220" s="492" t="s">
        <v>1303</v>
      </c>
      <c r="BI220" s="492">
        <v>597.20000000000005</v>
      </c>
      <c r="BJ220" s="492" t="s">
        <v>1304</v>
      </c>
      <c r="BK220" s="492"/>
      <c r="BL220" s="493">
        <v>45551</v>
      </c>
      <c r="BM220" s="492" t="s">
        <v>1305</v>
      </c>
      <c r="BN220" s="492" t="s">
        <v>1301</v>
      </c>
      <c r="BO220" s="492">
        <v>0.16432140619605901</v>
      </c>
      <c r="BP220" s="492">
        <v>5.0513892581900005E-4</v>
      </c>
    </row>
    <row r="221" spans="1:68" ht="75">
      <c r="A221" s="492" t="s">
        <v>1039</v>
      </c>
      <c r="B221" s="492">
        <v>391364</v>
      </c>
      <c r="C221" s="492">
        <v>8186599</v>
      </c>
      <c r="D221" s="492">
        <v>223</v>
      </c>
      <c r="E221" s="492">
        <v>94</v>
      </c>
      <c r="F221" s="492">
        <v>50</v>
      </c>
      <c r="G221" s="492" t="b">
        <v>0</v>
      </c>
      <c r="H221" s="492" t="b">
        <v>0</v>
      </c>
      <c r="I221" s="492">
        <v>10</v>
      </c>
      <c r="J221" s="492" t="b">
        <v>0</v>
      </c>
      <c r="K221" s="492">
        <v>70</v>
      </c>
      <c r="L221" s="492" t="s">
        <v>1013</v>
      </c>
      <c r="M221" s="492" t="s">
        <v>1312</v>
      </c>
      <c r="N221" s="492" t="s">
        <v>2</v>
      </c>
      <c r="O221" s="492">
        <v>60</v>
      </c>
      <c r="P221" s="492" t="s">
        <v>109</v>
      </c>
      <c r="Q221" s="492">
        <v>3</v>
      </c>
      <c r="R221" s="492" t="b">
        <v>1</v>
      </c>
      <c r="S221" s="492" t="b">
        <v>1</v>
      </c>
      <c r="T221" s="492"/>
      <c r="U221" s="492"/>
      <c r="V221" s="492"/>
      <c r="W221" s="492"/>
      <c r="X221" s="492"/>
      <c r="Y221" s="492">
        <v>391349.81177026901</v>
      </c>
      <c r="Z221" s="492">
        <v>8186593.0972518399</v>
      </c>
      <c r="AA221" s="492">
        <v>10146.2842959514</v>
      </c>
      <c r="AB221" s="492">
        <v>11629.457121454099</v>
      </c>
      <c r="AC221" s="492">
        <v>6</v>
      </c>
      <c r="AD221" s="492">
        <v>23443</v>
      </c>
      <c r="AE221" s="492" t="s">
        <v>1297</v>
      </c>
      <c r="AF221" s="492" t="s">
        <v>1298</v>
      </c>
      <c r="AG221" s="492" t="s">
        <v>1299</v>
      </c>
      <c r="AH221" s="492" t="s">
        <v>1300</v>
      </c>
      <c r="AI221" s="492">
        <v>1</v>
      </c>
      <c r="AJ221" s="492" t="s">
        <v>1301</v>
      </c>
      <c r="AK221" s="492" t="s">
        <v>1302</v>
      </c>
      <c r="AL221" s="492"/>
      <c r="AM221" s="492"/>
      <c r="AN221" s="492"/>
      <c r="AO221" s="492"/>
      <c r="AP221" s="492"/>
      <c r="AQ221" s="492"/>
      <c r="AR221" s="492"/>
      <c r="AS221" s="492"/>
      <c r="AT221" s="492"/>
      <c r="AU221" s="492"/>
      <c r="AV221" s="492"/>
      <c r="AW221" s="492"/>
      <c r="AX221" s="492"/>
      <c r="AY221" s="492"/>
      <c r="AZ221" s="492"/>
      <c r="BA221" s="492"/>
      <c r="BB221" s="493">
        <v>32303</v>
      </c>
      <c r="BC221" s="494">
        <v>0.375</v>
      </c>
      <c r="BD221" s="493">
        <v>47989</v>
      </c>
      <c r="BE221" s="494">
        <v>0.99998842592592596</v>
      </c>
      <c r="BF221" s="493">
        <v>32639</v>
      </c>
      <c r="BG221" s="494">
        <v>0</v>
      </c>
      <c r="BH221" s="492" t="s">
        <v>1303</v>
      </c>
      <c r="BI221" s="492">
        <v>597.20000000000005</v>
      </c>
      <c r="BJ221" s="492" t="s">
        <v>1304</v>
      </c>
      <c r="BK221" s="492"/>
      <c r="BL221" s="493">
        <v>45551</v>
      </c>
      <c r="BM221" s="492" t="s">
        <v>1305</v>
      </c>
      <c r="BN221" s="492" t="s">
        <v>1301</v>
      </c>
      <c r="BO221" s="492">
        <v>0.16432140619605901</v>
      </c>
      <c r="BP221" s="492">
        <v>5.0513892581900005E-4</v>
      </c>
    </row>
    <row r="222" spans="1:68" ht="75">
      <c r="A222" s="492" t="s">
        <v>1116</v>
      </c>
      <c r="B222" s="492">
        <v>391475</v>
      </c>
      <c r="C222" s="492">
        <v>8186604</v>
      </c>
      <c r="D222" s="492">
        <v>185</v>
      </c>
      <c r="E222" s="492">
        <v>289</v>
      </c>
      <c r="F222" s="492">
        <v>60</v>
      </c>
      <c r="G222" s="492" t="b">
        <v>0</v>
      </c>
      <c r="H222" s="492" t="b">
        <v>0</v>
      </c>
      <c r="I222" s="492">
        <v>10</v>
      </c>
      <c r="J222" s="492" t="b">
        <v>0</v>
      </c>
      <c r="K222" s="492">
        <v>30</v>
      </c>
      <c r="L222" s="492" t="s">
        <v>1013</v>
      </c>
      <c r="M222" s="492" t="s">
        <v>1308</v>
      </c>
      <c r="N222" s="492" t="s">
        <v>2</v>
      </c>
      <c r="O222" s="492">
        <v>30</v>
      </c>
      <c r="P222" s="492" t="s">
        <v>109</v>
      </c>
      <c r="Q222" s="492">
        <v>3</v>
      </c>
      <c r="R222" s="492"/>
      <c r="S222" s="492"/>
      <c r="T222" s="492"/>
      <c r="U222" s="492"/>
      <c r="V222" s="492"/>
      <c r="W222" s="492"/>
      <c r="X222" s="492"/>
      <c r="Y222" s="492">
        <v>391475</v>
      </c>
      <c r="Z222" s="492">
        <v>8186604</v>
      </c>
      <c r="AA222" s="492">
        <v>10261.2348047257</v>
      </c>
      <c r="AB222" s="492">
        <v>11680.315392742799</v>
      </c>
      <c r="AC222" s="492">
        <v>6</v>
      </c>
      <c r="AD222" s="492">
        <v>23443</v>
      </c>
      <c r="AE222" s="492" t="s">
        <v>1297</v>
      </c>
      <c r="AF222" s="492" t="s">
        <v>1298</v>
      </c>
      <c r="AG222" s="492" t="s">
        <v>1299</v>
      </c>
      <c r="AH222" s="492" t="s">
        <v>1300</v>
      </c>
      <c r="AI222" s="492">
        <v>1</v>
      </c>
      <c r="AJ222" s="492" t="s">
        <v>1301</v>
      </c>
      <c r="AK222" s="492" t="s">
        <v>1302</v>
      </c>
      <c r="AL222" s="492"/>
      <c r="AM222" s="492"/>
      <c r="AN222" s="492"/>
      <c r="AO222" s="492"/>
      <c r="AP222" s="492"/>
      <c r="AQ222" s="492"/>
      <c r="AR222" s="492"/>
      <c r="AS222" s="492"/>
      <c r="AT222" s="492"/>
      <c r="AU222" s="492"/>
      <c r="AV222" s="492"/>
      <c r="AW222" s="492"/>
      <c r="AX222" s="492"/>
      <c r="AY222" s="492"/>
      <c r="AZ222" s="492"/>
      <c r="BA222" s="492"/>
      <c r="BB222" s="493">
        <v>32303</v>
      </c>
      <c r="BC222" s="494">
        <v>0.375</v>
      </c>
      <c r="BD222" s="493">
        <v>47989</v>
      </c>
      <c r="BE222" s="494">
        <v>0.99998842592592596</v>
      </c>
      <c r="BF222" s="493">
        <v>32639</v>
      </c>
      <c r="BG222" s="494">
        <v>0</v>
      </c>
      <c r="BH222" s="492" t="s">
        <v>1303</v>
      </c>
      <c r="BI222" s="492">
        <v>597.20000000000005</v>
      </c>
      <c r="BJ222" s="492" t="s">
        <v>1304</v>
      </c>
      <c r="BK222" s="492"/>
      <c r="BL222" s="493">
        <v>45551</v>
      </c>
      <c r="BM222" s="492" t="s">
        <v>1305</v>
      </c>
      <c r="BN222" s="492" t="s">
        <v>1301</v>
      </c>
      <c r="BO222" s="492">
        <v>0.16432140619605901</v>
      </c>
      <c r="BP222" s="492">
        <v>5.0513892581900005E-4</v>
      </c>
    </row>
    <row r="223" spans="1:68" ht="75">
      <c r="A223" s="492" t="s">
        <v>1168</v>
      </c>
      <c r="B223" s="492">
        <v>391803</v>
      </c>
      <c r="C223" s="492">
        <v>8186941</v>
      </c>
      <c r="D223" s="492">
        <v>170</v>
      </c>
      <c r="E223" s="492">
        <v>0</v>
      </c>
      <c r="F223" s="492">
        <v>90</v>
      </c>
      <c r="G223" s="492" t="b">
        <v>0</v>
      </c>
      <c r="H223" s="492" t="b">
        <v>0</v>
      </c>
      <c r="I223" s="492">
        <v>10</v>
      </c>
      <c r="J223" s="492" t="b">
        <v>0</v>
      </c>
      <c r="K223" s="492">
        <v>30</v>
      </c>
      <c r="L223" s="492" t="s">
        <v>1356</v>
      </c>
      <c r="M223" s="492" t="s">
        <v>1296</v>
      </c>
      <c r="N223" s="492" t="s">
        <v>2</v>
      </c>
      <c r="O223" s="492">
        <v>30</v>
      </c>
      <c r="P223" s="492" t="s">
        <v>1310</v>
      </c>
      <c r="Q223" s="492">
        <v>1</v>
      </c>
      <c r="R223" s="492"/>
      <c r="S223" s="492"/>
      <c r="T223" s="492"/>
      <c r="U223" s="492"/>
      <c r="V223" s="492"/>
      <c r="W223" s="492"/>
      <c r="X223" s="492"/>
      <c r="Y223" s="492">
        <v>391803</v>
      </c>
      <c r="Z223" s="492">
        <v>8186941</v>
      </c>
      <c r="AA223" s="492">
        <v>10462.531304489799</v>
      </c>
      <c r="AB223" s="492">
        <v>12105.4763644132</v>
      </c>
      <c r="AC223" s="492">
        <v>6</v>
      </c>
      <c r="AD223" s="492">
        <v>23443</v>
      </c>
      <c r="AE223" s="492" t="s">
        <v>1297</v>
      </c>
      <c r="AF223" s="492" t="s">
        <v>1298</v>
      </c>
      <c r="AG223" s="492" t="s">
        <v>1299</v>
      </c>
      <c r="AH223" s="492" t="s">
        <v>1300</v>
      </c>
      <c r="AI223" s="492">
        <v>1</v>
      </c>
      <c r="AJ223" s="492" t="s">
        <v>1301</v>
      </c>
      <c r="AK223" s="492" t="s">
        <v>1302</v>
      </c>
      <c r="AL223" s="492"/>
      <c r="AM223" s="492"/>
      <c r="AN223" s="492"/>
      <c r="AO223" s="492"/>
      <c r="AP223" s="492"/>
      <c r="AQ223" s="492"/>
      <c r="AR223" s="492"/>
      <c r="AS223" s="492"/>
      <c r="AT223" s="492"/>
      <c r="AU223" s="492"/>
      <c r="AV223" s="492"/>
      <c r="AW223" s="492"/>
      <c r="AX223" s="492"/>
      <c r="AY223" s="492"/>
      <c r="AZ223" s="492"/>
      <c r="BA223" s="492"/>
      <c r="BB223" s="493">
        <v>32303</v>
      </c>
      <c r="BC223" s="494">
        <v>0.375</v>
      </c>
      <c r="BD223" s="493">
        <v>47989</v>
      </c>
      <c r="BE223" s="494">
        <v>0.99998842592592596</v>
      </c>
      <c r="BF223" s="493">
        <v>32639</v>
      </c>
      <c r="BG223" s="494">
        <v>0</v>
      </c>
      <c r="BH223" s="492" t="s">
        <v>1303</v>
      </c>
      <c r="BI223" s="492">
        <v>597.20000000000005</v>
      </c>
      <c r="BJ223" s="492" t="s">
        <v>1304</v>
      </c>
      <c r="BK223" s="492"/>
      <c r="BL223" s="493">
        <v>45551</v>
      </c>
      <c r="BM223" s="492" t="s">
        <v>1305</v>
      </c>
      <c r="BN223" s="492" t="s">
        <v>1301</v>
      </c>
      <c r="BO223" s="492">
        <v>0.16432140619605901</v>
      </c>
      <c r="BP223" s="492">
        <v>5.0513892581900005E-4</v>
      </c>
    </row>
    <row r="224" spans="1:68" ht="75">
      <c r="A224" s="492" t="s">
        <v>1169</v>
      </c>
      <c r="B224" s="492">
        <v>391802</v>
      </c>
      <c r="C224" s="492">
        <v>8186938</v>
      </c>
      <c r="D224" s="492">
        <v>170</v>
      </c>
      <c r="E224" s="492">
        <v>0</v>
      </c>
      <c r="F224" s="492">
        <v>90</v>
      </c>
      <c r="G224" s="492" t="b">
        <v>0</v>
      </c>
      <c r="H224" s="492" t="b">
        <v>0</v>
      </c>
      <c r="I224" s="492">
        <v>10</v>
      </c>
      <c r="J224" s="492" t="b">
        <v>0</v>
      </c>
      <c r="K224" s="492">
        <v>100</v>
      </c>
      <c r="L224" s="492" t="s">
        <v>1357</v>
      </c>
      <c r="M224" s="492" t="s">
        <v>1296</v>
      </c>
      <c r="N224" s="492" t="s">
        <v>2</v>
      </c>
      <c r="O224" s="492">
        <v>100</v>
      </c>
      <c r="P224" s="492" t="s">
        <v>1310</v>
      </c>
      <c r="Q224" s="492">
        <v>1</v>
      </c>
      <c r="R224" s="492"/>
      <c r="S224" s="492"/>
      <c r="T224" s="492"/>
      <c r="U224" s="492"/>
      <c r="V224" s="492"/>
      <c r="W224" s="492"/>
      <c r="X224" s="492"/>
      <c r="Y224" s="492">
        <v>391802</v>
      </c>
      <c r="Z224" s="492">
        <v>8186938</v>
      </c>
      <c r="AA224" s="492">
        <v>10462.556369199399</v>
      </c>
      <c r="AB224" s="492">
        <v>12102.313262957099</v>
      </c>
      <c r="AC224" s="492">
        <v>6</v>
      </c>
      <c r="AD224" s="492">
        <v>23443</v>
      </c>
      <c r="AE224" s="492" t="s">
        <v>1297</v>
      </c>
      <c r="AF224" s="492" t="s">
        <v>1298</v>
      </c>
      <c r="AG224" s="492" t="s">
        <v>1299</v>
      </c>
      <c r="AH224" s="492" t="s">
        <v>1300</v>
      </c>
      <c r="AI224" s="492">
        <v>1</v>
      </c>
      <c r="AJ224" s="492" t="s">
        <v>1301</v>
      </c>
      <c r="AK224" s="492" t="s">
        <v>1302</v>
      </c>
      <c r="AL224" s="492"/>
      <c r="AM224" s="492"/>
      <c r="AN224" s="492"/>
      <c r="AO224" s="492"/>
      <c r="AP224" s="492"/>
      <c r="AQ224" s="492"/>
      <c r="AR224" s="492"/>
      <c r="AS224" s="492"/>
      <c r="AT224" s="492"/>
      <c r="AU224" s="492"/>
      <c r="AV224" s="492"/>
      <c r="AW224" s="492"/>
      <c r="AX224" s="492"/>
      <c r="AY224" s="492"/>
      <c r="AZ224" s="492"/>
      <c r="BA224" s="492"/>
      <c r="BB224" s="493">
        <v>32303</v>
      </c>
      <c r="BC224" s="494">
        <v>0.375</v>
      </c>
      <c r="BD224" s="493">
        <v>47989</v>
      </c>
      <c r="BE224" s="494">
        <v>0.99998842592592596</v>
      </c>
      <c r="BF224" s="493">
        <v>32639</v>
      </c>
      <c r="BG224" s="494">
        <v>0</v>
      </c>
      <c r="BH224" s="492" t="s">
        <v>1303</v>
      </c>
      <c r="BI224" s="492">
        <v>597.20000000000005</v>
      </c>
      <c r="BJ224" s="492" t="s">
        <v>1304</v>
      </c>
      <c r="BK224" s="492"/>
      <c r="BL224" s="493">
        <v>45551</v>
      </c>
      <c r="BM224" s="492" t="s">
        <v>1305</v>
      </c>
      <c r="BN224" s="492" t="s">
        <v>1301</v>
      </c>
      <c r="BO224" s="492">
        <v>0.16432140619605901</v>
      </c>
      <c r="BP224" s="492">
        <v>5.0513892581900005E-4</v>
      </c>
    </row>
    <row r="225" spans="1:68" ht="75">
      <c r="A225" s="492" t="s">
        <v>1110</v>
      </c>
      <c r="B225" s="492">
        <v>391557</v>
      </c>
      <c r="C225" s="492">
        <v>8186702</v>
      </c>
      <c r="D225" s="492">
        <v>203</v>
      </c>
      <c r="E225" s="492">
        <v>109</v>
      </c>
      <c r="F225" s="492">
        <v>60</v>
      </c>
      <c r="G225" s="492" t="b">
        <v>0</v>
      </c>
      <c r="H225" s="492" t="b">
        <v>0</v>
      </c>
      <c r="I225" s="492">
        <v>10</v>
      </c>
      <c r="J225" s="492" t="b">
        <v>0</v>
      </c>
      <c r="K225" s="492">
        <v>30</v>
      </c>
      <c r="L225" s="492" t="s">
        <v>1013</v>
      </c>
      <c r="M225" s="492" t="s">
        <v>1312</v>
      </c>
      <c r="N225" s="492" t="s">
        <v>2</v>
      </c>
      <c r="O225" s="492">
        <v>30</v>
      </c>
      <c r="P225" s="492" t="s">
        <v>109</v>
      </c>
      <c r="Q225" s="492">
        <v>3</v>
      </c>
      <c r="R225" s="492"/>
      <c r="S225" s="492"/>
      <c r="T225" s="492"/>
      <c r="U225" s="492"/>
      <c r="V225" s="492"/>
      <c r="W225" s="492"/>
      <c r="X225" s="492"/>
      <c r="Y225" s="492">
        <v>391557</v>
      </c>
      <c r="Z225" s="492">
        <v>8186702</v>
      </c>
      <c r="AA225" s="492">
        <v>10307.1062732399</v>
      </c>
      <c r="AB225" s="492">
        <v>11799.618965194501</v>
      </c>
      <c r="AC225" s="492">
        <v>6</v>
      </c>
      <c r="AD225" s="492">
        <v>23443</v>
      </c>
      <c r="AE225" s="492" t="s">
        <v>1297</v>
      </c>
      <c r="AF225" s="492" t="s">
        <v>1298</v>
      </c>
      <c r="AG225" s="492" t="s">
        <v>1299</v>
      </c>
      <c r="AH225" s="492" t="s">
        <v>1300</v>
      </c>
      <c r="AI225" s="492">
        <v>1</v>
      </c>
      <c r="AJ225" s="492" t="s">
        <v>1301</v>
      </c>
      <c r="AK225" s="492" t="s">
        <v>1302</v>
      </c>
      <c r="AL225" s="492"/>
      <c r="AM225" s="492"/>
      <c r="AN225" s="492"/>
      <c r="AO225" s="492"/>
      <c r="AP225" s="492"/>
      <c r="AQ225" s="492"/>
      <c r="AR225" s="492"/>
      <c r="AS225" s="492"/>
      <c r="AT225" s="492"/>
      <c r="AU225" s="492"/>
      <c r="AV225" s="492"/>
      <c r="AW225" s="492"/>
      <c r="AX225" s="492"/>
      <c r="AY225" s="492"/>
      <c r="AZ225" s="492"/>
      <c r="BA225" s="492"/>
      <c r="BB225" s="493">
        <v>32303</v>
      </c>
      <c r="BC225" s="494">
        <v>0.375</v>
      </c>
      <c r="BD225" s="493">
        <v>47989</v>
      </c>
      <c r="BE225" s="494">
        <v>0.99998842592592596</v>
      </c>
      <c r="BF225" s="493">
        <v>32639</v>
      </c>
      <c r="BG225" s="494">
        <v>0</v>
      </c>
      <c r="BH225" s="492" t="s">
        <v>1303</v>
      </c>
      <c r="BI225" s="492">
        <v>597.20000000000005</v>
      </c>
      <c r="BJ225" s="492" t="s">
        <v>1304</v>
      </c>
      <c r="BK225" s="492"/>
      <c r="BL225" s="493">
        <v>45551</v>
      </c>
      <c r="BM225" s="492" t="s">
        <v>1305</v>
      </c>
      <c r="BN225" s="492" t="s">
        <v>1301</v>
      </c>
      <c r="BO225" s="492">
        <v>0.16432140619605901</v>
      </c>
      <c r="BP225" s="492">
        <v>5.0513892581900005E-4</v>
      </c>
    </row>
    <row r="226" spans="1:68" ht="75">
      <c r="A226" s="492" t="s">
        <v>1111</v>
      </c>
      <c r="B226" s="492">
        <v>391518</v>
      </c>
      <c r="C226" s="492">
        <v>8186674</v>
      </c>
      <c r="D226" s="492">
        <v>201</v>
      </c>
      <c r="E226" s="492">
        <v>109</v>
      </c>
      <c r="F226" s="492">
        <v>60</v>
      </c>
      <c r="G226" s="492" t="b">
        <v>0</v>
      </c>
      <c r="H226" s="492" t="b">
        <v>0</v>
      </c>
      <c r="I226" s="492">
        <v>10</v>
      </c>
      <c r="J226" s="492" t="b">
        <v>0</v>
      </c>
      <c r="K226" s="492">
        <v>30</v>
      </c>
      <c r="L226" s="492" t="s">
        <v>1013</v>
      </c>
      <c r="M226" s="492" t="s">
        <v>1312</v>
      </c>
      <c r="N226" s="492" t="s">
        <v>2</v>
      </c>
      <c r="O226" s="492">
        <v>30</v>
      </c>
      <c r="P226" s="492" t="s">
        <v>109</v>
      </c>
      <c r="Q226" s="492">
        <v>3</v>
      </c>
      <c r="R226" s="492"/>
      <c r="S226" s="492"/>
      <c r="T226" s="492"/>
      <c r="U226" s="492"/>
      <c r="V226" s="492"/>
      <c r="W226" s="492"/>
      <c r="X226" s="492"/>
      <c r="Y226" s="492">
        <v>391518</v>
      </c>
      <c r="Z226" s="492">
        <v>8186674</v>
      </c>
      <c r="AA226" s="492">
        <v>10279.2629661927</v>
      </c>
      <c r="AB226" s="492">
        <v>11760.48974137</v>
      </c>
      <c r="AC226" s="492">
        <v>6</v>
      </c>
      <c r="AD226" s="492">
        <v>23443</v>
      </c>
      <c r="AE226" s="492" t="s">
        <v>1297</v>
      </c>
      <c r="AF226" s="492" t="s">
        <v>1298</v>
      </c>
      <c r="AG226" s="492" t="s">
        <v>1299</v>
      </c>
      <c r="AH226" s="492" t="s">
        <v>1300</v>
      </c>
      <c r="AI226" s="492">
        <v>1</v>
      </c>
      <c r="AJ226" s="492" t="s">
        <v>1301</v>
      </c>
      <c r="AK226" s="492" t="s">
        <v>1302</v>
      </c>
      <c r="AL226" s="492"/>
      <c r="AM226" s="492"/>
      <c r="AN226" s="492"/>
      <c r="AO226" s="492"/>
      <c r="AP226" s="492"/>
      <c r="AQ226" s="492"/>
      <c r="AR226" s="492"/>
      <c r="AS226" s="492"/>
      <c r="AT226" s="492"/>
      <c r="AU226" s="492"/>
      <c r="AV226" s="492"/>
      <c r="AW226" s="492"/>
      <c r="AX226" s="492"/>
      <c r="AY226" s="492"/>
      <c r="AZ226" s="492"/>
      <c r="BA226" s="492"/>
      <c r="BB226" s="493">
        <v>32303</v>
      </c>
      <c r="BC226" s="494">
        <v>0.375</v>
      </c>
      <c r="BD226" s="493">
        <v>47989</v>
      </c>
      <c r="BE226" s="494">
        <v>0.99998842592592596</v>
      </c>
      <c r="BF226" s="493">
        <v>32639</v>
      </c>
      <c r="BG226" s="494">
        <v>0</v>
      </c>
      <c r="BH226" s="492" t="s">
        <v>1303</v>
      </c>
      <c r="BI226" s="492">
        <v>597.20000000000005</v>
      </c>
      <c r="BJ226" s="492" t="s">
        <v>1304</v>
      </c>
      <c r="BK226" s="492"/>
      <c r="BL226" s="493">
        <v>45551</v>
      </c>
      <c r="BM226" s="492" t="s">
        <v>1305</v>
      </c>
      <c r="BN226" s="492" t="s">
        <v>1301</v>
      </c>
      <c r="BO226" s="492">
        <v>0.16432140619605901</v>
      </c>
      <c r="BP226" s="492">
        <v>5.0513892581900005E-4</v>
      </c>
    </row>
    <row r="227" spans="1:68" ht="75">
      <c r="A227" s="492" t="s">
        <v>1180</v>
      </c>
      <c r="B227" s="492">
        <v>390598</v>
      </c>
      <c r="C227" s="492">
        <v>8185988</v>
      </c>
      <c r="D227" s="492">
        <v>170</v>
      </c>
      <c r="E227" s="492">
        <v>0</v>
      </c>
      <c r="F227" s="492">
        <v>90</v>
      </c>
      <c r="G227" s="492" t="b">
        <v>0</v>
      </c>
      <c r="H227" s="492" t="b">
        <v>0</v>
      </c>
      <c r="I227" s="492">
        <v>10</v>
      </c>
      <c r="J227" s="492" t="b">
        <v>0</v>
      </c>
      <c r="K227" s="492">
        <v>100</v>
      </c>
      <c r="L227" s="492" t="s">
        <v>1358</v>
      </c>
      <c r="M227" s="492" t="s">
        <v>1296</v>
      </c>
      <c r="N227" s="492" t="s">
        <v>2</v>
      </c>
      <c r="O227" s="492">
        <v>100</v>
      </c>
      <c r="P227" s="492" t="s">
        <v>1310</v>
      </c>
      <c r="Q227" s="492">
        <v>3</v>
      </c>
      <c r="R227" s="492"/>
      <c r="S227" s="492"/>
      <c r="T227" s="492"/>
      <c r="U227" s="492"/>
      <c r="V227" s="492"/>
      <c r="W227" s="492"/>
      <c r="X227" s="492"/>
      <c r="Y227" s="492">
        <v>390598</v>
      </c>
      <c r="Z227" s="492">
        <v>8185988</v>
      </c>
      <c r="AA227" s="492">
        <v>9630.6999943070095</v>
      </c>
      <c r="AB227" s="492">
        <v>10813.3197070313</v>
      </c>
      <c r="AC227" s="492">
        <v>6</v>
      </c>
      <c r="AD227" s="492">
        <v>23443</v>
      </c>
      <c r="AE227" s="492" t="s">
        <v>1297</v>
      </c>
      <c r="AF227" s="492" t="s">
        <v>1298</v>
      </c>
      <c r="AG227" s="492" t="s">
        <v>1299</v>
      </c>
      <c r="AH227" s="492" t="s">
        <v>1300</v>
      </c>
      <c r="AI227" s="492">
        <v>1</v>
      </c>
      <c r="AJ227" s="492" t="s">
        <v>1301</v>
      </c>
      <c r="AK227" s="492" t="s">
        <v>1302</v>
      </c>
      <c r="AL227" s="492"/>
      <c r="AM227" s="492"/>
      <c r="AN227" s="492"/>
      <c r="AO227" s="492"/>
      <c r="AP227" s="492"/>
      <c r="AQ227" s="492"/>
      <c r="AR227" s="492"/>
      <c r="AS227" s="492"/>
      <c r="AT227" s="492"/>
      <c r="AU227" s="492"/>
      <c r="AV227" s="492"/>
      <c r="AW227" s="492"/>
      <c r="AX227" s="492"/>
      <c r="AY227" s="492"/>
      <c r="AZ227" s="492"/>
      <c r="BA227" s="492"/>
      <c r="BB227" s="493">
        <v>32303</v>
      </c>
      <c r="BC227" s="494">
        <v>0.375</v>
      </c>
      <c r="BD227" s="493">
        <v>47989</v>
      </c>
      <c r="BE227" s="494">
        <v>0.99998842592592596</v>
      </c>
      <c r="BF227" s="493">
        <v>32639</v>
      </c>
      <c r="BG227" s="494">
        <v>0</v>
      </c>
      <c r="BH227" s="492" t="s">
        <v>1303</v>
      </c>
      <c r="BI227" s="492">
        <v>597.20000000000005</v>
      </c>
      <c r="BJ227" s="492" t="s">
        <v>1304</v>
      </c>
      <c r="BK227" s="492"/>
      <c r="BL227" s="493">
        <v>45551</v>
      </c>
      <c r="BM227" s="492" t="s">
        <v>1305</v>
      </c>
      <c r="BN227" s="492" t="s">
        <v>1301</v>
      </c>
      <c r="BO227" s="492">
        <v>0.16432140619605901</v>
      </c>
      <c r="BP227" s="492">
        <v>5.0513892581900005E-4</v>
      </c>
    </row>
    <row r="228" spans="1:68" ht="75">
      <c r="A228" s="492" t="s">
        <v>1072</v>
      </c>
      <c r="B228" s="492">
        <v>391017</v>
      </c>
      <c r="C228" s="492">
        <v>8185957</v>
      </c>
      <c r="D228" s="492">
        <v>193</v>
      </c>
      <c r="E228" s="492">
        <v>289</v>
      </c>
      <c r="F228" s="492">
        <v>55</v>
      </c>
      <c r="G228" s="492" t="b">
        <v>0</v>
      </c>
      <c r="H228" s="492" t="b">
        <v>0</v>
      </c>
      <c r="I228" s="492">
        <v>10</v>
      </c>
      <c r="J228" s="492" t="b">
        <v>0</v>
      </c>
      <c r="K228" s="492">
        <v>150</v>
      </c>
      <c r="L228" s="492" t="s">
        <v>1013</v>
      </c>
      <c r="M228" s="492" t="s">
        <v>1308</v>
      </c>
      <c r="N228" s="492" t="s">
        <v>2</v>
      </c>
      <c r="O228" s="492">
        <v>150</v>
      </c>
      <c r="P228" s="492" t="s">
        <v>109</v>
      </c>
      <c r="Q228" s="492">
        <v>3</v>
      </c>
      <c r="R228" s="492"/>
      <c r="S228" s="492"/>
      <c r="T228" s="492"/>
      <c r="U228" s="492"/>
      <c r="V228" s="492"/>
      <c r="W228" s="492" t="s">
        <v>1342</v>
      </c>
      <c r="X228" s="492"/>
      <c r="Y228" s="492">
        <v>391017</v>
      </c>
      <c r="Z228" s="492">
        <v>8185957</v>
      </c>
      <c r="AA228" s="492">
        <v>10037.290352427801</v>
      </c>
      <c r="AB228" s="492">
        <v>10919.6651490116</v>
      </c>
      <c r="AC228" s="492">
        <v>6</v>
      </c>
      <c r="AD228" s="492">
        <v>23443</v>
      </c>
      <c r="AE228" s="492" t="s">
        <v>1297</v>
      </c>
      <c r="AF228" s="492" t="s">
        <v>1298</v>
      </c>
      <c r="AG228" s="492" t="s">
        <v>1299</v>
      </c>
      <c r="AH228" s="492" t="s">
        <v>1300</v>
      </c>
      <c r="AI228" s="492">
        <v>1</v>
      </c>
      <c r="AJ228" s="492" t="s">
        <v>1301</v>
      </c>
      <c r="AK228" s="492" t="s">
        <v>1302</v>
      </c>
      <c r="AL228" s="492"/>
      <c r="AM228" s="492"/>
      <c r="AN228" s="492"/>
      <c r="AO228" s="492"/>
      <c r="AP228" s="492"/>
      <c r="AQ228" s="492"/>
      <c r="AR228" s="492"/>
      <c r="AS228" s="492"/>
      <c r="AT228" s="492"/>
      <c r="AU228" s="492"/>
      <c r="AV228" s="492"/>
      <c r="AW228" s="492"/>
      <c r="AX228" s="492"/>
      <c r="AY228" s="492"/>
      <c r="AZ228" s="492"/>
      <c r="BA228" s="492"/>
      <c r="BB228" s="493">
        <v>32303</v>
      </c>
      <c r="BC228" s="494">
        <v>0.375</v>
      </c>
      <c r="BD228" s="493">
        <v>47989</v>
      </c>
      <c r="BE228" s="494">
        <v>0.99998842592592596</v>
      </c>
      <c r="BF228" s="493">
        <v>32639</v>
      </c>
      <c r="BG228" s="494">
        <v>0</v>
      </c>
      <c r="BH228" s="492" t="s">
        <v>1303</v>
      </c>
      <c r="BI228" s="492">
        <v>597.20000000000005</v>
      </c>
      <c r="BJ228" s="492" t="s">
        <v>1304</v>
      </c>
      <c r="BK228" s="492"/>
      <c r="BL228" s="493">
        <v>45551</v>
      </c>
      <c r="BM228" s="492" t="s">
        <v>1305</v>
      </c>
      <c r="BN228" s="492" t="s">
        <v>1301</v>
      </c>
      <c r="BO228" s="492">
        <v>0.16432140619605901</v>
      </c>
      <c r="BP228" s="492">
        <v>5.0513892581900005E-4</v>
      </c>
    </row>
    <row r="229" spans="1:68" ht="75">
      <c r="A229" s="492" t="s">
        <v>1067</v>
      </c>
      <c r="B229" s="492">
        <v>391019</v>
      </c>
      <c r="C229" s="492">
        <v>8186062</v>
      </c>
      <c r="D229" s="492">
        <v>198</v>
      </c>
      <c r="E229" s="492">
        <v>289</v>
      </c>
      <c r="F229" s="492">
        <v>60</v>
      </c>
      <c r="G229" s="492" t="b">
        <v>0</v>
      </c>
      <c r="H229" s="492" t="b">
        <v>0</v>
      </c>
      <c r="I229" s="492">
        <v>10</v>
      </c>
      <c r="J229" s="492" t="b">
        <v>0</v>
      </c>
      <c r="K229" s="492">
        <v>110</v>
      </c>
      <c r="L229" s="492" t="s">
        <v>1013</v>
      </c>
      <c r="M229" s="492" t="s">
        <v>1312</v>
      </c>
      <c r="N229" s="492" t="s">
        <v>2</v>
      </c>
      <c r="O229" s="492">
        <v>110</v>
      </c>
      <c r="P229" s="492" t="s">
        <v>109</v>
      </c>
      <c r="Q229" s="492">
        <v>3</v>
      </c>
      <c r="R229" s="492"/>
      <c r="S229" s="492"/>
      <c r="T229" s="492"/>
      <c r="U229" s="492"/>
      <c r="V229" s="492"/>
      <c r="W229" s="492"/>
      <c r="X229" s="492"/>
      <c r="Y229" s="492">
        <v>391019</v>
      </c>
      <c r="Z229" s="492">
        <v>8186062</v>
      </c>
      <c r="AA229" s="492">
        <v>10005.1810967447</v>
      </c>
      <c r="AB229" s="492">
        <v>11019.6873245639</v>
      </c>
      <c r="AC229" s="492">
        <v>6</v>
      </c>
      <c r="AD229" s="492">
        <v>23443</v>
      </c>
      <c r="AE229" s="492" t="s">
        <v>1297</v>
      </c>
      <c r="AF229" s="492" t="s">
        <v>1298</v>
      </c>
      <c r="AG229" s="492" t="s">
        <v>1299</v>
      </c>
      <c r="AH229" s="492" t="s">
        <v>1300</v>
      </c>
      <c r="AI229" s="492">
        <v>1</v>
      </c>
      <c r="AJ229" s="492" t="s">
        <v>1301</v>
      </c>
      <c r="AK229" s="492" t="s">
        <v>1302</v>
      </c>
      <c r="AL229" s="492"/>
      <c r="AM229" s="492"/>
      <c r="AN229" s="492"/>
      <c r="AO229" s="492"/>
      <c r="AP229" s="492"/>
      <c r="AQ229" s="492"/>
      <c r="AR229" s="492"/>
      <c r="AS229" s="492"/>
      <c r="AT229" s="492"/>
      <c r="AU229" s="492"/>
      <c r="AV229" s="492"/>
      <c r="AW229" s="492"/>
      <c r="AX229" s="492"/>
      <c r="AY229" s="492"/>
      <c r="AZ229" s="492"/>
      <c r="BA229" s="492"/>
      <c r="BB229" s="493">
        <v>32303</v>
      </c>
      <c r="BC229" s="494">
        <v>0.375</v>
      </c>
      <c r="BD229" s="493">
        <v>47989</v>
      </c>
      <c r="BE229" s="494">
        <v>0.99998842592592596</v>
      </c>
      <c r="BF229" s="493">
        <v>32639</v>
      </c>
      <c r="BG229" s="494">
        <v>0</v>
      </c>
      <c r="BH229" s="492" t="s">
        <v>1303</v>
      </c>
      <c r="BI229" s="492">
        <v>597.20000000000005</v>
      </c>
      <c r="BJ229" s="492" t="s">
        <v>1304</v>
      </c>
      <c r="BK229" s="492"/>
      <c r="BL229" s="493">
        <v>45551</v>
      </c>
      <c r="BM229" s="492" t="s">
        <v>1305</v>
      </c>
      <c r="BN229" s="492" t="s">
        <v>1301</v>
      </c>
      <c r="BO229" s="492">
        <v>0.16432140619605901</v>
      </c>
      <c r="BP229" s="492">
        <v>5.0513892581900005E-4</v>
      </c>
    </row>
    <row r="230" spans="1:68" ht="75">
      <c r="A230" s="492" t="s">
        <v>1065</v>
      </c>
      <c r="B230" s="492">
        <v>391019</v>
      </c>
      <c r="C230" s="492">
        <v>8186083</v>
      </c>
      <c r="D230" s="492">
        <v>202</v>
      </c>
      <c r="E230" s="492">
        <v>289</v>
      </c>
      <c r="F230" s="492">
        <v>55</v>
      </c>
      <c r="G230" s="492" t="b">
        <v>0</v>
      </c>
      <c r="H230" s="492" t="b">
        <v>0</v>
      </c>
      <c r="I230" s="492">
        <v>10</v>
      </c>
      <c r="J230" s="492" t="b">
        <v>0</v>
      </c>
      <c r="K230" s="492">
        <v>80</v>
      </c>
      <c r="L230" s="492" t="s">
        <v>1013</v>
      </c>
      <c r="M230" s="492" t="s">
        <v>1312</v>
      </c>
      <c r="N230" s="492" t="s">
        <v>2</v>
      </c>
      <c r="O230" s="492">
        <v>80</v>
      </c>
      <c r="P230" s="492" t="s">
        <v>109</v>
      </c>
      <c r="Q230" s="492">
        <v>3</v>
      </c>
      <c r="R230" s="492"/>
      <c r="S230" s="492"/>
      <c r="T230" s="492"/>
      <c r="U230" s="492"/>
      <c r="V230" s="492"/>
      <c r="W230" s="492"/>
      <c r="X230" s="492"/>
      <c r="Y230" s="492">
        <v>391019</v>
      </c>
      <c r="Z230" s="492">
        <v>8186083</v>
      </c>
      <c r="AA230" s="492">
        <v>9998.3806760208608</v>
      </c>
      <c r="AB230" s="492">
        <v>11039.5622278507</v>
      </c>
      <c r="AC230" s="492">
        <v>6</v>
      </c>
      <c r="AD230" s="492">
        <v>23443</v>
      </c>
      <c r="AE230" s="492" t="s">
        <v>1297</v>
      </c>
      <c r="AF230" s="492" t="s">
        <v>1298</v>
      </c>
      <c r="AG230" s="492" t="s">
        <v>1299</v>
      </c>
      <c r="AH230" s="492" t="s">
        <v>1300</v>
      </c>
      <c r="AI230" s="492">
        <v>1</v>
      </c>
      <c r="AJ230" s="492" t="s">
        <v>1301</v>
      </c>
      <c r="AK230" s="492" t="s">
        <v>1302</v>
      </c>
      <c r="AL230" s="492"/>
      <c r="AM230" s="492"/>
      <c r="AN230" s="492"/>
      <c r="AO230" s="492"/>
      <c r="AP230" s="492"/>
      <c r="AQ230" s="492"/>
      <c r="AR230" s="492"/>
      <c r="AS230" s="492"/>
      <c r="AT230" s="492"/>
      <c r="AU230" s="492"/>
      <c r="AV230" s="492"/>
      <c r="AW230" s="492"/>
      <c r="AX230" s="492"/>
      <c r="AY230" s="492"/>
      <c r="AZ230" s="492"/>
      <c r="BA230" s="492"/>
      <c r="BB230" s="493">
        <v>32303</v>
      </c>
      <c r="BC230" s="494">
        <v>0.375</v>
      </c>
      <c r="BD230" s="493">
        <v>47989</v>
      </c>
      <c r="BE230" s="494">
        <v>0.99998842592592596</v>
      </c>
      <c r="BF230" s="493">
        <v>32639</v>
      </c>
      <c r="BG230" s="494">
        <v>0</v>
      </c>
      <c r="BH230" s="492" t="s">
        <v>1303</v>
      </c>
      <c r="BI230" s="492">
        <v>597.20000000000005</v>
      </c>
      <c r="BJ230" s="492" t="s">
        <v>1304</v>
      </c>
      <c r="BK230" s="492"/>
      <c r="BL230" s="493">
        <v>45551</v>
      </c>
      <c r="BM230" s="492" t="s">
        <v>1305</v>
      </c>
      <c r="BN230" s="492" t="s">
        <v>1301</v>
      </c>
      <c r="BO230" s="492">
        <v>0.16432140619605901</v>
      </c>
      <c r="BP230" s="492">
        <v>5.0513892581900005E-4</v>
      </c>
    </row>
    <row r="231" spans="1:68" ht="75">
      <c r="A231" s="492" t="s">
        <v>1035</v>
      </c>
      <c r="B231" s="492">
        <v>391333</v>
      </c>
      <c r="C231" s="492">
        <v>8186652</v>
      </c>
      <c r="D231" s="492">
        <v>216</v>
      </c>
      <c r="E231" s="492">
        <v>289</v>
      </c>
      <c r="F231" s="492">
        <v>60</v>
      </c>
      <c r="G231" s="492" t="b">
        <v>0</v>
      </c>
      <c r="H231" s="492" t="b">
        <v>0</v>
      </c>
      <c r="I231" s="492">
        <v>10</v>
      </c>
      <c r="J231" s="492" t="b">
        <v>0</v>
      </c>
      <c r="K231" s="492">
        <v>230</v>
      </c>
      <c r="L231" s="492" t="s">
        <v>1013</v>
      </c>
      <c r="M231" s="492" t="s">
        <v>1308</v>
      </c>
      <c r="N231" s="492" t="s">
        <v>2</v>
      </c>
      <c r="O231" s="492">
        <v>230</v>
      </c>
      <c r="P231" s="492" t="s">
        <v>109</v>
      </c>
      <c r="Q231" s="492">
        <v>3</v>
      </c>
      <c r="R231" s="492"/>
      <c r="S231" s="492"/>
      <c r="T231" s="492"/>
      <c r="U231" s="492"/>
      <c r="V231" s="492"/>
      <c r="W231" s="492" t="s">
        <v>1307</v>
      </c>
      <c r="X231" s="492"/>
      <c r="Y231" s="492">
        <v>391333</v>
      </c>
      <c r="Z231" s="492">
        <v>8186652</v>
      </c>
      <c r="AA231" s="492">
        <v>10111.2987827374</v>
      </c>
      <c r="AB231" s="492">
        <v>11679.7599458359</v>
      </c>
      <c r="AC231" s="492">
        <v>6</v>
      </c>
      <c r="AD231" s="492">
        <v>23443</v>
      </c>
      <c r="AE231" s="492" t="s">
        <v>1297</v>
      </c>
      <c r="AF231" s="492" t="s">
        <v>1298</v>
      </c>
      <c r="AG231" s="492" t="s">
        <v>1299</v>
      </c>
      <c r="AH231" s="492" t="s">
        <v>1300</v>
      </c>
      <c r="AI231" s="492">
        <v>1</v>
      </c>
      <c r="AJ231" s="492" t="s">
        <v>1301</v>
      </c>
      <c r="AK231" s="492" t="s">
        <v>1302</v>
      </c>
      <c r="AL231" s="492"/>
      <c r="AM231" s="492"/>
      <c r="AN231" s="492"/>
      <c r="AO231" s="492"/>
      <c r="AP231" s="492"/>
      <c r="AQ231" s="492"/>
      <c r="AR231" s="492"/>
      <c r="AS231" s="492"/>
      <c r="AT231" s="492"/>
      <c r="AU231" s="492"/>
      <c r="AV231" s="492"/>
      <c r="AW231" s="492"/>
      <c r="AX231" s="492"/>
      <c r="AY231" s="492"/>
      <c r="AZ231" s="492"/>
      <c r="BA231" s="492"/>
      <c r="BB231" s="493">
        <v>32303</v>
      </c>
      <c r="BC231" s="494">
        <v>0.375</v>
      </c>
      <c r="BD231" s="493">
        <v>47989</v>
      </c>
      <c r="BE231" s="494">
        <v>0.99998842592592596</v>
      </c>
      <c r="BF231" s="493">
        <v>32639</v>
      </c>
      <c r="BG231" s="494">
        <v>0</v>
      </c>
      <c r="BH231" s="492" t="s">
        <v>1303</v>
      </c>
      <c r="BI231" s="492">
        <v>597.20000000000005</v>
      </c>
      <c r="BJ231" s="492" t="s">
        <v>1304</v>
      </c>
      <c r="BK231" s="492"/>
      <c r="BL231" s="493">
        <v>45551</v>
      </c>
      <c r="BM231" s="492" t="s">
        <v>1305</v>
      </c>
      <c r="BN231" s="492" t="s">
        <v>1301</v>
      </c>
      <c r="BO231" s="492">
        <v>0.16432140619605901</v>
      </c>
      <c r="BP231" s="492">
        <v>5.0513892581900005E-4</v>
      </c>
    </row>
    <row r="232" spans="1:68" ht="75">
      <c r="A232" s="492" t="s">
        <v>1034</v>
      </c>
      <c r="B232" s="492">
        <v>391396</v>
      </c>
      <c r="C232" s="492">
        <v>8186672</v>
      </c>
      <c r="D232" s="492">
        <v>206</v>
      </c>
      <c r="E232" s="492">
        <v>109</v>
      </c>
      <c r="F232" s="492">
        <v>60</v>
      </c>
      <c r="G232" s="492" t="b">
        <v>0</v>
      </c>
      <c r="H232" s="492" t="b">
        <v>0</v>
      </c>
      <c r="I232" s="492">
        <v>10</v>
      </c>
      <c r="J232" s="492" t="b">
        <v>0</v>
      </c>
      <c r="K232" s="492">
        <v>30</v>
      </c>
      <c r="L232" s="492" t="s">
        <v>1013</v>
      </c>
      <c r="M232" s="492" t="s">
        <v>1308</v>
      </c>
      <c r="N232" s="492" t="s">
        <v>2</v>
      </c>
      <c r="O232" s="492">
        <v>30</v>
      </c>
      <c r="P232" s="492" t="s">
        <v>109</v>
      </c>
      <c r="Q232" s="492">
        <v>3</v>
      </c>
      <c r="R232" s="492"/>
      <c r="S232" s="492"/>
      <c r="T232" s="492"/>
      <c r="U232" s="492"/>
      <c r="V232" s="492"/>
      <c r="W232" s="492"/>
      <c r="X232" s="492"/>
      <c r="Y232" s="492">
        <v>391396</v>
      </c>
      <c r="Z232" s="492">
        <v>8186672</v>
      </c>
      <c r="AA232" s="492">
        <v>10164.4469014406</v>
      </c>
      <c r="AB232" s="492">
        <v>11719.089687329701</v>
      </c>
      <c r="AC232" s="492">
        <v>6</v>
      </c>
      <c r="AD232" s="492">
        <v>23443</v>
      </c>
      <c r="AE232" s="492" t="s">
        <v>1297</v>
      </c>
      <c r="AF232" s="492" t="s">
        <v>1298</v>
      </c>
      <c r="AG232" s="492" t="s">
        <v>1299</v>
      </c>
      <c r="AH232" s="492" t="s">
        <v>1300</v>
      </c>
      <c r="AI232" s="492">
        <v>1</v>
      </c>
      <c r="AJ232" s="492" t="s">
        <v>1301</v>
      </c>
      <c r="AK232" s="492" t="s">
        <v>1302</v>
      </c>
      <c r="AL232" s="492"/>
      <c r="AM232" s="492"/>
      <c r="AN232" s="492"/>
      <c r="AO232" s="492"/>
      <c r="AP232" s="492"/>
      <c r="AQ232" s="492"/>
      <c r="AR232" s="492"/>
      <c r="AS232" s="492"/>
      <c r="AT232" s="492"/>
      <c r="AU232" s="492"/>
      <c r="AV232" s="492"/>
      <c r="AW232" s="492"/>
      <c r="AX232" s="492"/>
      <c r="AY232" s="492"/>
      <c r="AZ232" s="492"/>
      <c r="BA232" s="492"/>
      <c r="BB232" s="493">
        <v>32303</v>
      </c>
      <c r="BC232" s="494">
        <v>0.375</v>
      </c>
      <c r="BD232" s="493">
        <v>47989</v>
      </c>
      <c r="BE232" s="494">
        <v>0.99998842592592596</v>
      </c>
      <c r="BF232" s="493">
        <v>32639</v>
      </c>
      <c r="BG232" s="494">
        <v>0</v>
      </c>
      <c r="BH232" s="492" t="s">
        <v>1303</v>
      </c>
      <c r="BI232" s="492">
        <v>597.20000000000005</v>
      </c>
      <c r="BJ232" s="492" t="s">
        <v>1304</v>
      </c>
      <c r="BK232" s="492"/>
      <c r="BL232" s="493">
        <v>45551</v>
      </c>
      <c r="BM232" s="492" t="s">
        <v>1305</v>
      </c>
      <c r="BN232" s="492" t="s">
        <v>1301</v>
      </c>
      <c r="BO232" s="492">
        <v>0.16432140619605901</v>
      </c>
      <c r="BP232" s="492">
        <v>5.0513892581900005E-4</v>
      </c>
    </row>
    <row r="233" spans="1:68" ht="75">
      <c r="A233" s="492" t="s">
        <v>365</v>
      </c>
      <c r="B233" s="492">
        <v>391282</v>
      </c>
      <c r="C233" s="492">
        <v>8186674</v>
      </c>
      <c r="D233" s="492">
        <v>206</v>
      </c>
      <c r="E233" s="492">
        <v>289</v>
      </c>
      <c r="F233" s="492">
        <v>55</v>
      </c>
      <c r="G233" s="492" t="b">
        <v>0</v>
      </c>
      <c r="H233" s="492" t="b">
        <v>0</v>
      </c>
      <c r="I233" s="492">
        <v>10</v>
      </c>
      <c r="J233" s="492" t="b">
        <v>0</v>
      </c>
      <c r="K233" s="492">
        <v>80</v>
      </c>
      <c r="L233" s="492" t="s">
        <v>1306</v>
      </c>
      <c r="M233" s="492" t="s">
        <v>1296</v>
      </c>
      <c r="N233" s="492" t="s">
        <v>1</v>
      </c>
      <c r="O233" s="492">
        <v>80</v>
      </c>
      <c r="P233" s="492" t="s">
        <v>11</v>
      </c>
      <c r="Q233" s="492">
        <v>1</v>
      </c>
      <c r="R233" s="492"/>
      <c r="S233" s="492"/>
      <c r="T233" s="492"/>
      <c r="U233" s="492"/>
      <c r="V233" s="492"/>
      <c r="W233" s="492"/>
      <c r="X233" s="492"/>
      <c r="Y233" s="492">
        <v>391282</v>
      </c>
      <c r="Z233" s="492">
        <v>8186674</v>
      </c>
      <c r="AA233" s="492">
        <v>10055.9069101847</v>
      </c>
      <c r="AB233" s="492">
        <v>11684.065965616101</v>
      </c>
      <c r="AC233" s="492">
        <v>6</v>
      </c>
      <c r="AD233" s="492">
        <v>23443</v>
      </c>
      <c r="AE233" s="492" t="s">
        <v>1297</v>
      </c>
      <c r="AF233" s="492" t="s">
        <v>1298</v>
      </c>
      <c r="AG233" s="492" t="s">
        <v>1299</v>
      </c>
      <c r="AH233" s="492" t="s">
        <v>1300</v>
      </c>
      <c r="AI233" s="492">
        <v>1</v>
      </c>
      <c r="AJ233" s="492" t="s">
        <v>1301</v>
      </c>
      <c r="AK233" s="492" t="s">
        <v>1302</v>
      </c>
      <c r="AL233" s="492"/>
      <c r="AM233" s="492"/>
      <c r="AN233" s="492"/>
      <c r="AO233" s="492"/>
      <c r="AP233" s="492"/>
      <c r="AQ233" s="492"/>
      <c r="AR233" s="492"/>
      <c r="AS233" s="492"/>
      <c r="AT233" s="492"/>
      <c r="AU233" s="492"/>
      <c r="AV233" s="492"/>
      <c r="AW233" s="492"/>
      <c r="AX233" s="492"/>
      <c r="AY233" s="492"/>
      <c r="AZ233" s="492"/>
      <c r="BA233" s="492"/>
      <c r="BB233" s="493">
        <v>32303</v>
      </c>
      <c r="BC233" s="494">
        <v>0.375</v>
      </c>
      <c r="BD233" s="493">
        <v>47989</v>
      </c>
      <c r="BE233" s="494">
        <v>0.99998842592592596</v>
      </c>
      <c r="BF233" s="493">
        <v>32639</v>
      </c>
      <c r="BG233" s="494">
        <v>0</v>
      </c>
      <c r="BH233" s="492" t="s">
        <v>1303</v>
      </c>
      <c r="BI233" s="492">
        <v>597.20000000000005</v>
      </c>
      <c r="BJ233" s="492" t="s">
        <v>1304</v>
      </c>
      <c r="BK233" s="492"/>
      <c r="BL233" s="493">
        <v>45551</v>
      </c>
      <c r="BM233" s="492" t="s">
        <v>1305</v>
      </c>
      <c r="BN233" s="492" t="s">
        <v>1301</v>
      </c>
      <c r="BO233" s="492">
        <v>0.16432140619605901</v>
      </c>
      <c r="BP233" s="492">
        <v>5.0513892581900005E-4</v>
      </c>
    </row>
    <row r="234" spans="1:68" ht="75">
      <c r="A234" s="492" t="s">
        <v>357</v>
      </c>
      <c r="B234" s="492">
        <v>391281</v>
      </c>
      <c r="C234" s="492">
        <v>8186674</v>
      </c>
      <c r="D234" s="492">
        <v>205</v>
      </c>
      <c r="E234" s="492">
        <v>289</v>
      </c>
      <c r="F234" s="492">
        <v>68</v>
      </c>
      <c r="G234" s="492" t="b">
        <v>0</v>
      </c>
      <c r="H234" s="492" t="b">
        <v>0</v>
      </c>
      <c r="I234" s="492">
        <v>10</v>
      </c>
      <c r="J234" s="492" t="b">
        <v>0</v>
      </c>
      <c r="K234" s="492">
        <v>130</v>
      </c>
      <c r="L234" s="492" t="s">
        <v>1306</v>
      </c>
      <c r="M234" s="492" t="s">
        <v>1296</v>
      </c>
      <c r="N234" s="492" t="s">
        <v>1</v>
      </c>
      <c r="O234" s="492">
        <v>130</v>
      </c>
      <c r="P234" s="492" t="s">
        <v>11</v>
      </c>
      <c r="Q234" s="492">
        <v>1</v>
      </c>
      <c r="R234" s="492"/>
      <c r="S234" s="492"/>
      <c r="T234" s="492"/>
      <c r="U234" s="492"/>
      <c r="V234" s="492"/>
      <c r="W234" s="492"/>
      <c r="X234" s="492"/>
      <c r="Y234" s="492">
        <v>391281</v>
      </c>
      <c r="Z234" s="492">
        <v>8186674</v>
      </c>
      <c r="AA234" s="492">
        <v>10054.960486219201</v>
      </c>
      <c r="AB234" s="492">
        <v>11683.7421360602</v>
      </c>
      <c r="AC234" s="492">
        <v>6</v>
      </c>
      <c r="AD234" s="492">
        <v>23443</v>
      </c>
      <c r="AE234" s="492" t="s">
        <v>1297</v>
      </c>
      <c r="AF234" s="492" t="s">
        <v>1298</v>
      </c>
      <c r="AG234" s="492" t="s">
        <v>1299</v>
      </c>
      <c r="AH234" s="492" t="s">
        <v>1300</v>
      </c>
      <c r="AI234" s="492">
        <v>1</v>
      </c>
      <c r="AJ234" s="492" t="s">
        <v>1301</v>
      </c>
      <c r="AK234" s="492" t="s">
        <v>1302</v>
      </c>
      <c r="AL234" s="492"/>
      <c r="AM234" s="492"/>
      <c r="AN234" s="492"/>
      <c r="AO234" s="492"/>
      <c r="AP234" s="492"/>
      <c r="AQ234" s="492"/>
      <c r="AR234" s="492"/>
      <c r="AS234" s="492"/>
      <c r="AT234" s="492"/>
      <c r="AU234" s="492"/>
      <c r="AV234" s="492"/>
      <c r="AW234" s="492"/>
      <c r="AX234" s="492"/>
      <c r="AY234" s="492"/>
      <c r="AZ234" s="492"/>
      <c r="BA234" s="492"/>
      <c r="BB234" s="493">
        <v>32303</v>
      </c>
      <c r="BC234" s="494">
        <v>0.375</v>
      </c>
      <c r="BD234" s="493">
        <v>47989</v>
      </c>
      <c r="BE234" s="494">
        <v>0.99998842592592596</v>
      </c>
      <c r="BF234" s="493">
        <v>32639</v>
      </c>
      <c r="BG234" s="494">
        <v>0</v>
      </c>
      <c r="BH234" s="492" t="s">
        <v>1303</v>
      </c>
      <c r="BI234" s="492">
        <v>597.20000000000005</v>
      </c>
      <c r="BJ234" s="492" t="s">
        <v>1304</v>
      </c>
      <c r="BK234" s="492"/>
      <c r="BL234" s="493">
        <v>45551</v>
      </c>
      <c r="BM234" s="492" t="s">
        <v>1305</v>
      </c>
      <c r="BN234" s="492" t="s">
        <v>1301</v>
      </c>
      <c r="BO234" s="492">
        <v>0.16432140619605901</v>
      </c>
      <c r="BP234" s="492">
        <v>5.0513892581900005E-4</v>
      </c>
    </row>
    <row r="235" spans="1:68" ht="75">
      <c r="A235" s="492" t="s">
        <v>1033</v>
      </c>
      <c r="B235" s="492">
        <v>391371</v>
      </c>
      <c r="C235" s="492">
        <v>8186681</v>
      </c>
      <c r="D235" s="492">
        <v>207</v>
      </c>
      <c r="E235" s="492">
        <v>289</v>
      </c>
      <c r="F235" s="492">
        <v>60</v>
      </c>
      <c r="G235" s="492" t="b">
        <v>0</v>
      </c>
      <c r="H235" s="492" t="b">
        <v>0</v>
      </c>
      <c r="I235" s="492">
        <v>10</v>
      </c>
      <c r="J235" s="492" t="b">
        <v>0</v>
      </c>
      <c r="K235" s="492">
        <v>30</v>
      </c>
      <c r="L235" s="492" t="s">
        <v>1013</v>
      </c>
      <c r="M235" s="492" t="s">
        <v>1308</v>
      </c>
      <c r="N235" s="492" t="s">
        <v>2</v>
      </c>
      <c r="O235" s="492">
        <v>30</v>
      </c>
      <c r="P235" s="492" t="s">
        <v>109</v>
      </c>
      <c r="Q235" s="492">
        <v>3</v>
      </c>
      <c r="R235" s="492"/>
      <c r="S235" s="492"/>
      <c r="T235" s="492"/>
      <c r="U235" s="492"/>
      <c r="V235" s="492"/>
      <c r="W235" s="492"/>
      <c r="X235" s="492"/>
      <c r="Y235" s="492">
        <v>391371</v>
      </c>
      <c r="Z235" s="492">
        <v>8186681</v>
      </c>
      <c r="AA235" s="492">
        <v>10137.8718362646</v>
      </c>
      <c r="AB235" s="492">
        <v>11719.511764066199</v>
      </c>
      <c r="AC235" s="492">
        <v>6</v>
      </c>
      <c r="AD235" s="492">
        <v>23443</v>
      </c>
      <c r="AE235" s="492" t="s">
        <v>1297</v>
      </c>
      <c r="AF235" s="492" t="s">
        <v>1298</v>
      </c>
      <c r="AG235" s="492" t="s">
        <v>1299</v>
      </c>
      <c r="AH235" s="492" t="s">
        <v>1300</v>
      </c>
      <c r="AI235" s="492">
        <v>1</v>
      </c>
      <c r="AJ235" s="492" t="s">
        <v>1301</v>
      </c>
      <c r="AK235" s="492" t="s">
        <v>1302</v>
      </c>
      <c r="AL235" s="492"/>
      <c r="AM235" s="492"/>
      <c r="AN235" s="492"/>
      <c r="AO235" s="492"/>
      <c r="AP235" s="492"/>
      <c r="AQ235" s="492"/>
      <c r="AR235" s="492"/>
      <c r="AS235" s="492"/>
      <c r="AT235" s="492"/>
      <c r="AU235" s="492"/>
      <c r="AV235" s="492"/>
      <c r="AW235" s="492"/>
      <c r="AX235" s="492"/>
      <c r="AY235" s="492"/>
      <c r="AZ235" s="492"/>
      <c r="BA235" s="492"/>
      <c r="BB235" s="493">
        <v>32303</v>
      </c>
      <c r="BC235" s="494">
        <v>0.375</v>
      </c>
      <c r="BD235" s="493">
        <v>47989</v>
      </c>
      <c r="BE235" s="494">
        <v>0.99998842592592596</v>
      </c>
      <c r="BF235" s="493">
        <v>32639</v>
      </c>
      <c r="BG235" s="494">
        <v>0</v>
      </c>
      <c r="BH235" s="492" t="s">
        <v>1303</v>
      </c>
      <c r="BI235" s="492">
        <v>597.20000000000005</v>
      </c>
      <c r="BJ235" s="492" t="s">
        <v>1304</v>
      </c>
      <c r="BK235" s="492"/>
      <c r="BL235" s="493">
        <v>45551</v>
      </c>
      <c r="BM235" s="492" t="s">
        <v>1305</v>
      </c>
      <c r="BN235" s="492" t="s">
        <v>1301</v>
      </c>
      <c r="BO235" s="492">
        <v>0.16432140619605901</v>
      </c>
      <c r="BP235" s="492">
        <v>5.0513892581900005E-4</v>
      </c>
    </row>
    <row r="236" spans="1:68" ht="75">
      <c r="A236" s="492" t="s">
        <v>1032</v>
      </c>
      <c r="B236" s="492">
        <v>391343</v>
      </c>
      <c r="C236" s="492">
        <v>8186691</v>
      </c>
      <c r="D236" s="492">
        <v>207</v>
      </c>
      <c r="E236" s="492">
        <v>289</v>
      </c>
      <c r="F236" s="492">
        <v>60</v>
      </c>
      <c r="G236" s="492" t="b">
        <v>0</v>
      </c>
      <c r="H236" s="492" t="b">
        <v>0</v>
      </c>
      <c r="I236" s="492">
        <v>10</v>
      </c>
      <c r="J236" s="492" t="b">
        <v>0</v>
      </c>
      <c r="K236" s="492">
        <v>30</v>
      </c>
      <c r="L236" s="492" t="s">
        <v>1013</v>
      </c>
      <c r="M236" s="492" t="s">
        <v>1308</v>
      </c>
      <c r="N236" s="492" t="s">
        <v>2</v>
      </c>
      <c r="O236" s="492">
        <v>30</v>
      </c>
      <c r="P236" s="492" t="s">
        <v>109</v>
      </c>
      <c r="Q236" s="492">
        <v>3</v>
      </c>
      <c r="R236" s="492"/>
      <c r="S236" s="492"/>
      <c r="T236" s="492"/>
      <c r="U236" s="492"/>
      <c r="V236" s="492"/>
      <c r="W236" s="492"/>
      <c r="X236" s="492"/>
      <c r="Y236" s="492">
        <v>391343</v>
      </c>
      <c r="Z236" s="492">
        <v>8186691</v>
      </c>
      <c r="AA236" s="492">
        <v>10108.1336696292</v>
      </c>
      <c r="AB236" s="492">
        <v>11719.908776095999</v>
      </c>
      <c r="AC236" s="492">
        <v>6</v>
      </c>
      <c r="AD236" s="492">
        <v>23443</v>
      </c>
      <c r="AE236" s="492" t="s">
        <v>1297</v>
      </c>
      <c r="AF236" s="492" t="s">
        <v>1298</v>
      </c>
      <c r="AG236" s="492" t="s">
        <v>1299</v>
      </c>
      <c r="AH236" s="492" t="s">
        <v>1300</v>
      </c>
      <c r="AI236" s="492">
        <v>1</v>
      </c>
      <c r="AJ236" s="492" t="s">
        <v>1301</v>
      </c>
      <c r="AK236" s="492" t="s">
        <v>1302</v>
      </c>
      <c r="AL236" s="492"/>
      <c r="AM236" s="492"/>
      <c r="AN236" s="492"/>
      <c r="AO236" s="492"/>
      <c r="AP236" s="492"/>
      <c r="AQ236" s="492"/>
      <c r="AR236" s="492"/>
      <c r="AS236" s="492"/>
      <c r="AT236" s="492"/>
      <c r="AU236" s="492"/>
      <c r="AV236" s="492"/>
      <c r="AW236" s="492"/>
      <c r="AX236" s="492"/>
      <c r="AY236" s="492"/>
      <c r="AZ236" s="492"/>
      <c r="BA236" s="492"/>
      <c r="BB236" s="493">
        <v>32303</v>
      </c>
      <c r="BC236" s="494">
        <v>0.375</v>
      </c>
      <c r="BD236" s="493">
        <v>47989</v>
      </c>
      <c r="BE236" s="494">
        <v>0.99998842592592596</v>
      </c>
      <c r="BF236" s="493">
        <v>32639</v>
      </c>
      <c r="BG236" s="494">
        <v>0</v>
      </c>
      <c r="BH236" s="492" t="s">
        <v>1303</v>
      </c>
      <c r="BI236" s="492">
        <v>597.20000000000005</v>
      </c>
      <c r="BJ236" s="492" t="s">
        <v>1304</v>
      </c>
      <c r="BK236" s="492"/>
      <c r="BL236" s="493">
        <v>45551</v>
      </c>
      <c r="BM236" s="492" t="s">
        <v>1305</v>
      </c>
      <c r="BN236" s="492" t="s">
        <v>1301</v>
      </c>
      <c r="BO236" s="492">
        <v>0.16432140619605901</v>
      </c>
      <c r="BP236" s="492">
        <v>5.0513892581900005E-4</v>
      </c>
    </row>
    <row r="237" spans="1:68" ht="75">
      <c r="A237" s="492" t="s">
        <v>832</v>
      </c>
      <c r="B237" s="492">
        <v>391628</v>
      </c>
      <c r="C237" s="492">
        <v>8186715</v>
      </c>
      <c r="D237" s="492">
        <v>190</v>
      </c>
      <c r="E237" s="492">
        <v>109</v>
      </c>
      <c r="F237" s="492">
        <v>55</v>
      </c>
      <c r="G237" s="492" t="b">
        <v>0</v>
      </c>
      <c r="H237" s="492" t="b">
        <v>0</v>
      </c>
      <c r="I237" s="492">
        <v>10</v>
      </c>
      <c r="J237" s="492" t="b">
        <v>0</v>
      </c>
      <c r="K237" s="492">
        <v>85</v>
      </c>
      <c r="L237" s="492" t="s">
        <v>1311</v>
      </c>
      <c r="M237" s="492" t="s">
        <v>1296</v>
      </c>
      <c r="N237" s="492" t="s">
        <v>2</v>
      </c>
      <c r="O237" s="492">
        <v>85</v>
      </c>
      <c r="P237" s="492" t="s">
        <v>109</v>
      </c>
      <c r="Q237" s="492">
        <v>3</v>
      </c>
      <c r="R237" s="492"/>
      <c r="S237" s="492"/>
      <c r="T237" s="492"/>
      <c r="U237" s="492"/>
      <c r="V237" s="492"/>
      <c r="W237" s="492"/>
      <c r="X237" s="492"/>
      <c r="Y237" s="492">
        <v>391628</v>
      </c>
      <c r="Z237" s="492">
        <v>8186715</v>
      </c>
      <c r="AA237" s="492">
        <v>10370.092590578801</v>
      </c>
      <c r="AB237" s="492">
        <v>11834.914375390799</v>
      </c>
      <c r="AC237" s="492">
        <v>6</v>
      </c>
      <c r="AD237" s="492">
        <v>23443</v>
      </c>
      <c r="AE237" s="492" t="s">
        <v>1297</v>
      </c>
      <c r="AF237" s="492" t="s">
        <v>1298</v>
      </c>
      <c r="AG237" s="492" t="s">
        <v>1299</v>
      </c>
      <c r="AH237" s="492" t="s">
        <v>1300</v>
      </c>
      <c r="AI237" s="492">
        <v>1</v>
      </c>
      <c r="AJ237" s="492" t="s">
        <v>1301</v>
      </c>
      <c r="AK237" s="492" t="s">
        <v>1302</v>
      </c>
      <c r="AL237" s="492"/>
      <c r="AM237" s="492"/>
      <c r="AN237" s="492"/>
      <c r="AO237" s="492"/>
      <c r="AP237" s="492"/>
      <c r="AQ237" s="492"/>
      <c r="AR237" s="492"/>
      <c r="AS237" s="492"/>
      <c r="AT237" s="492"/>
      <c r="AU237" s="492"/>
      <c r="AV237" s="492"/>
      <c r="AW237" s="492"/>
      <c r="AX237" s="492"/>
      <c r="AY237" s="492"/>
      <c r="AZ237" s="492"/>
      <c r="BA237" s="492"/>
      <c r="BB237" s="493">
        <v>32303</v>
      </c>
      <c r="BC237" s="494">
        <v>0.375</v>
      </c>
      <c r="BD237" s="493">
        <v>47989</v>
      </c>
      <c r="BE237" s="494">
        <v>0.99998842592592596</v>
      </c>
      <c r="BF237" s="493">
        <v>32639</v>
      </c>
      <c r="BG237" s="494">
        <v>0</v>
      </c>
      <c r="BH237" s="492" t="s">
        <v>1303</v>
      </c>
      <c r="BI237" s="492">
        <v>597.20000000000005</v>
      </c>
      <c r="BJ237" s="492" t="s">
        <v>1304</v>
      </c>
      <c r="BK237" s="492"/>
      <c r="BL237" s="493">
        <v>45551</v>
      </c>
      <c r="BM237" s="492" t="s">
        <v>1305</v>
      </c>
      <c r="BN237" s="492" t="s">
        <v>1301</v>
      </c>
      <c r="BO237" s="492">
        <v>0.16432140619605901</v>
      </c>
      <c r="BP237" s="492">
        <v>5.0513892581900005E-4</v>
      </c>
    </row>
    <row r="238" spans="1:68" ht="75">
      <c r="A238" s="492" t="s">
        <v>1122</v>
      </c>
      <c r="B238" s="492">
        <v>391417</v>
      </c>
      <c r="C238" s="492">
        <v>8186539</v>
      </c>
      <c r="D238" s="492">
        <v>190</v>
      </c>
      <c r="E238" s="492">
        <v>289</v>
      </c>
      <c r="F238" s="492">
        <v>60</v>
      </c>
      <c r="G238" s="492" t="b">
        <v>0</v>
      </c>
      <c r="H238" s="492" t="b">
        <v>0</v>
      </c>
      <c r="I238" s="492">
        <v>10</v>
      </c>
      <c r="J238" s="492" t="b">
        <v>0</v>
      </c>
      <c r="K238" s="492">
        <v>40</v>
      </c>
      <c r="L238" s="492" t="s">
        <v>1013</v>
      </c>
      <c r="M238" s="492" t="s">
        <v>1312</v>
      </c>
      <c r="N238" s="492" t="s">
        <v>2</v>
      </c>
      <c r="O238" s="492">
        <v>40</v>
      </c>
      <c r="P238" s="492" t="s">
        <v>109</v>
      </c>
      <c r="Q238" s="492">
        <v>3</v>
      </c>
      <c r="R238" s="492"/>
      <c r="S238" s="492"/>
      <c r="T238" s="492"/>
      <c r="U238" s="492"/>
      <c r="V238" s="492"/>
      <c r="W238" s="492"/>
      <c r="X238" s="492"/>
      <c r="Y238" s="492">
        <v>391417</v>
      </c>
      <c r="Z238" s="492">
        <v>8186539</v>
      </c>
      <c r="AA238" s="492">
        <v>10227.391135980301</v>
      </c>
      <c r="AB238" s="492">
        <v>11600.0157205695</v>
      </c>
      <c r="AC238" s="492">
        <v>6</v>
      </c>
      <c r="AD238" s="492">
        <v>23443</v>
      </c>
      <c r="AE238" s="492" t="s">
        <v>1297</v>
      </c>
      <c r="AF238" s="492" t="s">
        <v>1298</v>
      </c>
      <c r="AG238" s="492" t="s">
        <v>1299</v>
      </c>
      <c r="AH238" s="492" t="s">
        <v>1300</v>
      </c>
      <c r="AI238" s="492">
        <v>1</v>
      </c>
      <c r="AJ238" s="492" t="s">
        <v>1301</v>
      </c>
      <c r="AK238" s="492" t="s">
        <v>1302</v>
      </c>
      <c r="AL238" s="492"/>
      <c r="AM238" s="492"/>
      <c r="AN238" s="492"/>
      <c r="AO238" s="492"/>
      <c r="AP238" s="492"/>
      <c r="AQ238" s="492"/>
      <c r="AR238" s="492"/>
      <c r="AS238" s="492"/>
      <c r="AT238" s="492"/>
      <c r="AU238" s="492"/>
      <c r="AV238" s="492"/>
      <c r="AW238" s="492"/>
      <c r="AX238" s="492"/>
      <c r="AY238" s="492"/>
      <c r="AZ238" s="492"/>
      <c r="BA238" s="492"/>
      <c r="BB238" s="493">
        <v>32303</v>
      </c>
      <c r="BC238" s="494">
        <v>0.375</v>
      </c>
      <c r="BD238" s="493">
        <v>47989</v>
      </c>
      <c r="BE238" s="494">
        <v>0.99998842592592596</v>
      </c>
      <c r="BF238" s="493">
        <v>32639</v>
      </c>
      <c r="BG238" s="494">
        <v>0</v>
      </c>
      <c r="BH238" s="492" t="s">
        <v>1303</v>
      </c>
      <c r="BI238" s="492">
        <v>597.20000000000005</v>
      </c>
      <c r="BJ238" s="492" t="s">
        <v>1304</v>
      </c>
      <c r="BK238" s="492"/>
      <c r="BL238" s="493">
        <v>45551</v>
      </c>
      <c r="BM238" s="492" t="s">
        <v>1305</v>
      </c>
      <c r="BN238" s="492" t="s">
        <v>1301</v>
      </c>
      <c r="BO238" s="492">
        <v>0.16432140619605901</v>
      </c>
      <c r="BP238" s="492">
        <v>5.0513892581900005E-4</v>
      </c>
    </row>
    <row r="239" spans="1:68" ht="75">
      <c r="A239" s="492" t="s">
        <v>1055</v>
      </c>
      <c r="B239" s="492">
        <v>391097</v>
      </c>
      <c r="C239" s="492">
        <v>8186226</v>
      </c>
      <c r="D239" s="492">
        <v>199</v>
      </c>
      <c r="E239" s="492">
        <v>289</v>
      </c>
      <c r="F239" s="492">
        <v>60</v>
      </c>
      <c r="G239" s="492" t="b">
        <v>0</v>
      </c>
      <c r="H239" s="492" t="b">
        <v>0</v>
      </c>
      <c r="I239" s="492">
        <v>10</v>
      </c>
      <c r="J239" s="492" t="b">
        <v>0</v>
      </c>
      <c r="K239" s="492">
        <v>110</v>
      </c>
      <c r="L239" s="492" t="s">
        <v>1013</v>
      </c>
      <c r="M239" s="492" t="s">
        <v>1312</v>
      </c>
      <c r="N239" s="492" t="s">
        <v>2</v>
      </c>
      <c r="O239" s="492">
        <v>110</v>
      </c>
      <c r="P239" s="492" t="s">
        <v>109</v>
      </c>
      <c r="Q239" s="492">
        <v>3</v>
      </c>
      <c r="R239" s="492"/>
      <c r="S239" s="492"/>
      <c r="T239" s="492"/>
      <c r="U239" s="492"/>
      <c r="V239" s="492"/>
      <c r="W239" s="492" t="s">
        <v>1342</v>
      </c>
      <c r="X239" s="492"/>
      <c r="Y239" s="492">
        <v>391097</v>
      </c>
      <c r="Z239" s="492">
        <v>8186226</v>
      </c>
      <c r="AA239" s="492">
        <v>10025.8941185479</v>
      </c>
      <c r="AB239" s="492">
        <v>11200.1595605444</v>
      </c>
      <c r="AC239" s="492">
        <v>6</v>
      </c>
      <c r="AD239" s="492">
        <v>23443</v>
      </c>
      <c r="AE239" s="492" t="s">
        <v>1297</v>
      </c>
      <c r="AF239" s="492" t="s">
        <v>1298</v>
      </c>
      <c r="AG239" s="492" t="s">
        <v>1299</v>
      </c>
      <c r="AH239" s="492" t="s">
        <v>1300</v>
      </c>
      <c r="AI239" s="492">
        <v>1</v>
      </c>
      <c r="AJ239" s="492" t="s">
        <v>1301</v>
      </c>
      <c r="AK239" s="492" t="s">
        <v>1302</v>
      </c>
      <c r="AL239" s="492"/>
      <c r="AM239" s="492"/>
      <c r="AN239" s="492"/>
      <c r="AO239" s="492"/>
      <c r="AP239" s="492"/>
      <c r="AQ239" s="492"/>
      <c r="AR239" s="492"/>
      <c r="AS239" s="492"/>
      <c r="AT239" s="492"/>
      <c r="AU239" s="492"/>
      <c r="AV239" s="492"/>
      <c r="AW239" s="492"/>
      <c r="AX239" s="492"/>
      <c r="AY239" s="492"/>
      <c r="AZ239" s="492"/>
      <c r="BA239" s="492"/>
      <c r="BB239" s="493">
        <v>32303</v>
      </c>
      <c r="BC239" s="494">
        <v>0.375</v>
      </c>
      <c r="BD239" s="493">
        <v>47989</v>
      </c>
      <c r="BE239" s="494">
        <v>0.99998842592592596</v>
      </c>
      <c r="BF239" s="493">
        <v>32639</v>
      </c>
      <c r="BG239" s="494">
        <v>0</v>
      </c>
      <c r="BH239" s="492" t="s">
        <v>1303</v>
      </c>
      <c r="BI239" s="492">
        <v>597.20000000000005</v>
      </c>
      <c r="BJ239" s="492" t="s">
        <v>1304</v>
      </c>
      <c r="BK239" s="492"/>
      <c r="BL239" s="493">
        <v>45551</v>
      </c>
      <c r="BM239" s="492" t="s">
        <v>1305</v>
      </c>
      <c r="BN239" s="492" t="s">
        <v>1301</v>
      </c>
      <c r="BO239" s="492">
        <v>0.16432140619605901</v>
      </c>
      <c r="BP239" s="492">
        <v>5.0513892581900005E-4</v>
      </c>
    </row>
    <row r="240" spans="1:68" ht="75">
      <c r="A240" s="492" t="s">
        <v>747</v>
      </c>
      <c r="B240" s="492">
        <v>391105</v>
      </c>
      <c r="C240" s="492">
        <v>8185969</v>
      </c>
      <c r="D240" s="492">
        <v>184</v>
      </c>
      <c r="E240" s="492">
        <v>289</v>
      </c>
      <c r="F240" s="492">
        <v>55</v>
      </c>
      <c r="G240" s="492" t="b">
        <v>0</v>
      </c>
      <c r="H240" s="492" t="b">
        <v>0</v>
      </c>
      <c r="I240" s="492">
        <v>10</v>
      </c>
      <c r="J240" s="492" t="b">
        <v>0</v>
      </c>
      <c r="K240" s="492">
        <v>160</v>
      </c>
      <c r="L240" s="492" t="s">
        <v>1013</v>
      </c>
      <c r="M240" s="492" t="s">
        <v>1296</v>
      </c>
      <c r="N240" s="492" t="s">
        <v>2</v>
      </c>
      <c r="O240" s="492">
        <v>160</v>
      </c>
      <c r="P240" s="492" t="s">
        <v>109</v>
      </c>
      <c r="Q240" s="492">
        <v>3</v>
      </c>
      <c r="R240" s="492"/>
      <c r="S240" s="492"/>
      <c r="T240" s="492"/>
      <c r="U240" s="492"/>
      <c r="V240" s="495">
        <v>45871</v>
      </c>
      <c r="W240" s="492"/>
      <c r="X240" s="492"/>
      <c r="Y240" s="492">
        <v>391105</v>
      </c>
      <c r="Z240" s="492">
        <v>8185969</v>
      </c>
      <c r="AA240" s="492">
        <v>10116.6897067516</v>
      </c>
      <c r="AB240" s="492">
        <v>10959.5192377353</v>
      </c>
      <c r="AC240" s="492">
        <v>6</v>
      </c>
      <c r="AD240" s="492">
        <v>23443</v>
      </c>
      <c r="AE240" s="492" t="s">
        <v>1297</v>
      </c>
      <c r="AF240" s="492" t="s">
        <v>1298</v>
      </c>
      <c r="AG240" s="492" t="s">
        <v>1299</v>
      </c>
      <c r="AH240" s="492" t="s">
        <v>1300</v>
      </c>
      <c r="AI240" s="492">
        <v>1</v>
      </c>
      <c r="AJ240" s="492" t="s">
        <v>1301</v>
      </c>
      <c r="AK240" s="492" t="s">
        <v>1302</v>
      </c>
      <c r="AL240" s="492"/>
      <c r="AM240" s="492"/>
      <c r="AN240" s="492"/>
      <c r="AO240" s="492"/>
      <c r="AP240" s="492"/>
      <c r="AQ240" s="492"/>
      <c r="AR240" s="492"/>
      <c r="AS240" s="492"/>
      <c r="AT240" s="492"/>
      <c r="AU240" s="492"/>
      <c r="AV240" s="492"/>
      <c r="AW240" s="492"/>
      <c r="AX240" s="492"/>
      <c r="AY240" s="492"/>
      <c r="AZ240" s="492"/>
      <c r="BA240" s="492"/>
      <c r="BB240" s="493">
        <v>32303</v>
      </c>
      <c r="BC240" s="494">
        <v>0.375</v>
      </c>
      <c r="BD240" s="493">
        <v>47989</v>
      </c>
      <c r="BE240" s="494">
        <v>0.99998842592592596</v>
      </c>
      <c r="BF240" s="493">
        <v>32639</v>
      </c>
      <c r="BG240" s="494">
        <v>0</v>
      </c>
      <c r="BH240" s="492" t="s">
        <v>1303</v>
      </c>
      <c r="BI240" s="492">
        <v>597.20000000000005</v>
      </c>
      <c r="BJ240" s="492" t="s">
        <v>1304</v>
      </c>
      <c r="BK240" s="492"/>
      <c r="BL240" s="493">
        <v>45551</v>
      </c>
      <c r="BM240" s="492" t="s">
        <v>1305</v>
      </c>
      <c r="BN240" s="492" t="s">
        <v>1301</v>
      </c>
      <c r="BO240" s="492">
        <v>0.16432140619605901</v>
      </c>
      <c r="BP240" s="492">
        <v>5.0513892581900005E-4</v>
      </c>
    </row>
    <row r="241" spans="1:68" ht="75">
      <c r="A241" s="492" t="s">
        <v>1053</v>
      </c>
      <c r="B241" s="492">
        <v>391115</v>
      </c>
      <c r="C241" s="492">
        <v>8186262</v>
      </c>
      <c r="D241" s="492">
        <v>203</v>
      </c>
      <c r="E241" s="492">
        <v>289</v>
      </c>
      <c r="F241" s="492">
        <v>60</v>
      </c>
      <c r="G241" s="492" t="b">
        <v>0</v>
      </c>
      <c r="H241" s="492" t="b">
        <v>0</v>
      </c>
      <c r="I241" s="492">
        <v>10</v>
      </c>
      <c r="J241" s="492" t="b">
        <v>0</v>
      </c>
      <c r="K241" s="492">
        <v>100</v>
      </c>
      <c r="L241" s="492" t="s">
        <v>1013</v>
      </c>
      <c r="M241" s="492" t="s">
        <v>1308</v>
      </c>
      <c r="N241" s="492" t="s">
        <v>2</v>
      </c>
      <c r="O241" s="492">
        <v>100</v>
      </c>
      <c r="P241" s="492" t="s">
        <v>109</v>
      </c>
      <c r="Q241" s="492">
        <v>3</v>
      </c>
      <c r="R241" s="492"/>
      <c r="S241" s="492"/>
      <c r="T241" s="492"/>
      <c r="U241" s="492"/>
      <c r="V241" s="492"/>
      <c r="W241" s="492" t="s">
        <v>1342</v>
      </c>
      <c r="X241" s="492"/>
      <c r="Y241" s="492">
        <v>391115</v>
      </c>
      <c r="Z241" s="492">
        <v>8186262</v>
      </c>
      <c r="AA241" s="492">
        <v>10031.2718858392</v>
      </c>
      <c r="AB241" s="492">
        <v>11240.059755370899</v>
      </c>
      <c r="AC241" s="492">
        <v>6</v>
      </c>
      <c r="AD241" s="492">
        <v>23443</v>
      </c>
      <c r="AE241" s="492" t="s">
        <v>1297</v>
      </c>
      <c r="AF241" s="492" t="s">
        <v>1298</v>
      </c>
      <c r="AG241" s="492" t="s">
        <v>1299</v>
      </c>
      <c r="AH241" s="492" t="s">
        <v>1300</v>
      </c>
      <c r="AI241" s="492">
        <v>1</v>
      </c>
      <c r="AJ241" s="492" t="s">
        <v>1301</v>
      </c>
      <c r="AK241" s="492" t="s">
        <v>1302</v>
      </c>
      <c r="AL241" s="492"/>
      <c r="AM241" s="492"/>
      <c r="AN241" s="492"/>
      <c r="AO241" s="492"/>
      <c r="AP241" s="492"/>
      <c r="AQ241" s="492"/>
      <c r="AR241" s="492"/>
      <c r="AS241" s="492"/>
      <c r="AT241" s="492"/>
      <c r="AU241" s="492"/>
      <c r="AV241" s="492"/>
      <c r="AW241" s="492"/>
      <c r="AX241" s="492"/>
      <c r="AY241" s="492"/>
      <c r="AZ241" s="492"/>
      <c r="BA241" s="492"/>
      <c r="BB241" s="493">
        <v>32303</v>
      </c>
      <c r="BC241" s="494">
        <v>0.375</v>
      </c>
      <c r="BD241" s="493">
        <v>47989</v>
      </c>
      <c r="BE241" s="494">
        <v>0.99998842592592596</v>
      </c>
      <c r="BF241" s="493">
        <v>32639</v>
      </c>
      <c r="BG241" s="494">
        <v>0</v>
      </c>
      <c r="BH241" s="492" t="s">
        <v>1303</v>
      </c>
      <c r="BI241" s="492">
        <v>597.20000000000005</v>
      </c>
      <c r="BJ241" s="492" t="s">
        <v>1304</v>
      </c>
      <c r="BK241" s="492"/>
      <c r="BL241" s="493">
        <v>45551</v>
      </c>
      <c r="BM241" s="492" t="s">
        <v>1305</v>
      </c>
      <c r="BN241" s="492" t="s">
        <v>1301</v>
      </c>
      <c r="BO241" s="492">
        <v>0.16432140619605901</v>
      </c>
      <c r="BP241" s="492">
        <v>5.0513892581900005E-4</v>
      </c>
    </row>
    <row r="242" spans="1:68" ht="75">
      <c r="A242" s="492" t="s">
        <v>1058</v>
      </c>
      <c r="B242" s="492">
        <v>391124</v>
      </c>
      <c r="C242" s="492">
        <v>8186174</v>
      </c>
      <c r="D242" s="492">
        <v>187</v>
      </c>
      <c r="E242" s="492">
        <v>289</v>
      </c>
      <c r="F242" s="492">
        <v>60</v>
      </c>
      <c r="G242" s="492" t="b">
        <v>0</v>
      </c>
      <c r="H242" s="492" t="b">
        <v>0</v>
      </c>
      <c r="I242" s="492">
        <v>10</v>
      </c>
      <c r="J242" s="492" t="b">
        <v>0</v>
      </c>
      <c r="K242" s="492">
        <v>150</v>
      </c>
      <c r="L242" s="492" t="s">
        <v>1013</v>
      </c>
      <c r="M242" s="492" t="s">
        <v>1308</v>
      </c>
      <c r="N242" s="492" t="s">
        <v>2</v>
      </c>
      <c r="O242" s="492">
        <v>150</v>
      </c>
      <c r="P242" s="492" t="s">
        <v>109</v>
      </c>
      <c r="Q242" s="492">
        <v>3</v>
      </c>
      <c r="R242" s="492"/>
      <c r="S242" s="492"/>
      <c r="T242" s="492"/>
      <c r="U242" s="492"/>
      <c r="V242" s="492"/>
      <c r="W242" s="492"/>
      <c r="X242" s="492"/>
      <c r="Y242" s="492">
        <v>391124</v>
      </c>
      <c r="Z242" s="492">
        <v>8186174</v>
      </c>
      <c r="AA242" s="492">
        <v>10068.286702662201</v>
      </c>
      <c r="AB242" s="492">
        <v>11159.6889123823</v>
      </c>
      <c r="AC242" s="492">
        <v>6</v>
      </c>
      <c r="AD242" s="492">
        <v>23443</v>
      </c>
      <c r="AE242" s="492" t="s">
        <v>1297</v>
      </c>
      <c r="AF242" s="492" t="s">
        <v>1298</v>
      </c>
      <c r="AG242" s="492" t="s">
        <v>1299</v>
      </c>
      <c r="AH242" s="492" t="s">
        <v>1300</v>
      </c>
      <c r="AI242" s="492">
        <v>1</v>
      </c>
      <c r="AJ242" s="492" t="s">
        <v>1301</v>
      </c>
      <c r="AK242" s="492" t="s">
        <v>1302</v>
      </c>
      <c r="AL242" s="492"/>
      <c r="AM242" s="492"/>
      <c r="AN242" s="492"/>
      <c r="AO242" s="492"/>
      <c r="AP242" s="492"/>
      <c r="AQ242" s="492"/>
      <c r="AR242" s="492"/>
      <c r="AS242" s="492"/>
      <c r="AT242" s="492"/>
      <c r="AU242" s="492"/>
      <c r="AV242" s="492"/>
      <c r="AW242" s="492"/>
      <c r="AX242" s="492"/>
      <c r="AY242" s="492"/>
      <c r="AZ242" s="492"/>
      <c r="BA242" s="492"/>
      <c r="BB242" s="493">
        <v>32303</v>
      </c>
      <c r="BC242" s="494">
        <v>0.375</v>
      </c>
      <c r="BD242" s="493">
        <v>47989</v>
      </c>
      <c r="BE242" s="494">
        <v>0.99998842592592596</v>
      </c>
      <c r="BF242" s="493">
        <v>32639</v>
      </c>
      <c r="BG242" s="494">
        <v>0</v>
      </c>
      <c r="BH242" s="492" t="s">
        <v>1303</v>
      </c>
      <c r="BI242" s="492">
        <v>597.20000000000005</v>
      </c>
      <c r="BJ242" s="492" t="s">
        <v>1304</v>
      </c>
      <c r="BK242" s="492"/>
      <c r="BL242" s="493">
        <v>45551</v>
      </c>
      <c r="BM242" s="492" t="s">
        <v>1305</v>
      </c>
      <c r="BN242" s="492" t="s">
        <v>1301</v>
      </c>
      <c r="BO242" s="492">
        <v>0.16432140619605901</v>
      </c>
      <c r="BP242" s="492">
        <v>5.0513892581900005E-4</v>
      </c>
    </row>
    <row r="243" spans="1:68" ht="75">
      <c r="A243" s="492" t="s">
        <v>753</v>
      </c>
      <c r="B243" s="492">
        <v>391127</v>
      </c>
      <c r="C243" s="492">
        <v>8186004</v>
      </c>
      <c r="D243" s="492">
        <v>181</v>
      </c>
      <c r="E243" s="492">
        <v>289</v>
      </c>
      <c r="F243" s="492">
        <v>60</v>
      </c>
      <c r="G243" s="492" t="b">
        <v>0</v>
      </c>
      <c r="H243" s="492" t="b">
        <v>0</v>
      </c>
      <c r="I243" s="492">
        <v>10</v>
      </c>
      <c r="J243" s="492" t="b">
        <v>0</v>
      </c>
      <c r="K243" s="492">
        <v>180</v>
      </c>
      <c r="L243" s="492" t="s">
        <v>1013</v>
      </c>
      <c r="M243" s="492" t="s">
        <v>1296</v>
      </c>
      <c r="N243" s="492" t="s">
        <v>2</v>
      </c>
      <c r="O243" s="492">
        <v>180</v>
      </c>
      <c r="P243" s="492" t="s">
        <v>109</v>
      </c>
      <c r="Q243" s="492">
        <v>3</v>
      </c>
      <c r="R243" s="492"/>
      <c r="S243" s="492"/>
      <c r="T243" s="492"/>
      <c r="U243" s="492"/>
      <c r="V243" s="495">
        <v>45878</v>
      </c>
      <c r="W243" s="492"/>
      <c r="X243" s="492"/>
      <c r="Y243" s="492">
        <v>391127</v>
      </c>
      <c r="Z243" s="492">
        <v>8186004</v>
      </c>
      <c r="AA243" s="492">
        <v>10126.176999466001</v>
      </c>
      <c r="AB243" s="492">
        <v>10999.7683268282</v>
      </c>
      <c r="AC243" s="492">
        <v>6</v>
      </c>
      <c r="AD243" s="492">
        <v>23443</v>
      </c>
      <c r="AE243" s="492" t="s">
        <v>1297</v>
      </c>
      <c r="AF243" s="492" t="s">
        <v>1298</v>
      </c>
      <c r="AG243" s="492" t="s">
        <v>1299</v>
      </c>
      <c r="AH243" s="492" t="s">
        <v>1300</v>
      </c>
      <c r="AI243" s="492">
        <v>1</v>
      </c>
      <c r="AJ243" s="492" t="s">
        <v>1301</v>
      </c>
      <c r="AK243" s="492" t="s">
        <v>1302</v>
      </c>
      <c r="AL243" s="492"/>
      <c r="AM243" s="492"/>
      <c r="AN243" s="492"/>
      <c r="AO243" s="492"/>
      <c r="AP243" s="492"/>
      <c r="AQ243" s="492"/>
      <c r="AR243" s="492"/>
      <c r="AS243" s="492"/>
      <c r="AT243" s="492"/>
      <c r="AU243" s="492"/>
      <c r="AV243" s="492"/>
      <c r="AW243" s="492"/>
      <c r="AX243" s="492"/>
      <c r="AY243" s="492"/>
      <c r="AZ243" s="492"/>
      <c r="BA243" s="492"/>
      <c r="BB243" s="493">
        <v>32303</v>
      </c>
      <c r="BC243" s="494">
        <v>0.375</v>
      </c>
      <c r="BD243" s="493">
        <v>47989</v>
      </c>
      <c r="BE243" s="494">
        <v>0.99998842592592596</v>
      </c>
      <c r="BF243" s="493">
        <v>32639</v>
      </c>
      <c r="BG243" s="494">
        <v>0</v>
      </c>
      <c r="BH243" s="492" t="s">
        <v>1303</v>
      </c>
      <c r="BI243" s="492">
        <v>597.20000000000005</v>
      </c>
      <c r="BJ243" s="492" t="s">
        <v>1304</v>
      </c>
      <c r="BK243" s="492"/>
      <c r="BL243" s="493">
        <v>45551</v>
      </c>
      <c r="BM243" s="492" t="s">
        <v>1305</v>
      </c>
      <c r="BN243" s="492" t="s">
        <v>1301</v>
      </c>
      <c r="BO243" s="492">
        <v>0.16432140619605901</v>
      </c>
      <c r="BP243" s="492">
        <v>5.0513892581900005E-4</v>
      </c>
    </row>
    <row r="244" spans="1:68" ht="75">
      <c r="A244" s="492" t="s">
        <v>1056</v>
      </c>
      <c r="B244" s="492">
        <v>391128</v>
      </c>
      <c r="C244" s="492">
        <v>8186215</v>
      </c>
      <c r="D244" s="492">
        <v>190</v>
      </c>
      <c r="E244" s="492">
        <v>289</v>
      </c>
      <c r="F244" s="492">
        <v>60</v>
      </c>
      <c r="G244" s="492" t="b">
        <v>0</v>
      </c>
      <c r="H244" s="492" t="b">
        <v>0</v>
      </c>
      <c r="I244" s="492">
        <v>10</v>
      </c>
      <c r="J244" s="492" t="b">
        <v>0</v>
      </c>
      <c r="K244" s="492">
        <v>120</v>
      </c>
      <c r="L244" s="492" t="s">
        <v>1013</v>
      </c>
      <c r="M244" s="492" t="s">
        <v>1308</v>
      </c>
      <c r="N244" s="492" t="s">
        <v>2</v>
      </c>
      <c r="O244" s="492">
        <v>120</v>
      </c>
      <c r="P244" s="492" t="s">
        <v>109</v>
      </c>
      <c r="Q244" s="492">
        <v>3</v>
      </c>
      <c r="R244" s="492"/>
      <c r="S244" s="492"/>
      <c r="T244" s="492"/>
      <c r="U244" s="492"/>
      <c r="V244" s="492"/>
      <c r="W244" s="492"/>
      <c r="X244" s="492"/>
      <c r="Y244" s="492">
        <v>391128</v>
      </c>
      <c r="Z244" s="492">
        <v>8186215</v>
      </c>
      <c r="AA244" s="492">
        <v>10058.795386637499</v>
      </c>
      <c r="AB244" s="492">
        <v>11199.7876132242</v>
      </c>
      <c r="AC244" s="492">
        <v>6</v>
      </c>
      <c r="AD244" s="492">
        <v>23443</v>
      </c>
      <c r="AE244" s="492" t="s">
        <v>1297</v>
      </c>
      <c r="AF244" s="492" t="s">
        <v>1298</v>
      </c>
      <c r="AG244" s="492" t="s">
        <v>1299</v>
      </c>
      <c r="AH244" s="492" t="s">
        <v>1300</v>
      </c>
      <c r="AI244" s="492">
        <v>1</v>
      </c>
      <c r="AJ244" s="492" t="s">
        <v>1301</v>
      </c>
      <c r="AK244" s="492" t="s">
        <v>1302</v>
      </c>
      <c r="AL244" s="492"/>
      <c r="AM244" s="492"/>
      <c r="AN244" s="492"/>
      <c r="AO244" s="492"/>
      <c r="AP244" s="492"/>
      <c r="AQ244" s="492"/>
      <c r="AR244" s="492"/>
      <c r="AS244" s="492"/>
      <c r="AT244" s="492"/>
      <c r="AU244" s="492"/>
      <c r="AV244" s="492"/>
      <c r="AW244" s="492"/>
      <c r="AX244" s="492"/>
      <c r="AY244" s="492"/>
      <c r="AZ244" s="492"/>
      <c r="BA244" s="492"/>
      <c r="BB244" s="493">
        <v>32303</v>
      </c>
      <c r="BC244" s="494">
        <v>0.375</v>
      </c>
      <c r="BD244" s="493">
        <v>47989</v>
      </c>
      <c r="BE244" s="494">
        <v>0.99998842592592596</v>
      </c>
      <c r="BF244" s="493">
        <v>32639</v>
      </c>
      <c r="BG244" s="494">
        <v>0</v>
      </c>
      <c r="BH244" s="492" t="s">
        <v>1303</v>
      </c>
      <c r="BI244" s="492">
        <v>597.20000000000005</v>
      </c>
      <c r="BJ244" s="492" t="s">
        <v>1304</v>
      </c>
      <c r="BK244" s="492"/>
      <c r="BL244" s="493">
        <v>45551</v>
      </c>
      <c r="BM244" s="492" t="s">
        <v>1305</v>
      </c>
      <c r="BN244" s="492" t="s">
        <v>1301</v>
      </c>
      <c r="BO244" s="492">
        <v>0.16432140619605901</v>
      </c>
      <c r="BP244" s="492">
        <v>5.0513892581900005E-4</v>
      </c>
    </row>
    <row r="245" spans="1:68" ht="75">
      <c r="A245" s="492" t="s">
        <v>754</v>
      </c>
      <c r="B245" s="492">
        <v>391132</v>
      </c>
      <c r="C245" s="492">
        <v>8185960</v>
      </c>
      <c r="D245" s="492">
        <v>181</v>
      </c>
      <c r="E245" s="492">
        <v>289</v>
      </c>
      <c r="F245" s="492">
        <v>55</v>
      </c>
      <c r="G245" s="492" t="b">
        <v>0</v>
      </c>
      <c r="H245" s="492" t="b">
        <v>0</v>
      </c>
      <c r="I245" s="492">
        <v>10</v>
      </c>
      <c r="J245" s="492" t="b">
        <v>0</v>
      </c>
      <c r="K245" s="492">
        <v>200</v>
      </c>
      <c r="L245" s="492" t="s">
        <v>1013</v>
      </c>
      <c r="M245" s="492" t="s">
        <v>1296</v>
      </c>
      <c r="N245" s="492" t="s">
        <v>2</v>
      </c>
      <c r="O245" s="492">
        <v>200</v>
      </c>
      <c r="P245" s="492" t="s">
        <v>109</v>
      </c>
      <c r="Q245" s="492">
        <v>3</v>
      </c>
      <c r="R245" s="492"/>
      <c r="S245" s="492"/>
      <c r="T245" s="492"/>
      <c r="U245" s="492"/>
      <c r="V245" s="495">
        <v>45876</v>
      </c>
      <c r="W245" s="492"/>
      <c r="X245" s="492"/>
      <c r="Y245" s="492">
        <v>391132</v>
      </c>
      <c r="Z245" s="492">
        <v>8185960</v>
      </c>
      <c r="AA245" s="492">
        <v>10145.15761986</v>
      </c>
      <c r="AB245" s="492">
        <v>10959.7448201151</v>
      </c>
      <c r="AC245" s="492">
        <v>6</v>
      </c>
      <c r="AD245" s="492">
        <v>23443</v>
      </c>
      <c r="AE245" s="492" t="s">
        <v>1297</v>
      </c>
      <c r="AF245" s="492" t="s">
        <v>1298</v>
      </c>
      <c r="AG245" s="492" t="s">
        <v>1299</v>
      </c>
      <c r="AH245" s="492" t="s">
        <v>1300</v>
      </c>
      <c r="AI245" s="492">
        <v>1</v>
      </c>
      <c r="AJ245" s="492" t="s">
        <v>1301</v>
      </c>
      <c r="AK245" s="492" t="s">
        <v>1302</v>
      </c>
      <c r="AL245" s="492"/>
      <c r="AM245" s="492"/>
      <c r="AN245" s="492"/>
      <c r="AO245" s="492"/>
      <c r="AP245" s="492"/>
      <c r="AQ245" s="492"/>
      <c r="AR245" s="492"/>
      <c r="AS245" s="492"/>
      <c r="AT245" s="492"/>
      <c r="AU245" s="492"/>
      <c r="AV245" s="492"/>
      <c r="AW245" s="492"/>
      <c r="AX245" s="492"/>
      <c r="AY245" s="492"/>
      <c r="AZ245" s="492"/>
      <c r="BA245" s="492"/>
      <c r="BB245" s="493">
        <v>32303</v>
      </c>
      <c r="BC245" s="494">
        <v>0.375</v>
      </c>
      <c r="BD245" s="493">
        <v>47989</v>
      </c>
      <c r="BE245" s="494">
        <v>0.99998842592592596</v>
      </c>
      <c r="BF245" s="493">
        <v>32639</v>
      </c>
      <c r="BG245" s="494">
        <v>0</v>
      </c>
      <c r="BH245" s="492" t="s">
        <v>1303</v>
      </c>
      <c r="BI245" s="492">
        <v>597.20000000000005</v>
      </c>
      <c r="BJ245" s="492" t="s">
        <v>1304</v>
      </c>
      <c r="BK245" s="492"/>
      <c r="BL245" s="493">
        <v>45551</v>
      </c>
      <c r="BM245" s="492" t="s">
        <v>1305</v>
      </c>
      <c r="BN245" s="492" t="s">
        <v>1301</v>
      </c>
      <c r="BO245" s="492">
        <v>0.16432140619605901</v>
      </c>
      <c r="BP245" s="492">
        <v>5.0513892581900005E-4</v>
      </c>
    </row>
    <row r="246" spans="1:68" ht="75">
      <c r="A246" s="492" t="s">
        <v>1051</v>
      </c>
      <c r="B246" s="492">
        <v>391142</v>
      </c>
      <c r="C246" s="492">
        <v>8186295</v>
      </c>
      <c r="D246" s="492">
        <v>198</v>
      </c>
      <c r="E246" s="492">
        <v>289</v>
      </c>
      <c r="F246" s="492">
        <v>60</v>
      </c>
      <c r="G246" s="492" t="b">
        <v>0</v>
      </c>
      <c r="H246" s="492" t="b">
        <v>0</v>
      </c>
      <c r="I246" s="492">
        <v>10</v>
      </c>
      <c r="J246" s="492" t="b">
        <v>0</v>
      </c>
      <c r="K246" s="492">
        <v>110</v>
      </c>
      <c r="L246" s="492" t="s">
        <v>1013</v>
      </c>
      <c r="M246" s="492" t="s">
        <v>1308</v>
      </c>
      <c r="N246" s="492" t="s">
        <v>2</v>
      </c>
      <c r="O246" s="492">
        <v>110</v>
      </c>
      <c r="P246" s="492" t="s">
        <v>109</v>
      </c>
      <c r="Q246" s="492">
        <v>3</v>
      </c>
      <c r="R246" s="492"/>
      <c r="S246" s="492"/>
      <c r="T246" s="492"/>
      <c r="U246" s="492"/>
      <c r="V246" s="492"/>
      <c r="W246" s="492"/>
      <c r="X246" s="492"/>
      <c r="Y246" s="492">
        <v>391142</v>
      </c>
      <c r="Z246" s="492">
        <v>8186295</v>
      </c>
      <c r="AA246" s="492">
        <v>10046.1389575013</v>
      </c>
      <c r="AB246" s="492">
        <v>11280.035144323399</v>
      </c>
      <c r="AC246" s="492">
        <v>6</v>
      </c>
      <c r="AD246" s="492">
        <v>23443</v>
      </c>
      <c r="AE246" s="492" t="s">
        <v>1297</v>
      </c>
      <c r="AF246" s="492" t="s">
        <v>1298</v>
      </c>
      <c r="AG246" s="492" t="s">
        <v>1299</v>
      </c>
      <c r="AH246" s="492" t="s">
        <v>1300</v>
      </c>
      <c r="AI246" s="492">
        <v>1</v>
      </c>
      <c r="AJ246" s="492" t="s">
        <v>1301</v>
      </c>
      <c r="AK246" s="492" t="s">
        <v>1302</v>
      </c>
      <c r="AL246" s="492"/>
      <c r="AM246" s="492"/>
      <c r="AN246" s="492"/>
      <c r="AO246" s="492"/>
      <c r="AP246" s="492"/>
      <c r="AQ246" s="492"/>
      <c r="AR246" s="492"/>
      <c r="AS246" s="492"/>
      <c r="AT246" s="492"/>
      <c r="AU246" s="492"/>
      <c r="AV246" s="492"/>
      <c r="AW246" s="492"/>
      <c r="AX246" s="492"/>
      <c r="AY246" s="492"/>
      <c r="AZ246" s="492"/>
      <c r="BA246" s="492"/>
      <c r="BB246" s="493">
        <v>32303</v>
      </c>
      <c r="BC246" s="494">
        <v>0.375</v>
      </c>
      <c r="BD246" s="493">
        <v>47989</v>
      </c>
      <c r="BE246" s="494">
        <v>0.99998842592592596</v>
      </c>
      <c r="BF246" s="493">
        <v>32639</v>
      </c>
      <c r="BG246" s="494">
        <v>0</v>
      </c>
      <c r="BH246" s="492" t="s">
        <v>1303</v>
      </c>
      <c r="BI246" s="492">
        <v>597.20000000000005</v>
      </c>
      <c r="BJ246" s="492" t="s">
        <v>1304</v>
      </c>
      <c r="BK246" s="492"/>
      <c r="BL246" s="493">
        <v>45551</v>
      </c>
      <c r="BM246" s="492" t="s">
        <v>1305</v>
      </c>
      <c r="BN246" s="492" t="s">
        <v>1301</v>
      </c>
      <c r="BO246" s="492">
        <v>0.16432140619605901</v>
      </c>
      <c r="BP246" s="492">
        <v>5.0513892581900005E-4</v>
      </c>
    </row>
    <row r="247" spans="1:68" ht="75">
      <c r="A247" s="492" t="s">
        <v>347</v>
      </c>
      <c r="B247" s="492">
        <v>391041</v>
      </c>
      <c r="C247" s="492">
        <v>8185914</v>
      </c>
      <c r="D247" s="492">
        <v>184</v>
      </c>
      <c r="E247" s="492">
        <v>289</v>
      </c>
      <c r="F247" s="492">
        <v>55</v>
      </c>
      <c r="G247" s="492" t="b">
        <v>0</v>
      </c>
      <c r="H247" s="492" t="b">
        <v>0</v>
      </c>
      <c r="I247" s="492">
        <v>10</v>
      </c>
      <c r="J247" s="492" t="b">
        <v>0</v>
      </c>
      <c r="K247" s="492">
        <v>105</v>
      </c>
      <c r="L247" s="492" t="s">
        <v>1306</v>
      </c>
      <c r="M247" s="492" t="s">
        <v>1296</v>
      </c>
      <c r="N247" s="492" t="s">
        <v>1</v>
      </c>
      <c r="O247" s="492">
        <v>105</v>
      </c>
      <c r="P247" s="492" t="s">
        <v>11</v>
      </c>
      <c r="Q247" s="492">
        <v>1</v>
      </c>
      <c r="R247" s="492"/>
      <c r="S247" s="492"/>
      <c r="T247" s="492"/>
      <c r="U247" s="492"/>
      <c r="V247" s="495">
        <v>45845</v>
      </c>
      <c r="W247" s="492"/>
      <c r="X247" s="492"/>
      <c r="Y247" s="492">
        <v>391041</v>
      </c>
      <c r="Z247" s="492">
        <v>8185914</v>
      </c>
      <c r="AA247" s="492">
        <v>10073.929198621299</v>
      </c>
      <c r="AB247" s="492">
        <v>10886.740827870501</v>
      </c>
      <c r="AC247" s="492">
        <v>6</v>
      </c>
      <c r="AD247" s="492">
        <v>23443</v>
      </c>
      <c r="AE247" s="492" t="s">
        <v>1297</v>
      </c>
      <c r="AF247" s="492" t="s">
        <v>1298</v>
      </c>
      <c r="AG247" s="492" t="s">
        <v>1299</v>
      </c>
      <c r="AH247" s="492" t="s">
        <v>1300</v>
      </c>
      <c r="AI247" s="492">
        <v>1</v>
      </c>
      <c r="AJ247" s="492" t="s">
        <v>1301</v>
      </c>
      <c r="AK247" s="492" t="s">
        <v>1302</v>
      </c>
      <c r="AL247" s="492"/>
      <c r="AM247" s="492"/>
      <c r="AN247" s="492"/>
      <c r="AO247" s="492"/>
      <c r="AP247" s="492"/>
      <c r="AQ247" s="492"/>
      <c r="AR247" s="492"/>
      <c r="AS247" s="492"/>
      <c r="AT247" s="492"/>
      <c r="AU247" s="492"/>
      <c r="AV247" s="492"/>
      <c r="AW247" s="492"/>
      <c r="AX247" s="492"/>
      <c r="AY247" s="492"/>
      <c r="AZ247" s="492"/>
      <c r="BA247" s="492"/>
      <c r="BB247" s="493">
        <v>32303</v>
      </c>
      <c r="BC247" s="494">
        <v>0.375</v>
      </c>
      <c r="BD247" s="493">
        <v>47989</v>
      </c>
      <c r="BE247" s="494">
        <v>0.99998842592592596</v>
      </c>
      <c r="BF247" s="493">
        <v>32639</v>
      </c>
      <c r="BG247" s="494">
        <v>0</v>
      </c>
      <c r="BH247" s="492" t="s">
        <v>1303</v>
      </c>
      <c r="BI247" s="492">
        <v>597.20000000000005</v>
      </c>
      <c r="BJ247" s="492" t="s">
        <v>1304</v>
      </c>
      <c r="BK247" s="492"/>
      <c r="BL247" s="493">
        <v>45551</v>
      </c>
      <c r="BM247" s="492" t="s">
        <v>1305</v>
      </c>
      <c r="BN247" s="492" t="s">
        <v>1301</v>
      </c>
      <c r="BO247" s="492">
        <v>0.16432140619605901</v>
      </c>
      <c r="BP247" s="492">
        <v>5.0513892581900005E-4</v>
      </c>
    </row>
    <row r="248" spans="1:68" ht="75">
      <c r="A248" s="492" t="s">
        <v>424</v>
      </c>
      <c r="B248" s="492">
        <v>391045</v>
      </c>
      <c r="C248" s="492">
        <v>8185915</v>
      </c>
      <c r="D248" s="492">
        <v>184</v>
      </c>
      <c r="E248" s="492">
        <v>110</v>
      </c>
      <c r="F248" s="492">
        <v>65</v>
      </c>
      <c r="G248" s="492" t="b">
        <v>0</v>
      </c>
      <c r="H248" s="492" t="b">
        <v>0</v>
      </c>
      <c r="I248" s="492">
        <v>10</v>
      </c>
      <c r="J248" s="492" t="b">
        <v>0</v>
      </c>
      <c r="K248" s="492">
        <v>120</v>
      </c>
      <c r="L248" s="492" t="s">
        <v>1313</v>
      </c>
      <c r="M248" s="492" t="s">
        <v>1296</v>
      </c>
      <c r="N248" s="492" t="s">
        <v>1</v>
      </c>
      <c r="O248" s="492">
        <v>120</v>
      </c>
      <c r="P248" s="492" t="s">
        <v>9</v>
      </c>
      <c r="Q248" s="492">
        <v>1</v>
      </c>
      <c r="R248" s="492"/>
      <c r="S248" s="492"/>
      <c r="T248" s="492"/>
      <c r="U248" s="492"/>
      <c r="V248" s="492"/>
      <c r="W248" s="492"/>
      <c r="X248" s="492"/>
      <c r="Y248" s="492">
        <v>391045</v>
      </c>
      <c r="Z248" s="492">
        <v>8185915</v>
      </c>
      <c r="AA248" s="492">
        <v>10077.3910649269</v>
      </c>
      <c r="AB248" s="492">
        <v>10888.9825700698</v>
      </c>
      <c r="AC248" s="492">
        <v>6</v>
      </c>
      <c r="AD248" s="492">
        <v>23443</v>
      </c>
      <c r="AE248" s="492" t="s">
        <v>1297</v>
      </c>
      <c r="AF248" s="492" t="s">
        <v>1298</v>
      </c>
      <c r="AG248" s="492" t="s">
        <v>1299</v>
      </c>
      <c r="AH248" s="492" t="s">
        <v>1300</v>
      </c>
      <c r="AI248" s="492">
        <v>1</v>
      </c>
      <c r="AJ248" s="492" t="s">
        <v>1301</v>
      </c>
      <c r="AK248" s="492" t="s">
        <v>1302</v>
      </c>
      <c r="AL248" s="492"/>
      <c r="AM248" s="492"/>
      <c r="AN248" s="492"/>
      <c r="AO248" s="492"/>
      <c r="AP248" s="492"/>
      <c r="AQ248" s="492"/>
      <c r="AR248" s="492"/>
      <c r="AS248" s="492"/>
      <c r="AT248" s="492"/>
      <c r="AU248" s="492"/>
      <c r="AV248" s="492"/>
      <c r="AW248" s="492"/>
      <c r="AX248" s="492"/>
      <c r="AY248" s="492"/>
      <c r="AZ248" s="492"/>
      <c r="BA248" s="492"/>
      <c r="BB248" s="493">
        <v>32303</v>
      </c>
      <c r="BC248" s="494">
        <v>0.375</v>
      </c>
      <c r="BD248" s="493">
        <v>47989</v>
      </c>
      <c r="BE248" s="494">
        <v>0.99998842592592596</v>
      </c>
      <c r="BF248" s="493">
        <v>32639</v>
      </c>
      <c r="BG248" s="494">
        <v>0</v>
      </c>
      <c r="BH248" s="492" t="s">
        <v>1303</v>
      </c>
      <c r="BI248" s="492">
        <v>597.20000000000005</v>
      </c>
      <c r="BJ248" s="492" t="s">
        <v>1304</v>
      </c>
      <c r="BK248" s="492"/>
      <c r="BL248" s="493">
        <v>45551</v>
      </c>
      <c r="BM248" s="492" t="s">
        <v>1305</v>
      </c>
      <c r="BN248" s="492" t="s">
        <v>1301</v>
      </c>
      <c r="BO248" s="492">
        <v>0.16432140619605901</v>
      </c>
      <c r="BP248" s="492">
        <v>5.0513892581900005E-4</v>
      </c>
    </row>
    <row r="249" spans="1:68" ht="75">
      <c r="A249" s="492" t="s">
        <v>1063</v>
      </c>
      <c r="B249" s="492">
        <v>391050</v>
      </c>
      <c r="C249" s="492">
        <v>8186115</v>
      </c>
      <c r="D249" s="492">
        <v>197</v>
      </c>
      <c r="E249" s="492">
        <v>289</v>
      </c>
      <c r="F249" s="492">
        <v>55</v>
      </c>
      <c r="G249" s="492" t="b">
        <v>0</v>
      </c>
      <c r="H249" s="492" t="b">
        <v>0</v>
      </c>
      <c r="I249" s="492">
        <v>10</v>
      </c>
      <c r="J249" s="492" t="b">
        <v>0</v>
      </c>
      <c r="K249" s="492">
        <v>120</v>
      </c>
      <c r="L249" s="492" t="s">
        <v>1013</v>
      </c>
      <c r="M249" s="492" t="s">
        <v>1312</v>
      </c>
      <c r="N249" s="492" t="s">
        <v>2</v>
      </c>
      <c r="O249" s="492">
        <v>120</v>
      </c>
      <c r="P249" s="492" t="s">
        <v>109</v>
      </c>
      <c r="Q249" s="492">
        <v>3</v>
      </c>
      <c r="R249" s="492"/>
      <c r="S249" s="492"/>
      <c r="T249" s="492"/>
      <c r="U249" s="492"/>
      <c r="V249" s="492"/>
      <c r="W249" s="492" t="s">
        <v>1342</v>
      </c>
      <c r="X249" s="492"/>
      <c r="Y249" s="492">
        <v>391050</v>
      </c>
      <c r="Z249" s="492">
        <v>8186115</v>
      </c>
      <c r="AA249" s="492">
        <v>10017.3572731069</v>
      </c>
      <c r="AB249" s="492">
        <v>11079.8865110715</v>
      </c>
      <c r="AC249" s="492">
        <v>6</v>
      </c>
      <c r="AD249" s="492">
        <v>23443</v>
      </c>
      <c r="AE249" s="492" t="s">
        <v>1297</v>
      </c>
      <c r="AF249" s="492" t="s">
        <v>1298</v>
      </c>
      <c r="AG249" s="492" t="s">
        <v>1299</v>
      </c>
      <c r="AH249" s="492" t="s">
        <v>1300</v>
      </c>
      <c r="AI249" s="492">
        <v>1</v>
      </c>
      <c r="AJ249" s="492" t="s">
        <v>1301</v>
      </c>
      <c r="AK249" s="492" t="s">
        <v>1302</v>
      </c>
      <c r="AL249" s="492"/>
      <c r="AM249" s="492"/>
      <c r="AN249" s="492"/>
      <c r="AO249" s="492"/>
      <c r="AP249" s="492"/>
      <c r="AQ249" s="492"/>
      <c r="AR249" s="492"/>
      <c r="AS249" s="492"/>
      <c r="AT249" s="492"/>
      <c r="AU249" s="492"/>
      <c r="AV249" s="492"/>
      <c r="AW249" s="492"/>
      <c r="AX249" s="492"/>
      <c r="AY249" s="492"/>
      <c r="AZ249" s="492"/>
      <c r="BA249" s="492"/>
      <c r="BB249" s="493">
        <v>32303</v>
      </c>
      <c r="BC249" s="494">
        <v>0.375</v>
      </c>
      <c r="BD249" s="493">
        <v>47989</v>
      </c>
      <c r="BE249" s="494">
        <v>0.99998842592592596</v>
      </c>
      <c r="BF249" s="493">
        <v>32639</v>
      </c>
      <c r="BG249" s="494">
        <v>0</v>
      </c>
      <c r="BH249" s="492" t="s">
        <v>1303</v>
      </c>
      <c r="BI249" s="492">
        <v>597.20000000000005</v>
      </c>
      <c r="BJ249" s="492" t="s">
        <v>1304</v>
      </c>
      <c r="BK249" s="492"/>
      <c r="BL249" s="493">
        <v>45551</v>
      </c>
      <c r="BM249" s="492" t="s">
        <v>1305</v>
      </c>
      <c r="BN249" s="492" t="s">
        <v>1301</v>
      </c>
      <c r="BO249" s="492">
        <v>0.16432140619605901</v>
      </c>
      <c r="BP249" s="492">
        <v>5.0513892581900005E-4</v>
      </c>
    </row>
    <row r="250" spans="1:68" ht="75">
      <c r="A250" s="492" t="s">
        <v>1060</v>
      </c>
      <c r="B250" s="492">
        <v>391061</v>
      </c>
      <c r="C250" s="492">
        <v>8186153</v>
      </c>
      <c r="D250" s="492">
        <v>201</v>
      </c>
      <c r="E250" s="492">
        <v>289</v>
      </c>
      <c r="F250" s="492">
        <v>55</v>
      </c>
      <c r="G250" s="492" t="b">
        <v>0</v>
      </c>
      <c r="H250" s="492" t="b">
        <v>0</v>
      </c>
      <c r="I250" s="492">
        <v>10</v>
      </c>
      <c r="J250" s="492" t="b">
        <v>0</v>
      </c>
      <c r="K250" s="492">
        <v>110</v>
      </c>
      <c r="L250" s="492" t="s">
        <v>1013</v>
      </c>
      <c r="M250" s="492" t="s">
        <v>1312</v>
      </c>
      <c r="N250" s="492" t="s">
        <v>2</v>
      </c>
      <c r="O250" s="492">
        <v>110</v>
      </c>
      <c r="P250" s="492" t="s">
        <v>109</v>
      </c>
      <c r="Q250" s="492">
        <v>3</v>
      </c>
      <c r="R250" s="492"/>
      <c r="S250" s="492"/>
      <c r="T250" s="492"/>
      <c r="U250" s="492"/>
      <c r="V250" s="492"/>
      <c r="W250" s="492"/>
      <c r="X250" s="492"/>
      <c r="Y250" s="492">
        <v>391061</v>
      </c>
      <c r="Z250" s="492">
        <v>8186153</v>
      </c>
      <c r="AA250" s="492">
        <v>10015.462413519999</v>
      </c>
      <c r="AB250" s="492">
        <v>11119.412746923001</v>
      </c>
      <c r="AC250" s="492">
        <v>6</v>
      </c>
      <c r="AD250" s="492">
        <v>23443</v>
      </c>
      <c r="AE250" s="492" t="s">
        <v>1297</v>
      </c>
      <c r="AF250" s="492" t="s">
        <v>1298</v>
      </c>
      <c r="AG250" s="492" t="s">
        <v>1299</v>
      </c>
      <c r="AH250" s="492" t="s">
        <v>1300</v>
      </c>
      <c r="AI250" s="492">
        <v>1</v>
      </c>
      <c r="AJ250" s="492" t="s">
        <v>1301</v>
      </c>
      <c r="AK250" s="492" t="s">
        <v>1302</v>
      </c>
      <c r="AL250" s="492"/>
      <c r="AM250" s="492"/>
      <c r="AN250" s="492"/>
      <c r="AO250" s="492"/>
      <c r="AP250" s="492"/>
      <c r="AQ250" s="492"/>
      <c r="AR250" s="492"/>
      <c r="AS250" s="492"/>
      <c r="AT250" s="492"/>
      <c r="AU250" s="492"/>
      <c r="AV250" s="492"/>
      <c r="AW250" s="492"/>
      <c r="AX250" s="492"/>
      <c r="AY250" s="492"/>
      <c r="AZ250" s="492"/>
      <c r="BA250" s="492"/>
      <c r="BB250" s="493">
        <v>32303</v>
      </c>
      <c r="BC250" s="494">
        <v>0.375</v>
      </c>
      <c r="BD250" s="493">
        <v>47989</v>
      </c>
      <c r="BE250" s="494">
        <v>0.99998842592592596</v>
      </c>
      <c r="BF250" s="493">
        <v>32639</v>
      </c>
      <c r="BG250" s="494">
        <v>0</v>
      </c>
      <c r="BH250" s="492" t="s">
        <v>1303</v>
      </c>
      <c r="BI250" s="492">
        <v>597.20000000000005</v>
      </c>
      <c r="BJ250" s="492" t="s">
        <v>1304</v>
      </c>
      <c r="BK250" s="492"/>
      <c r="BL250" s="493">
        <v>45551</v>
      </c>
      <c r="BM250" s="492" t="s">
        <v>1305</v>
      </c>
      <c r="BN250" s="492" t="s">
        <v>1301</v>
      </c>
      <c r="BO250" s="492">
        <v>0.16432140619605901</v>
      </c>
      <c r="BP250" s="492">
        <v>5.0513892581900005E-4</v>
      </c>
    </row>
    <row r="251" spans="1:68" ht="75">
      <c r="A251" s="492" t="s">
        <v>343</v>
      </c>
      <c r="B251" s="492">
        <v>391073</v>
      </c>
      <c r="C251" s="492">
        <v>8186058</v>
      </c>
      <c r="D251" s="492">
        <v>188</v>
      </c>
      <c r="E251" s="492">
        <v>289</v>
      </c>
      <c r="F251" s="492">
        <v>60</v>
      </c>
      <c r="G251" s="492" t="b">
        <v>0</v>
      </c>
      <c r="H251" s="492" t="b">
        <v>0</v>
      </c>
      <c r="I251" s="492">
        <v>10</v>
      </c>
      <c r="J251" s="492" t="b">
        <v>0</v>
      </c>
      <c r="K251" s="492">
        <v>60</v>
      </c>
      <c r="L251" s="492" t="s">
        <v>1306</v>
      </c>
      <c r="M251" s="492" t="s">
        <v>1296</v>
      </c>
      <c r="N251" s="492" t="s">
        <v>1</v>
      </c>
      <c r="O251" s="492">
        <v>60</v>
      </c>
      <c r="P251" s="492" t="s">
        <v>11</v>
      </c>
      <c r="Q251" s="492">
        <v>1</v>
      </c>
      <c r="R251" s="492"/>
      <c r="S251" s="492"/>
      <c r="T251" s="492"/>
      <c r="U251" s="492"/>
      <c r="V251" s="495">
        <v>45841</v>
      </c>
      <c r="W251" s="492"/>
      <c r="X251" s="492"/>
      <c r="Y251" s="492">
        <v>391073</v>
      </c>
      <c r="Z251" s="492">
        <v>8186058</v>
      </c>
      <c r="AA251" s="492">
        <v>10057.5833091479</v>
      </c>
      <c r="AB251" s="492">
        <v>11033.388424848201</v>
      </c>
      <c r="AC251" s="492">
        <v>6</v>
      </c>
      <c r="AD251" s="492">
        <v>23443</v>
      </c>
      <c r="AE251" s="492" t="s">
        <v>1297</v>
      </c>
      <c r="AF251" s="492" t="s">
        <v>1298</v>
      </c>
      <c r="AG251" s="492" t="s">
        <v>1299</v>
      </c>
      <c r="AH251" s="492" t="s">
        <v>1300</v>
      </c>
      <c r="AI251" s="492">
        <v>1</v>
      </c>
      <c r="AJ251" s="492" t="s">
        <v>1301</v>
      </c>
      <c r="AK251" s="492" t="s">
        <v>1302</v>
      </c>
      <c r="AL251" s="492"/>
      <c r="AM251" s="492"/>
      <c r="AN251" s="492"/>
      <c r="AO251" s="492"/>
      <c r="AP251" s="492"/>
      <c r="AQ251" s="492"/>
      <c r="AR251" s="492"/>
      <c r="AS251" s="492"/>
      <c r="AT251" s="492"/>
      <c r="AU251" s="492"/>
      <c r="AV251" s="492"/>
      <c r="AW251" s="492"/>
      <c r="AX251" s="492"/>
      <c r="AY251" s="492"/>
      <c r="AZ251" s="492"/>
      <c r="BA251" s="492"/>
      <c r="BB251" s="493">
        <v>32303</v>
      </c>
      <c r="BC251" s="494">
        <v>0.375</v>
      </c>
      <c r="BD251" s="493">
        <v>47989</v>
      </c>
      <c r="BE251" s="494">
        <v>0.99998842592592596</v>
      </c>
      <c r="BF251" s="493">
        <v>32639</v>
      </c>
      <c r="BG251" s="494">
        <v>0</v>
      </c>
      <c r="BH251" s="492" t="s">
        <v>1303</v>
      </c>
      <c r="BI251" s="492">
        <v>597.20000000000005</v>
      </c>
      <c r="BJ251" s="492" t="s">
        <v>1304</v>
      </c>
      <c r="BK251" s="492"/>
      <c r="BL251" s="493">
        <v>45551</v>
      </c>
      <c r="BM251" s="492" t="s">
        <v>1305</v>
      </c>
      <c r="BN251" s="492" t="s">
        <v>1301</v>
      </c>
      <c r="BO251" s="492">
        <v>0.16432140619605901</v>
      </c>
      <c r="BP251" s="492">
        <v>5.0513892581900005E-4</v>
      </c>
    </row>
    <row r="252" spans="1:68" ht="75">
      <c r="A252" s="492" t="s">
        <v>1057</v>
      </c>
      <c r="B252" s="492">
        <v>391076</v>
      </c>
      <c r="C252" s="492">
        <v>8186190</v>
      </c>
      <c r="D252" s="492">
        <v>195</v>
      </c>
      <c r="E252" s="492">
        <v>289</v>
      </c>
      <c r="F252" s="492">
        <v>60</v>
      </c>
      <c r="G252" s="492" t="b">
        <v>0</v>
      </c>
      <c r="H252" s="492" t="b">
        <v>0</v>
      </c>
      <c r="I252" s="492">
        <v>10</v>
      </c>
      <c r="J252" s="492" t="b">
        <v>0</v>
      </c>
      <c r="K252" s="492">
        <v>110</v>
      </c>
      <c r="L252" s="492" t="s">
        <v>1013</v>
      </c>
      <c r="M252" s="492" t="s">
        <v>1308</v>
      </c>
      <c r="N252" s="492" t="s">
        <v>2</v>
      </c>
      <c r="O252" s="492">
        <v>110</v>
      </c>
      <c r="P252" s="492" t="s">
        <v>109</v>
      </c>
      <c r="Q252" s="492">
        <v>3</v>
      </c>
      <c r="R252" s="492"/>
      <c r="S252" s="492"/>
      <c r="T252" s="492"/>
      <c r="U252" s="492"/>
      <c r="V252" s="492"/>
      <c r="W252" s="492" t="s">
        <v>1342</v>
      </c>
      <c r="X252" s="492"/>
      <c r="Y252" s="492">
        <v>391076</v>
      </c>
      <c r="Z252" s="492">
        <v>8186190</v>
      </c>
      <c r="AA252" s="492">
        <v>10017.6770793572</v>
      </c>
      <c r="AB252" s="492">
        <v>11159.287877041799</v>
      </c>
      <c r="AC252" s="492">
        <v>6</v>
      </c>
      <c r="AD252" s="492">
        <v>23443</v>
      </c>
      <c r="AE252" s="492" t="s">
        <v>1297</v>
      </c>
      <c r="AF252" s="492" t="s">
        <v>1298</v>
      </c>
      <c r="AG252" s="492" t="s">
        <v>1299</v>
      </c>
      <c r="AH252" s="492" t="s">
        <v>1300</v>
      </c>
      <c r="AI252" s="492">
        <v>1</v>
      </c>
      <c r="AJ252" s="492" t="s">
        <v>1301</v>
      </c>
      <c r="AK252" s="492" t="s">
        <v>1302</v>
      </c>
      <c r="AL252" s="492"/>
      <c r="AM252" s="492"/>
      <c r="AN252" s="492"/>
      <c r="AO252" s="492"/>
      <c r="AP252" s="492"/>
      <c r="AQ252" s="492"/>
      <c r="AR252" s="492"/>
      <c r="AS252" s="492"/>
      <c r="AT252" s="492"/>
      <c r="AU252" s="492"/>
      <c r="AV252" s="492"/>
      <c r="AW252" s="492"/>
      <c r="AX252" s="492"/>
      <c r="AY252" s="492"/>
      <c r="AZ252" s="492"/>
      <c r="BA252" s="492"/>
      <c r="BB252" s="493">
        <v>32303</v>
      </c>
      <c r="BC252" s="494">
        <v>0.375</v>
      </c>
      <c r="BD252" s="493">
        <v>47989</v>
      </c>
      <c r="BE252" s="494">
        <v>0.99998842592592596</v>
      </c>
      <c r="BF252" s="493">
        <v>32639</v>
      </c>
      <c r="BG252" s="494">
        <v>0</v>
      </c>
      <c r="BH252" s="492" t="s">
        <v>1303</v>
      </c>
      <c r="BI252" s="492">
        <v>597.20000000000005</v>
      </c>
      <c r="BJ252" s="492" t="s">
        <v>1304</v>
      </c>
      <c r="BK252" s="492"/>
      <c r="BL252" s="493">
        <v>45551</v>
      </c>
      <c r="BM252" s="492" t="s">
        <v>1305</v>
      </c>
      <c r="BN252" s="492" t="s">
        <v>1301</v>
      </c>
      <c r="BO252" s="492">
        <v>0.16432140619605901</v>
      </c>
      <c r="BP252" s="492">
        <v>5.0513892581900005E-4</v>
      </c>
    </row>
    <row r="253" spans="1:68" ht="75">
      <c r="A253" s="492" t="s">
        <v>1022</v>
      </c>
      <c r="B253" s="492">
        <v>391087</v>
      </c>
      <c r="C253" s="492">
        <v>8186145</v>
      </c>
      <c r="D253" s="492">
        <v>190</v>
      </c>
      <c r="E253" s="492">
        <v>289</v>
      </c>
      <c r="F253" s="492">
        <v>55</v>
      </c>
      <c r="G253" s="492" t="b">
        <v>0</v>
      </c>
      <c r="H253" s="492" t="b">
        <v>0</v>
      </c>
      <c r="I253" s="492">
        <v>10</v>
      </c>
      <c r="J253" s="492" t="b">
        <v>0</v>
      </c>
      <c r="K253" s="492">
        <v>140</v>
      </c>
      <c r="L253" s="492" t="s">
        <v>1013</v>
      </c>
      <c r="M253" s="492" t="s">
        <v>1359</v>
      </c>
      <c r="N253" s="492" t="s">
        <v>1</v>
      </c>
      <c r="O253" s="492">
        <v>140</v>
      </c>
      <c r="P253" s="492" t="s">
        <v>109</v>
      </c>
      <c r="Q253" s="492">
        <v>3</v>
      </c>
      <c r="R253" s="492"/>
      <c r="S253" s="492"/>
      <c r="T253" s="492"/>
      <c r="U253" s="492"/>
      <c r="V253" s="492"/>
      <c r="W253" s="492"/>
      <c r="X253" s="492"/>
      <c r="Y253" s="492">
        <v>391087</v>
      </c>
      <c r="Z253" s="492">
        <v>8186145</v>
      </c>
      <c r="AA253" s="492">
        <v>10042.6600731043</v>
      </c>
      <c r="AB253" s="492">
        <v>11120.260923710601</v>
      </c>
      <c r="AC253" s="492">
        <v>6</v>
      </c>
      <c r="AD253" s="492">
        <v>23443</v>
      </c>
      <c r="AE253" s="492" t="s">
        <v>1297</v>
      </c>
      <c r="AF253" s="492" t="s">
        <v>1298</v>
      </c>
      <c r="AG253" s="492" t="s">
        <v>1299</v>
      </c>
      <c r="AH253" s="492" t="s">
        <v>1300</v>
      </c>
      <c r="AI253" s="492">
        <v>1</v>
      </c>
      <c r="AJ253" s="492" t="s">
        <v>1301</v>
      </c>
      <c r="AK253" s="492" t="s">
        <v>1302</v>
      </c>
      <c r="AL253" s="492"/>
      <c r="AM253" s="492"/>
      <c r="AN253" s="492"/>
      <c r="AO253" s="492"/>
      <c r="AP253" s="492"/>
      <c r="AQ253" s="492"/>
      <c r="AR253" s="492"/>
      <c r="AS253" s="492"/>
      <c r="AT253" s="492"/>
      <c r="AU253" s="492"/>
      <c r="AV253" s="492"/>
      <c r="AW253" s="492"/>
      <c r="AX253" s="492"/>
      <c r="AY253" s="492"/>
      <c r="AZ253" s="492"/>
      <c r="BA253" s="492"/>
      <c r="BB253" s="493">
        <v>32303</v>
      </c>
      <c r="BC253" s="494">
        <v>0.375</v>
      </c>
      <c r="BD253" s="493">
        <v>47989</v>
      </c>
      <c r="BE253" s="494">
        <v>0.99998842592592596</v>
      </c>
      <c r="BF253" s="493">
        <v>32639</v>
      </c>
      <c r="BG253" s="494">
        <v>0</v>
      </c>
      <c r="BH253" s="492" t="s">
        <v>1303</v>
      </c>
      <c r="BI253" s="492">
        <v>597.20000000000005</v>
      </c>
      <c r="BJ253" s="492" t="s">
        <v>1304</v>
      </c>
      <c r="BK253" s="492"/>
      <c r="BL253" s="493">
        <v>45551</v>
      </c>
      <c r="BM253" s="492" t="s">
        <v>1305</v>
      </c>
      <c r="BN253" s="492" t="s">
        <v>1301</v>
      </c>
      <c r="BO253" s="492">
        <v>0.16432140619605901</v>
      </c>
      <c r="BP253" s="492">
        <v>5.0513892581900005E-4</v>
      </c>
    </row>
    <row r="254" spans="1:68" ht="75">
      <c r="A254" s="492" t="s">
        <v>746</v>
      </c>
      <c r="B254" s="492">
        <v>391093</v>
      </c>
      <c r="C254" s="492">
        <v>8185930</v>
      </c>
      <c r="D254" s="492">
        <v>182</v>
      </c>
      <c r="E254" s="492">
        <v>289</v>
      </c>
      <c r="F254" s="492">
        <v>55</v>
      </c>
      <c r="G254" s="492" t="b">
        <v>0</v>
      </c>
      <c r="H254" s="492" t="b">
        <v>0</v>
      </c>
      <c r="I254" s="492">
        <v>10</v>
      </c>
      <c r="J254" s="492" t="b">
        <v>0</v>
      </c>
      <c r="K254" s="492">
        <v>170</v>
      </c>
      <c r="L254" s="492" t="s">
        <v>1013</v>
      </c>
      <c r="M254" s="492" t="s">
        <v>1296</v>
      </c>
      <c r="N254" s="492" t="s">
        <v>2</v>
      </c>
      <c r="O254" s="492">
        <v>170</v>
      </c>
      <c r="P254" s="492" t="s">
        <v>109</v>
      </c>
      <c r="Q254" s="492">
        <v>3</v>
      </c>
      <c r="R254" s="492"/>
      <c r="S254" s="492"/>
      <c r="T254" s="492"/>
      <c r="U254" s="492"/>
      <c r="V254" s="492"/>
      <c r="W254" s="492"/>
      <c r="X254" s="492"/>
      <c r="Y254" s="492">
        <v>391093</v>
      </c>
      <c r="Z254" s="492">
        <v>8185930</v>
      </c>
      <c r="AA254" s="492">
        <v>10117.9619719279</v>
      </c>
      <c r="AB254" s="492">
        <v>10918.722748358699</v>
      </c>
      <c r="AC254" s="492">
        <v>6</v>
      </c>
      <c r="AD254" s="492">
        <v>23443</v>
      </c>
      <c r="AE254" s="492" t="s">
        <v>1297</v>
      </c>
      <c r="AF254" s="492" t="s">
        <v>1298</v>
      </c>
      <c r="AG254" s="492" t="s">
        <v>1299</v>
      </c>
      <c r="AH254" s="492" t="s">
        <v>1300</v>
      </c>
      <c r="AI254" s="492">
        <v>1</v>
      </c>
      <c r="AJ254" s="492" t="s">
        <v>1301</v>
      </c>
      <c r="AK254" s="492" t="s">
        <v>1302</v>
      </c>
      <c r="AL254" s="492"/>
      <c r="AM254" s="492"/>
      <c r="AN254" s="492"/>
      <c r="AO254" s="492"/>
      <c r="AP254" s="492"/>
      <c r="AQ254" s="492"/>
      <c r="AR254" s="492"/>
      <c r="AS254" s="492"/>
      <c r="AT254" s="492"/>
      <c r="AU254" s="492"/>
      <c r="AV254" s="492"/>
      <c r="AW254" s="492"/>
      <c r="AX254" s="492"/>
      <c r="AY254" s="492"/>
      <c r="AZ254" s="492"/>
      <c r="BA254" s="492"/>
      <c r="BB254" s="493">
        <v>32303</v>
      </c>
      <c r="BC254" s="494">
        <v>0.375</v>
      </c>
      <c r="BD254" s="493">
        <v>47989</v>
      </c>
      <c r="BE254" s="494">
        <v>0.99998842592592596</v>
      </c>
      <c r="BF254" s="493">
        <v>32639</v>
      </c>
      <c r="BG254" s="494">
        <v>0</v>
      </c>
      <c r="BH254" s="492" t="s">
        <v>1303</v>
      </c>
      <c r="BI254" s="492">
        <v>597.20000000000005</v>
      </c>
      <c r="BJ254" s="492" t="s">
        <v>1304</v>
      </c>
      <c r="BK254" s="492"/>
      <c r="BL254" s="493">
        <v>45551</v>
      </c>
      <c r="BM254" s="492" t="s">
        <v>1305</v>
      </c>
      <c r="BN254" s="492" t="s">
        <v>1301</v>
      </c>
      <c r="BO254" s="492">
        <v>0.16432140619605901</v>
      </c>
      <c r="BP254" s="492">
        <v>5.0513892581900005E-4</v>
      </c>
    </row>
    <row r="255" spans="1:68" ht="75">
      <c r="A255" s="492" t="s">
        <v>792</v>
      </c>
      <c r="B255" s="492">
        <v>390992</v>
      </c>
      <c r="C255" s="492">
        <v>8185290</v>
      </c>
      <c r="D255" s="492">
        <v>177</v>
      </c>
      <c r="E255" s="492">
        <v>109</v>
      </c>
      <c r="F255" s="492">
        <v>60</v>
      </c>
      <c r="G255" s="492" t="b">
        <v>0</v>
      </c>
      <c r="H255" s="492" t="b">
        <v>0</v>
      </c>
      <c r="I255" s="492">
        <v>10</v>
      </c>
      <c r="J255" s="492" t="b">
        <v>0</v>
      </c>
      <c r="K255" s="492">
        <v>168</v>
      </c>
      <c r="L255" s="492" t="s">
        <v>1311</v>
      </c>
      <c r="M255" s="492" t="s">
        <v>1296</v>
      </c>
      <c r="N255" s="492" t="s">
        <v>2</v>
      </c>
      <c r="O255" s="492">
        <v>168</v>
      </c>
      <c r="P255" s="492" t="s">
        <v>109</v>
      </c>
      <c r="Q255" s="492">
        <v>3</v>
      </c>
      <c r="R255" s="492"/>
      <c r="S255" s="492"/>
      <c r="T255" s="492"/>
      <c r="U255" s="492"/>
      <c r="V255" s="492"/>
      <c r="W255" s="492"/>
      <c r="X255" s="492"/>
      <c r="Y255" s="492">
        <v>390992</v>
      </c>
      <c r="Z255" s="492">
        <v>8185290</v>
      </c>
      <c r="AA255" s="492">
        <v>10229.6240686443</v>
      </c>
      <c r="AB255" s="492">
        <v>10280.3046246999</v>
      </c>
      <c r="AC255" s="492">
        <v>7</v>
      </c>
      <c r="AD255" s="492">
        <v>23444</v>
      </c>
      <c r="AE255" s="492" t="s">
        <v>1343</v>
      </c>
      <c r="AF255" s="492" t="s">
        <v>1298</v>
      </c>
      <c r="AG255" s="492" t="s">
        <v>1299</v>
      </c>
      <c r="AH255" s="492" t="s">
        <v>1300</v>
      </c>
      <c r="AI255" s="492">
        <v>1</v>
      </c>
      <c r="AJ255" s="492" t="s">
        <v>1301</v>
      </c>
      <c r="AK255" s="492" t="s">
        <v>1302</v>
      </c>
      <c r="AL255" s="492"/>
      <c r="AM255" s="492"/>
      <c r="AN255" s="492"/>
      <c r="AO255" s="492"/>
      <c r="AP255" s="492"/>
      <c r="AQ255" s="492"/>
      <c r="AR255" s="492"/>
      <c r="AS255" s="492"/>
      <c r="AT255" s="492"/>
      <c r="AU255" s="492"/>
      <c r="AV255" s="492"/>
      <c r="AW255" s="492"/>
      <c r="AX255" s="492"/>
      <c r="AY255" s="492"/>
      <c r="AZ255" s="492"/>
      <c r="BA255" s="492"/>
      <c r="BB255" s="493">
        <v>32303</v>
      </c>
      <c r="BC255" s="494">
        <v>0.4375</v>
      </c>
      <c r="BD255" s="493">
        <v>47989</v>
      </c>
      <c r="BE255" s="494">
        <v>0.99998842592592596</v>
      </c>
      <c r="BF255" s="493">
        <v>32639</v>
      </c>
      <c r="BG255" s="494">
        <v>0</v>
      </c>
      <c r="BH255" s="492" t="s">
        <v>1344</v>
      </c>
      <c r="BI255" s="492">
        <v>749</v>
      </c>
      <c r="BJ255" s="492" t="s">
        <v>1304</v>
      </c>
      <c r="BK255" s="492"/>
      <c r="BL255" s="493">
        <v>45551</v>
      </c>
      <c r="BM255" s="492" t="s">
        <v>1305</v>
      </c>
      <c r="BN255" s="492" t="s">
        <v>1301</v>
      </c>
      <c r="BO255" s="492">
        <v>0.15434059947487599</v>
      </c>
      <c r="BP255" s="492">
        <v>6.3356001313399999E-4</v>
      </c>
    </row>
    <row r="256" spans="1:68" ht="75">
      <c r="A256" s="492" t="s">
        <v>442</v>
      </c>
      <c r="B256" s="492">
        <v>390759</v>
      </c>
      <c r="C256" s="492">
        <v>8185304</v>
      </c>
      <c r="D256" s="492">
        <v>190</v>
      </c>
      <c r="E256" s="492">
        <v>289</v>
      </c>
      <c r="F256" s="492">
        <v>55</v>
      </c>
      <c r="G256" s="492" t="b">
        <v>0</v>
      </c>
      <c r="H256" s="492" t="b">
        <v>0</v>
      </c>
      <c r="I256" s="492">
        <v>10</v>
      </c>
      <c r="J256" s="492" t="b">
        <v>0</v>
      </c>
      <c r="K256" s="492">
        <v>110</v>
      </c>
      <c r="L256" s="492" t="s">
        <v>1306</v>
      </c>
      <c r="M256" s="492" t="s">
        <v>1296</v>
      </c>
      <c r="N256" s="492" t="s">
        <v>1</v>
      </c>
      <c r="O256" s="492">
        <v>110</v>
      </c>
      <c r="P256" s="492" t="s">
        <v>11</v>
      </c>
      <c r="Q256" s="492">
        <v>1</v>
      </c>
      <c r="R256" s="492"/>
      <c r="S256" s="492"/>
      <c r="T256" s="492"/>
      <c r="U256" s="492"/>
      <c r="V256" s="492"/>
      <c r="W256" s="492"/>
      <c r="X256" s="492"/>
      <c r="Y256" s="492">
        <v>390759</v>
      </c>
      <c r="Z256" s="492">
        <v>8185304</v>
      </c>
      <c r="AA256" s="492">
        <v>10004.573670719201</v>
      </c>
      <c r="AB256" s="492">
        <v>10218.1022731373</v>
      </c>
      <c r="AC256" s="492">
        <v>7</v>
      </c>
      <c r="AD256" s="492">
        <v>23444</v>
      </c>
      <c r="AE256" s="492" t="s">
        <v>1343</v>
      </c>
      <c r="AF256" s="492" t="s">
        <v>1298</v>
      </c>
      <c r="AG256" s="492" t="s">
        <v>1299</v>
      </c>
      <c r="AH256" s="492" t="s">
        <v>1300</v>
      </c>
      <c r="AI256" s="492">
        <v>1</v>
      </c>
      <c r="AJ256" s="492" t="s">
        <v>1301</v>
      </c>
      <c r="AK256" s="492" t="s">
        <v>1302</v>
      </c>
      <c r="AL256" s="492"/>
      <c r="AM256" s="492"/>
      <c r="AN256" s="492"/>
      <c r="AO256" s="492"/>
      <c r="AP256" s="492"/>
      <c r="AQ256" s="492"/>
      <c r="AR256" s="492"/>
      <c r="AS256" s="492"/>
      <c r="AT256" s="492"/>
      <c r="AU256" s="492"/>
      <c r="AV256" s="492"/>
      <c r="AW256" s="492"/>
      <c r="AX256" s="492"/>
      <c r="AY256" s="492"/>
      <c r="AZ256" s="492"/>
      <c r="BA256" s="492"/>
      <c r="BB256" s="493">
        <v>32303</v>
      </c>
      <c r="BC256" s="494">
        <v>0.4375</v>
      </c>
      <c r="BD256" s="493">
        <v>47989</v>
      </c>
      <c r="BE256" s="494">
        <v>0.99998842592592596</v>
      </c>
      <c r="BF256" s="493">
        <v>32639</v>
      </c>
      <c r="BG256" s="494">
        <v>0</v>
      </c>
      <c r="BH256" s="492" t="s">
        <v>1344</v>
      </c>
      <c r="BI256" s="492">
        <v>749</v>
      </c>
      <c r="BJ256" s="492" t="s">
        <v>1304</v>
      </c>
      <c r="BK256" s="492"/>
      <c r="BL256" s="493">
        <v>45551</v>
      </c>
      <c r="BM256" s="492" t="s">
        <v>1305</v>
      </c>
      <c r="BN256" s="492" t="s">
        <v>1301</v>
      </c>
      <c r="BO256" s="492">
        <v>0.15434059947487599</v>
      </c>
      <c r="BP256" s="492">
        <v>6.3356001313399999E-4</v>
      </c>
    </row>
    <row r="257" spans="1:68" ht="75">
      <c r="A257" s="492" t="s">
        <v>444</v>
      </c>
      <c r="B257" s="492">
        <v>390759</v>
      </c>
      <c r="C257" s="492">
        <v>8185305</v>
      </c>
      <c r="D257" s="492">
        <v>189</v>
      </c>
      <c r="E257" s="492">
        <v>110</v>
      </c>
      <c r="F257" s="492">
        <v>80</v>
      </c>
      <c r="G257" s="492" t="b">
        <v>0</v>
      </c>
      <c r="H257" s="492" t="b">
        <v>0</v>
      </c>
      <c r="I257" s="492">
        <v>10</v>
      </c>
      <c r="J257" s="492" t="b">
        <v>0</v>
      </c>
      <c r="K257" s="492">
        <v>100</v>
      </c>
      <c r="L257" s="492" t="s">
        <v>1313</v>
      </c>
      <c r="M257" s="492" t="s">
        <v>1296</v>
      </c>
      <c r="N257" s="492" t="s">
        <v>1</v>
      </c>
      <c r="O257" s="492">
        <v>100</v>
      </c>
      <c r="P257" s="492" t="s">
        <v>9</v>
      </c>
      <c r="Q257" s="492">
        <v>1</v>
      </c>
      <c r="R257" s="492"/>
      <c r="S257" s="492"/>
      <c r="T257" s="492"/>
      <c r="U257" s="492"/>
      <c r="V257" s="492"/>
      <c r="W257" s="492"/>
      <c r="X257" s="492"/>
      <c r="Y257" s="492">
        <v>390759</v>
      </c>
      <c r="Z257" s="492">
        <v>8185305</v>
      </c>
      <c r="AA257" s="492">
        <v>10004.249841160099</v>
      </c>
      <c r="AB257" s="492">
        <v>10219.0486971018</v>
      </c>
      <c r="AC257" s="492">
        <v>7</v>
      </c>
      <c r="AD257" s="492">
        <v>23444</v>
      </c>
      <c r="AE257" s="492" t="s">
        <v>1343</v>
      </c>
      <c r="AF257" s="492" t="s">
        <v>1298</v>
      </c>
      <c r="AG257" s="492" t="s">
        <v>1299</v>
      </c>
      <c r="AH257" s="492" t="s">
        <v>1300</v>
      </c>
      <c r="AI257" s="492">
        <v>1</v>
      </c>
      <c r="AJ257" s="492" t="s">
        <v>1301</v>
      </c>
      <c r="AK257" s="492" t="s">
        <v>1302</v>
      </c>
      <c r="AL257" s="492"/>
      <c r="AM257" s="492"/>
      <c r="AN257" s="492"/>
      <c r="AO257" s="492"/>
      <c r="AP257" s="492"/>
      <c r="AQ257" s="492"/>
      <c r="AR257" s="492"/>
      <c r="AS257" s="492"/>
      <c r="AT257" s="492"/>
      <c r="AU257" s="492"/>
      <c r="AV257" s="492"/>
      <c r="AW257" s="492"/>
      <c r="AX257" s="492"/>
      <c r="AY257" s="492"/>
      <c r="AZ257" s="492"/>
      <c r="BA257" s="492"/>
      <c r="BB257" s="493">
        <v>32303</v>
      </c>
      <c r="BC257" s="494">
        <v>0.4375</v>
      </c>
      <c r="BD257" s="493">
        <v>47989</v>
      </c>
      <c r="BE257" s="494">
        <v>0.99998842592592596</v>
      </c>
      <c r="BF257" s="493">
        <v>32639</v>
      </c>
      <c r="BG257" s="494">
        <v>0</v>
      </c>
      <c r="BH257" s="492" t="s">
        <v>1344</v>
      </c>
      <c r="BI257" s="492">
        <v>749</v>
      </c>
      <c r="BJ257" s="492" t="s">
        <v>1304</v>
      </c>
      <c r="BK257" s="492"/>
      <c r="BL257" s="493">
        <v>45551</v>
      </c>
      <c r="BM257" s="492" t="s">
        <v>1305</v>
      </c>
      <c r="BN257" s="492" t="s">
        <v>1301</v>
      </c>
      <c r="BO257" s="492">
        <v>0.15434059947487599</v>
      </c>
      <c r="BP257" s="492">
        <v>6.3356001313399999E-4</v>
      </c>
    </row>
    <row r="258" spans="1:68" ht="75">
      <c r="A258" s="492" t="s">
        <v>1095</v>
      </c>
      <c r="B258" s="492">
        <v>390781</v>
      </c>
      <c r="C258" s="492">
        <v>8185320</v>
      </c>
      <c r="D258" s="492">
        <v>187</v>
      </c>
      <c r="E258" s="492">
        <v>289</v>
      </c>
      <c r="F258" s="492">
        <v>60</v>
      </c>
      <c r="G258" s="492" t="b">
        <v>0</v>
      </c>
      <c r="H258" s="492" t="b">
        <v>0</v>
      </c>
      <c r="I258" s="492">
        <v>10</v>
      </c>
      <c r="J258" s="492" t="b">
        <v>0</v>
      </c>
      <c r="K258" s="492">
        <v>170</v>
      </c>
      <c r="L258" s="492" t="s">
        <v>1013</v>
      </c>
      <c r="M258" s="492" t="s">
        <v>1308</v>
      </c>
      <c r="N258" s="492" t="s">
        <v>2</v>
      </c>
      <c r="O258" s="492">
        <v>170</v>
      </c>
      <c r="P258" s="492" t="s">
        <v>109</v>
      </c>
      <c r="Q258" s="492">
        <v>3</v>
      </c>
      <c r="R258" s="492"/>
      <c r="S258" s="492"/>
      <c r="T258" s="492"/>
      <c r="U258" s="492"/>
      <c r="V258" s="492"/>
      <c r="W258" s="492"/>
      <c r="X258" s="492"/>
      <c r="Y258" s="492">
        <v>390781</v>
      </c>
      <c r="Z258" s="492">
        <v>8185320</v>
      </c>
      <c r="AA258" s="492">
        <v>10020.2137250378</v>
      </c>
      <c r="AB258" s="492">
        <v>10240.3693068763</v>
      </c>
      <c r="AC258" s="492">
        <v>7</v>
      </c>
      <c r="AD258" s="492">
        <v>23444</v>
      </c>
      <c r="AE258" s="492" t="s">
        <v>1343</v>
      </c>
      <c r="AF258" s="492" t="s">
        <v>1298</v>
      </c>
      <c r="AG258" s="492" t="s">
        <v>1299</v>
      </c>
      <c r="AH258" s="492" t="s">
        <v>1300</v>
      </c>
      <c r="AI258" s="492">
        <v>1</v>
      </c>
      <c r="AJ258" s="492" t="s">
        <v>1301</v>
      </c>
      <c r="AK258" s="492" t="s">
        <v>1302</v>
      </c>
      <c r="AL258" s="492"/>
      <c r="AM258" s="492"/>
      <c r="AN258" s="492"/>
      <c r="AO258" s="492"/>
      <c r="AP258" s="492"/>
      <c r="AQ258" s="492"/>
      <c r="AR258" s="492"/>
      <c r="AS258" s="492"/>
      <c r="AT258" s="492"/>
      <c r="AU258" s="492"/>
      <c r="AV258" s="492"/>
      <c r="AW258" s="492"/>
      <c r="AX258" s="492"/>
      <c r="AY258" s="492"/>
      <c r="AZ258" s="492"/>
      <c r="BA258" s="492"/>
      <c r="BB258" s="493">
        <v>32303</v>
      </c>
      <c r="BC258" s="494">
        <v>0.4375</v>
      </c>
      <c r="BD258" s="493">
        <v>47989</v>
      </c>
      <c r="BE258" s="494">
        <v>0.99998842592592596</v>
      </c>
      <c r="BF258" s="493">
        <v>32639</v>
      </c>
      <c r="BG258" s="494">
        <v>0</v>
      </c>
      <c r="BH258" s="492" t="s">
        <v>1344</v>
      </c>
      <c r="BI258" s="492">
        <v>749</v>
      </c>
      <c r="BJ258" s="492" t="s">
        <v>1304</v>
      </c>
      <c r="BK258" s="492"/>
      <c r="BL258" s="493">
        <v>45551</v>
      </c>
      <c r="BM258" s="492" t="s">
        <v>1305</v>
      </c>
      <c r="BN258" s="492" t="s">
        <v>1301</v>
      </c>
      <c r="BO258" s="492">
        <v>0.15434059947487599</v>
      </c>
      <c r="BP258" s="492">
        <v>6.3356001313399999E-4</v>
      </c>
    </row>
    <row r="259" spans="1:68" ht="75">
      <c r="A259" s="492" t="s">
        <v>1187</v>
      </c>
      <c r="B259" s="492">
        <v>391024</v>
      </c>
      <c r="C259" s="492">
        <v>8184470</v>
      </c>
      <c r="D259" s="492">
        <v>170</v>
      </c>
      <c r="E259" s="492">
        <v>0</v>
      </c>
      <c r="F259" s="492">
        <v>90</v>
      </c>
      <c r="G259" s="492" t="b">
        <v>0</v>
      </c>
      <c r="H259" s="492" t="b">
        <v>0</v>
      </c>
      <c r="I259" s="492">
        <v>10</v>
      </c>
      <c r="J259" s="492" t="b">
        <v>0</v>
      </c>
      <c r="K259" s="492">
        <v>100</v>
      </c>
      <c r="L259" s="492" t="s">
        <v>1360</v>
      </c>
      <c r="M259" s="492" t="s">
        <v>1296</v>
      </c>
      <c r="N259" s="492" t="s">
        <v>2</v>
      </c>
      <c r="O259" s="492">
        <v>100</v>
      </c>
      <c r="P259" s="492" t="s">
        <v>1310</v>
      </c>
      <c r="Q259" s="492">
        <v>1</v>
      </c>
      <c r="R259" s="492"/>
      <c r="S259" s="492"/>
      <c r="T259" s="492"/>
      <c r="U259" s="492"/>
      <c r="V259" s="492"/>
      <c r="W259" s="492"/>
      <c r="X259" s="492"/>
      <c r="Y259" s="492">
        <v>391030.62252954597</v>
      </c>
      <c r="Z259" s="492">
        <v>8184464.3235461004</v>
      </c>
      <c r="AA259" s="492">
        <v>10533.555797598299</v>
      </c>
      <c r="AB259" s="492">
        <v>9511.3717572176793</v>
      </c>
      <c r="AC259" s="492">
        <v>7</v>
      </c>
      <c r="AD259" s="492">
        <v>23444</v>
      </c>
      <c r="AE259" s="492" t="s">
        <v>1343</v>
      </c>
      <c r="AF259" s="492" t="s">
        <v>1298</v>
      </c>
      <c r="AG259" s="492" t="s">
        <v>1299</v>
      </c>
      <c r="AH259" s="492" t="s">
        <v>1300</v>
      </c>
      <c r="AI259" s="492">
        <v>1</v>
      </c>
      <c r="AJ259" s="492" t="s">
        <v>1301</v>
      </c>
      <c r="AK259" s="492" t="s">
        <v>1302</v>
      </c>
      <c r="AL259" s="492"/>
      <c r="AM259" s="492"/>
      <c r="AN259" s="492"/>
      <c r="AO259" s="492"/>
      <c r="AP259" s="492"/>
      <c r="AQ259" s="492"/>
      <c r="AR259" s="492"/>
      <c r="AS259" s="492"/>
      <c r="AT259" s="492"/>
      <c r="AU259" s="492"/>
      <c r="AV259" s="492"/>
      <c r="AW259" s="492"/>
      <c r="AX259" s="492"/>
      <c r="AY259" s="492"/>
      <c r="AZ259" s="492"/>
      <c r="BA259" s="492"/>
      <c r="BB259" s="493">
        <v>32303</v>
      </c>
      <c r="BC259" s="494">
        <v>0.4375</v>
      </c>
      <c r="BD259" s="493">
        <v>47989</v>
      </c>
      <c r="BE259" s="494">
        <v>0.99998842592592596</v>
      </c>
      <c r="BF259" s="493">
        <v>32639</v>
      </c>
      <c r="BG259" s="494">
        <v>0</v>
      </c>
      <c r="BH259" s="492" t="s">
        <v>1344</v>
      </c>
      <c r="BI259" s="492">
        <v>749</v>
      </c>
      <c r="BJ259" s="492" t="s">
        <v>1304</v>
      </c>
      <c r="BK259" s="492"/>
      <c r="BL259" s="493">
        <v>45551</v>
      </c>
      <c r="BM259" s="492" t="s">
        <v>1305</v>
      </c>
      <c r="BN259" s="492" t="s">
        <v>1301</v>
      </c>
      <c r="BO259" s="492">
        <v>0.15434059947487599</v>
      </c>
      <c r="BP259" s="492">
        <v>6.3356001313399999E-4</v>
      </c>
    </row>
    <row r="260" spans="1:68" ht="30">
      <c r="A260" s="492" t="s">
        <v>1048</v>
      </c>
      <c r="B260" s="492">
        <v>391100</v>
      </c>
      <c r="C260" s="492">
        <v>8186352</v>
      </c>
      <c r="D260" s="492">
        <v>206</v>
      </c>
      <c r="E260" s="492">
        <v>109</v>
      </c>
      <c r="F260" s="492">
        <v>60</v>
      </c>
      <c r="G260" s="492" t="b">
        <v>0</v>
      </c>
      <c r="H260" s="492" t="b">
        <v>0</v>
      </c>
      <c r="I260" s="492">
        <v>10</v>
      </c>
      <c r="J260" s="492" t="b">
        <v>0</v>
      </c>
      <c r="K260" s="492">
        <v>50</v>
      </c>
      <c r="L260" s="492" t="s">
        <v>1013</v>
      </c>
      <c r="M260" s="492" t="s">
        <v>1349</v>
      </c>
      <c r="N260" s="492" t="s">
        <v>2</v>
      </c>
      <c r="O260" s="492">
        <v>50</v>
      </c>
      <c r="P260" s="492" t="s">
        <v>109</v>
      </c>
      <c r="Q260" s="492">
        <v>3</v>
      </c>
      <c r="R260" s="492"/>
      <c r="S260" s="492"/>
      <c r="T260" s="492"/>
      <c r="U260" s="492"/>
      <c r="V260" s="492"/>
      <c r="W260" s="492" t="s">
        <v>1342</v>
      </c>
      <c r="X260" s="492"/>
      <c r="Y260" s="492"/>
      <c r="Z260" s="492"/>
      <c r="AA260" s="492"/>
      <c r="AB260" s="492"/>
      <c r="AC260" s="492"/>
      <c r="AD260" s="492"/>
      <c r="AE260" s="492"/>
      <c r="AF260" s="492"/>
      <c r="AG260" s="492"/>
      <c r="AH260" s="492"/>
      <c r="AI260" s="492"/>
      <c r="AJ260" s="492"/>
      <c r="AK260" s="492"/>
      <c r="AL260" s="492"/>
      <c r="AM260" s="492"/>
      <c r="AN260" s="492"/>
      <c r="AO260" s="492"/>
      <c r="AP260" s="492"/>
      <c r="AQ260" s="492"/>
      <c r="AR260" s="492"/>
      <c r="AS260" s="492"/>
      <c r="AT260" s="492"/>
      <c r="AU260" s="492"/>
      <c r="AV260" s="492"/>
      <c r="AW260" s="492"/>
      <c r="AX260" s="492"/>
      <c r="AY260" s="492"/>
      <c r="AZ260" s="492"/>
      <c r="BA260" s="492"/>
      <c r="BB260" s="492"/>
      <c r="BC260" s="492"/>
      <c r="BD260" s="492"/>
      <c r="BE260" s="492"/>
      <c r="BF260" s="492"/>
      <c r="BG260" s="492"/>
      <c r="BH260" s="492"/>
      <c r="BI260" s="492"/>
      <c r="BJ260" s="492"/>
      <c r="BK260" s="492"/>
      <c r="BL260" s="492"/>
      <c r="BM260" s="492"/>
      <c r="BN260" s="492"/>
      <c r="BO260" s="492"/>
      <c r="BP260" s="492"/>
    </row>
    <row r="261" spans="1:68" ht="30">
      <c r="A261" s="492" t="s">
        <v>1050</v>
      </c>
      <c r="B261" s="492">
        <v>391073</v>
      </c>
      <c r="C261" s="492">
        <v>8186319</v>
      </c>
      <c r="D261" s="492">
        <v>203</v>
      </c>
      <c r="E261" s="492">
        <v>109</v>
      </c>
      <c r="F261" s="492">
        <v>60</v>
      </c>
      <c r="G261" s="492" t="b">
        <v>0</v>
      </c>
      <c r="H261" s="492" t="b">
        <v>0</v>
      </c>
      <c r="I261" s="492">
        <v>10</v>
      </c>
      <c r="J261" s="492" t="b">
        <v>0</v>
      </c>
      <c r="K261" s="492">
        <v>60</v>
      </c>
      <c r="L261" s="492" t="s">
        <v>1013</v>
      </c>
      <c r="M261" s="492" t="s">
        <v>1349</v>
      </c>
      <c r="N261" s="492" t="s">
        <v>2</v>
      </c>
      <c r="O261" s="492">
        <v>60</v>
      </c>
      <c r="P261" s="492" t="s">
        <v>109</v>
      </c>
      <c r="Q261" s="492">
        <v>3</v>
      </c>
      <c r="R261" s="492"/>
      <c r="S261" s="492"/>
      <c r="T261" s="492"/>
      <c r="U261" s="492"/>
      <c r="V261" s="492"/>
      <c r="W261" s="492" t="s">
        <v>1307</v>
      </c>
      <c r="X261" s="492"/>
      <c r="Y261" s="492"/>
      <c r="Z261" s="492"/>
      <c r="AA261" s="492"/>
      <c r="AB261" s="492"/>
      <c r="AC261" s="492"/>
      <c r="AD261" s="492"/>
      <c r="AE261" s="492"/>
      <c r="AF261" s="492"/>
      <c r="AG261" s="492"/>
      <c r="AH261" s="492"/>
      <c r="AI261" s="492"/>
      <c r="AJ261" s="492"/>
      <c r="AK261" s="492"/>
      <c r="AL261" s="492"/>
      <c r="AM261" s="492"/>
      <c r="AN261" s="492"/>
      <c r="AO261" s="492"/>
      <c r="AP261" s="492"/>
      <c r="AQ261" s="492"/>
      <c r="AR261" s="492"/>
      <c r="AS261" s="492"/>
      <c r="AT261" s="492"/>
      <c r="AU261" s="492"/>
      <c r="AV261" s="492"/>
      <c r="AW261" s="492"/>
      <c r="AX261" s="492"/>
      <c r="AY261" s="492"/>
      <c r="AZ261" s="492"/>
      <c r="BA261" s="492"/>
      <c r="BB261" s="492"/>
      <c r="BC261" s="492"/>
      <c r="BD261" s="492"/>
      <c r="BE261" s="492"/>
      <c r="BF261" s="492"/>
      <c r="BG261" s="492"/>
      <c r="BH261" s="492"/>
      <c r="BI261" s="492"/>
      <c r="BJ261" s="492"/>
      <c r="BK261" s="492"/>
      <c r="BL261" s="492"/>
      <c r="BM261" s="492"/>
      <c r="BN261" s="492"/>
      <c r="BO261" s="492"/>
      <c r="BP261" s="492"/>
    </row>
    <row r="262" spans="1:68" ht="30">
      <c r="A262" s="492" t="s">
        <v>1052</v>
      </c>
      <c r="B262" s="492">
        <v>391059</v>
      </c>
      <c r="C262" s="492">
        <v>8186281</v>
      </c>
      <c r="D262" s="492">
        <v>205</v>
      </c>
      <c r="E262" s="492">
        <v>109</v>
      </c>
      <c r="F262" s="492">
        <v>60</v>
      </c>
      <c r="G262" s="492" t="b">
        <v>0</v>
      </c>
      <c r="H262" s="492" t="b">
        <v>0</v>
      </c>
      <c r="I262" s="492">
        <v>10</v>
      </c>
      <c r="J262" s="492" t="b">
        <v>0</v>
      </c>
      <c r="K262" s="492">
        <v>50</v>
      </c>
      <c r="L262" s="492" t="s">
        <v>1013</v>
      </c>
      <c r="M262" s="492" t="s">
        <v>1349</v>
      </c>
      <c r="N262" s="492" t="s">
        <v>2</v>
      </c>
      <c r="O262" s="492">
        <v>50</v>
      </c>
      <c r="P262" s="492" t="s">
        <v>109</v>
      </c>
      <c r="Q262" s="492">
        <v>3</v>
      </c>
      <c r="R262" s="492"/>
      <c r="S262" s="492"/>
      <c r="T262" s="492"/>
      <c r="U262" s="492"/>
      <c r="V262" s="492"/>
      <c r="W262" s="492" t="s">
        <v>1342</v>
      </c>
      <c r="X262" s="492"/>
      <c r="Y262" s="492"/>
      <c r="Z262" s="492"/>
      <c r="AA262" s="492"/>
      <c r="AB262" s="492"/>
      <c r="AC262" s="492"/>
      <c r="AD262" s="492"/>
      <c r="AE262" s="492"/>
      <c r="AF262" s="492"/>
      <c r="AG262" s="492"/>
      <c r="AH262" s="492"/>
      <c r="AI262" s="492"/>
      <c r="AJ262" s="492"/>
      <c r="AK262" s="492"/>
      <c r="AL262" s="492"/>
      <c r="AM262" s="492"/>
      <c r="AN262" s="492"/>
      <c r="AO262" s="492"/>
      <c r="AP262" s="492"/>
      <c r="AQ262" s="492"/>
      <c r="AR262" s="492"/>
      <c r="AS262" s="492"/>
      <c r="AT262" s="492"/>
      <c r="AU262" s="492"/>
      <c r="AV262" s="492"/>
      <c r="AW262" s="492"/>
      <c r="AX262" s="492"/>
      <c r="AY262" s="492"/>
      <c r="AZ262" s="492"/>
      <c r="BA262" s="492"/>
      <c r="BB262" s="492"/>
      <c r="BC262" s="492"/>
      <c r="BD262" s="492"/>
      <c r="BE262" s="492"/>
      <c r="BF262" s="492"/>
      <c r="BG262" s="492"/>
      <c r="BH262" s="492"/>
      <c r="BI262" s="492"/>
      <c r="BJ262" s="492"/>
      <c r="BK262" s="492"/>
      <c r="BL262" s="492"/>
      <c r="BM262" s="492"/>
      <c r="BN262" s="492"/>
      <c r="BO262" s="492"/>
      <c r="BP262" s="492"/>
    </row>
    <row r="263" spans="1:68" ht="75">
      <c r="A263" s="492" t="s">
        <v>1139</v>
      </c>
      <c r="B263" s="492">
        <v>390974</v>
      </c>
      <c r="C263" s="492">
        <v>8185169</v>
      </c>
      <c r="D263" s="492">
        <v>186</v>
      </c>
      <c r="E263" s="492">
        <v>289</v>
      </c>
      <c r="F263" s="492">
        <v>60</v>
      </c>
      <c r="G263" s="492" t="b">
        <v>0</v>
      </c>
      <c r="H263" s="492" t="b">
        <v>0</v>
      </c>
      <c r="I263" s="492">
        <v>10</v>
      </c>
      <c r="J263" s="492" t="b">
        <v>0</v>
      </c>
      <c r="K263" s="492">
        <v>100</v>
      </c>
      <c r="L263" s="492" t="s">
        <v>1013</v>
      </c>
      <c r="M263" s="492" t="s">
        <v>1308</v>
      </c>
      <c r="N263" s="492" t="s">
        <v>2</v>
      </c>
      <c r="O263" s="492">
        <v>100</v>
      </c>
      <c r="P263" s="492" t="s">
        <v>109</v>
      </c>
      <c r="Q263" s="492">
        <v>3</v>
      </c>
      <c r="R263" s="492"/>
      <c r="S263" s="492"/>
      <c r="T263" s="492"/>
      <c r="U263" s="492"/>
      <c r="V263" s="492"/>
      <c r="W263" s="492"/>
      <c r="X263" s="492"/>
      <c r="Y263" s="492">
        <v>390974</v>
      </c>
      <c r="Z263" s="492">
        <v>8185169</v>
      </c>
      <c r="AA263" s="492">
        <v>10251.771813806999</v>
      </c>
      <c r="AB263" s="492">
        <v>10159.9583927597</v>
      </c>
      <c r="AC263" s="492">
        <v>7</v>
      </c>
      <c r="AD263" s="492">
        <v>23444</v>
      </c>
      <c r="AE263" s="492" t="s">
        <v>1343</v>
      </c>
      <c r="AF263" s="492" t="s">
        <v>1298</v>
      </c>
      <c r="AG263" s="492" t="s">
        <v>1299</v>
      </c>
      <c r="AH263" s="492" t="s">
        <v>1300</v>
      </c>
      <c r="AI263" s="492">
        <v>1</v>
      </c>
      <c r="AJ263" s="492" t="s">
        <v>1301</v>
      </c>
      <c r="AK263" s="492" t="s">
        <v>1302</v>
      </c>
      <c r="AL263" s="492"/>
      <c r="AM263" s="492"/>
      <c r="AN263" s="492"/>
      <c r="AO263" s="492"/>
      <c r="AP263" s="492"/>
      <c r="AQ263" s="492"/>
      <c r="AR263" s="492"/>
      <c r="AS263" s="492"/>
      <c r="AT263" s="492"/>
      <c r="AU263" s="492"/>
      <c r="AV263" s="492"/>
      <c r="AW263" s="492"/>
      <c r="AX263" s="492"/>
      <c r="AY263" s="492"/>
      <c r="AZ263" s="492"/>
      <c r="BA263" s="492"/>
      <c r="BB263" s="493">
        <v>32303</v>
      </c>
      <c r="BC263" s="494">
        <v>0.4375</v>
      </c>
      <c r="BD263" s="493">
        <v>47989</v>
      </c>
      <c r="BE263" s="494">
        <v>0.99998842592592596</v>
      </c>
      <c r="BF263" s="493">
        <v>32639</v>
      </c>
      <c r="BG263" s="494">
        <v>0</v>
      </c>
      <c r="BH263" s="492" t="s">
        <v>1344</v>
      </c>
      <c r="BI263" s="492">
        <v>749</v>
      </c>
      <c r="BJ263" s="492" t="s">
        <v>1304</v>
      </c>
      <c r="BK263" s="492"/>
      <c r="BL263" s="493">
        <v>45551</v>
      </c>
      <c r="BM263" s="492" t="s">
        <v>1305</v>
      </c>
      <c r="BN263" s="492" t="s">
        <v>1301</v>
      </c>
      <c r="BO263" s="492">
        <v>0.15434059947487599</v>
      </c>
      <c r="BP263" s="492">
        <v>6.3356001313399999E-4</v>
      </c>
    </row>
    <row r="264" spans="1:68" ht="75">
      <c r="A264" s="492" t="s">
        <v>185</v>
      </c>
      <c r="B264" s="492">
        <v>390935</v>
      </c>
      <c r="C264" s="492">
        <v>8185181</v>
      </c>
      <c r="D264" s="492">
        <v>183</v>
      </c>
      <c r="E264" s="492">
        <v>240</v>
      </c>
      <c r="F264" s="492">
        <v>60</v>
      </c>
      <c r="G264" s="492" t="b">
        <v>0</v>
      </c>
      <c r="H264" s="492" t="b">
        <v>0</v>
      </c>
      <c r="I264" s="492">
        <v>10</v>
      </c>
      <c r="J264" s="492" t="b">
        <v>0</v>
      </c>
      <c r="K264" s="492">
        <v>110</v>
      </c>
      <c r="L264" s="492" t="s">
        <v>1313</v>
      </c>
      <c r="M264" s="492" t="s">
        <v>1296</v>
      </c>
      <c r="N264" s="492" t="s">
        <v>1</v>
      </c>
      <c r="O264" s="492">
        <v>110</v>
      </c>
      <c r="P264" s="492" t="s">
        <v>9</v>
      </c>
      <c r="Q264" s="492">
        <v>1</v>
      </c>
      <c r="R264" s="492"/>
      <c r="S264" s="492"/>
      <c r="T264" s="492"/>
      <c r="U264" s="492"/>
      <c r="V264" s="492"/>
      <c r="W264" s="492"/>
      <c r="X264" s="492"/>
      <c r="Y264" s="492">
        <v>390939.41501969699</v>
      </c>
      <c r="Z264" s="492">
        <v>8185179.02900906</v>
      </c>
      <c r="AA264" s="492">
        <v>10215.792070007799</v>
      </c>
      <c r="AB264" s="492">
        <v>10158.2504483964</v>
      </c>
      <c r="AC264" s="492">
        <v>7</v>
      </c>
      <c r="AD264" s="492">
        <v>23444</v>
      </c>
      <c r="AE264" s="492" t="s">
        <v>1343</v>
      </c>
      <c r="AF264" s="492" t="s">
        <v>1298</v>
      </c>
      <c r="AG264" s="492" t="s">
        <v>1299</v>
      </c>
      <c r="AH264" s="492" t="s">
        <v>1300</v>
      </c>
      <c r="AI264" s="492">
        <v>1</v>
      </c>
      <c r="AJ264" s="492" t="s">
        <v>1301</v>
      </c>
      <c r="AK264" s="492" t="s">
        <v>1302</v>
      </c>
      <c r="AL264" s="492"/>
      <c r="AM264" s="492"/>
      <c r="AN264" s="492"/>
      <c r="AO264" s="492"/>
      <c r="AP264" s="492"/>
      <c r="AQ264" s="492"/>
      <c r="AR264" s="492"/>
      <c r="AS264" s="492"/>
      <c r="AT264" s="492"/>
      <c r="AU264" s="492"/>
      <c r="AV264" s="492"/>
      <c r="AW264" s="492"/>
      <c r="AX264" s="492"/>
      <c r="AY264" s="492"/>
      <c r="AZ264" s="492"/>
      <c r="BA264" s="492"/>
      <c r="BB264" s="493">
        <v>32303</v>
      </c>
      <c r="BC264" s="494">
        <v>0.4375</v>
      </c>
      <c r="BD264" s="493">
        <v>47989</v>
      </c>
      <c r="BE264" s="494">
        <v>0.99998842592592596</v>
      </c>
      <c r="BF264" s="493">
        <v>32639</v>
      </c>
      <c r="BG264" s="494">
        <v>0</v>
      </c>
      <c r="BH264" s="492" t="s">
        <v>1344</v>
      </c>
      <c r="BI264" s="492">
        <v>749</v>
      </c>
      <c r="BJ264" s="492" t="s">
        <v>1304</v>
      </c>
      <c r="BK264" s="492"/>
      <c r="BL264" s="493">
        <v>45551</v>
      </c>
      <c r="BM264" s="492" t="s">
        <v>1305</v>
      </c>
      <c r="BN264" s="492" t="s">
        <v>1301</v>
      </c>
      <c r="BO264" s="492">
        <v>0.15434059947487599</v>
      </c>
      <c r="BP264" s="492">
        <v>6.3356001313399999E-4</v>
      </c>
    </row>
    <row r="265" spans="1:68" ht="75">
      <c r="A265" s="492" t="s">
        <v>1138</v>
      </c>
      <c r="B265" s="492">
        <v>391020</v>
      </c>
      <c r="C265" s="492">
        <v>8185195</v>
      </c>
      <c r="D265" s="492">
        <v>186</v>
      </c>
      <c r="E265" s="492">
        <v>289</v>
      </c>
      <c r="F265" s="492">
        <v>60</v>
      </c>
      <c r="G265" s="492" t="b">
        <v>0</v>
      </c>
      <c r="H265" s="492" t="b">
        <v>0</v>
      </c>
      <c r="I265" s="492">
        <v>10</v>
      </c>
      <c r="J265" s="492" t="b">
        <v>0</v>
      </c>
      <c r="K265" s="492">
        <v>150</v>
      </c>
      <c r="L265" s="492" t="s">
        <v>1013</v>
      </c>
      <c r="M265" s="492" t="s">
        <v>1308</v>
      </c>
      <c r="N265" s="492" t="s">
        <v>2</v>
      </c>
      <c r="O265" s="492">
        <v>150</v>
      </c>
      <c r="P265" s="492" t="s">
        <v>109</v>
      </c>
      <c r="Q265" s="492">
        <v>3</v>
      </c>
      <c r="R265" s="492"/>
      <c r="S265" s="492"/>
      <c r="T265" s="492"/>
      <c r="U265" s="492"/>
      <c r="V265" s="492"/>
      <c r="W265" s="492"/>
      <c r="X265" s="492"/>
      <c r="Y265" s="492">
        <v>391020</v>
      </c>
      <c r="Z265" s="492">
        <v>8185195</v>
      </c>
      <c r="AA265" s="492">
        <v>10286.887747733799</v>
      </c>
      <c r="AB265" s="492">
        <v>10199.4615755574</v>
      </c>
      <c r="AC265" s="492">
        <v>7</v>
      </c>
      <c r="AD265" s="492">
        <v>23444</v>
      </c>
      <c r="AE265" s="492" t="s">
        <v>1343</v>
      </c>
      <c r="AF265" s="492" t="s">
        <v>1298</v>
      </c>
      <c r="AG265" s="492" t="s">
        <v>1299</v>
      </c>
      <c r="AH265" s="492" t="s">
        <v>1300</v>
      </c>
      <c r="AI265" s="492">
        <v>1</v>
      </c>
      <c r="AJ265" s="492" t="s">
        <v>1301</v>
      </c>
      <c r="AK265" s="492" t="s">
        <v>1302</v>
      </c>
      <c r="AL265" s="492"/>
      <c r="AM265" s="492"/>
      <c r="AN265" s="492"/>
      <c r="AO265" s="492"/>
      <c r="AP265" s="492"/>
      <c r="AQ265" s="492"/>
      <c r="AR265" s="492"/>
      <c r="AS265" s="492"/>
      <c r="AT265" s="492"/>
      <c r="AU265" s="492"/>
      <c r="AV265" s="492"/>
      <c r="AW265" s="492"/>
      <c r="AX265" s="492"/>
      <c r="AY265" s="492"/>
      <c r="AZ265" s="492"/>
      <c r="BA265" s="492"/>
      <c r="BB265" s="493">
        <v>32303</v>
      </c>
      <c r="BC265" s="494">
        <v>0.4375</v>
      </c>
      <c r="BD265" s="493">
        <v>47989</v>
      </c>
      <c r="BE265" s="494">
        <v>0.99998842592592596</v>
      </c>
      <c r="BF265" s="493">
        <v>32639</v>
      </c>
      <c r="BG265" s="494">
        <v>0</v>
      </c>
      <c r="BH265" s="492" t="s">
        <v>1344</v>
      </c>
      <c r="BI265" s="492">
        <v>749</v>
      </c>
      <c r="BJ265" s="492" t="s">
        <v>1304</v>
      </c>
      <c r="BK265" s="492"/>
      <c r="BL265" s="493">
        <v>45551</v>
      </c>
      <c r="BM265" s="492" t="s">
        <v>1305</v>
      </c>
      <c r="BN265" s="492" t="s">
        <v>1301</v>
      </c>
      <c r="BO265" s="492">
        <v>0.15434059947487599</v>
      </c>
      <c r="BP265" s="492">
        <v>6.3356001313399999E-4</v>
      </c>
    </row>
    <row r="266" spans="1:68" ht="75">
      <c r="A266" s="492" t="s">
        <v>1137</v>
      </c>
      <c r="B266" s="492">
        <v>391002</v>
      </c>
      <c r="C266" s="492">
        <v>8185201</v>
      </c>
      <c r="D266" s="492">
        <v>186</v>
      </c>
      <c r="E266" s="492">
        <v>289</v>
      </c>
      <c r="F266" s="492">
        <v>60</v>
      </c>
      <c r="G266" s="492" t="b">
        <v>0</v>
      </c>
      <c r="H266" s="492" t="b">
        <v>0</v>
      </c>
      <c r="I266" s="492">
        <v>10</v>
      </c>
      <c r="J266" s="492" t="b">
        <v>0</v>
      </c>
      <c r="K266" s="492">
        <v>85</v>
      </c>
      <c r="L266" s="492" t="s">
        <v>1013</v>
      </c>
      <c r="M266" s="492" t="s">
        <v>1308</v>
      </c>
      <c r="N266" s="492" t="s">
        <v>2</v>
      </c>
      <c r="O266" s="492">
        <v>85</v>
      </c>
      <c r="P266" s="492" t="s">
        <v>109</v>
      </c>
      <c r="Q266" s="492">
        <v>3</v>
      </c>
      <c r="R266" s="492"/>
      <c r="S266" s="492"/>
      <c r="T266" s="492"/>
      <c r="U266" s="492"/>
      <c r="V266" s="492"/>
      <c r="W266" s="492"/>
      <c r="X266" s="492"/>
      <c r="Y266" s="492">
        <v>391002</v>
      </c>
      <c r="Z266" s="492">
        <v>8185201</v>
      </c>
      <c r="AA266" s="492">
        <v>10267.9091389928</v>
      </c>
      <c r="AB266" s="492">
        <v>10199.3111873045</v>
      </c>
      <c r="AC266" s="492">
        <v>7</v>
      </c>
      <c r="AD266" s="492">
        <v>23444</v>
      </c>
      <c r="AE266" s="492" t="s">
        <v>1343</v>
      </c>
      <c r="AF266" s="492" t="s">
        <v>1298</v>
      </c>
      <c r="AG266" s="492" t="s">
        <v>1299</v>
      </c>
      <c r="AH266" s="492" t="s">
        <v>1300</v>
      </c>
      <c r="AI266" s="492">
        <v>1</v>
      </c>
      <c r="AJ266" s="492" t="s">
        <v>1301</v>
      </c>
      <c r="AK266" s="492" t="s">
        <v>1302</v>
      </c>
      <c r="AL266" s="492"/>
      <c r="AM266" s="492"/>
      <c r="AN266" s="492"/>
      <c r="AO266" s="492"/>
      <c r="AP266" s="492"/>
      <c r="AQ266" s="492"/>
      <c r="AR266" s="492"/>
      <c r="AS266" s="492"/>
      <c r="AT266" s="492"/>
      <c r="AU266" s="492"/>
      <c r="AV266" s="492"/>
      <c r="AW266" s="492"/>
      <c r="AX266" s="492"/>
      <c r="AY266" s="492"/>
      <c r="AZ266" s="492"/>
      <c r="BA266" s="492"/>
      <c r="BB266" s="493">
        <v>32303</v>
      </c>
      <c r="BC266" s="494">
        <v>0.4375</v>
      </c>
      <c r="BD266" s="493">
        <v>47989</v>
      </c>
      <c r="BE266" s="494">
        <v>0.99998842592592596</v>
      </c>
      <c r="BF266" s="493">
        <v>32639</v>
      </c>
      <c r="BG266" s="494">
        <v>0</v>
      </c>
      <c r="BH266" s="492" t="s">
        <v>1344</v>
      </c>
      <c r="BI266" s="492">
        <v>749</v>
      </c>
      <c r="BJ266" s="492" t="s">
        <v>1304</v>
      </c>
      <c r="BK266" s="492"/>
      <c r="BL266" s="493">
        <v>45551</v>
      </c>
      <c r="BM266" s="492" t="s">
        <v>1305</v>
      </c>
      <c r="BN266" s="492" t="s">
        <v>1301</v>
      </c>
      <c r="BO266" s="492">
        <v>0.15434059947487599</v>
      </c>
      <c r="BP266" s="492">
        <v>6.3356001313399999E-4</v>
      </c>
    </row>
    <row r="267" spans="1:68" ht="75">
      <c r="A267" s="492" t="s">
        <v>1098</v>
      </c>
      <c r="B267" s="492">
        <v>390736</v>
      </c>
      <c r="C267" s="492">
        <v>8185208</v>
      </c>
      <c r="D267" s="492">
        <v>193</v>
      </c>
      <c r="E267" s="492">
        <v>289</v>
      </c>
      <c r="F267" s="492">
        <v>60</v>
      </c>
      <c r="G267" s="492" t="b">
        <v>0</v>
      </c>
      <c r="H267" s="492" t="b">
        <v>0</v>
      </c>
      <c r="I267" s="492">
        <v>10</v>
      </c>
      <c r="J267" s="492" t="b">
        <v>0</v>
      </c>
      <c r="K267" s="492">
        <v>150</v>
      </c>
      <c r="L267" s="492" t="s">
        <v>1013</v>
      </c>
      <c r="M267" s="492" t="s">
        <v>1308</v>
      </c>
      <c r="N267" s="492" t="s">
        <v>2</v>
      </c>
      <c r="O267" s="492">
        <v>150</v>
      </c>
      <c r="P267" s="492" t="s">
        <v>109</v>
      </c>
      <c r="Q267" s="492">
        <v>3</v>
      </c>
      <c r="R267" s="492"/>
      <c r="S267" s="492"/>
      <c r="T267" s="492"/>
      <c r="U267" s="492"/>
      <c r="V267" s="492"/>
      <c r="W267" s="492"/>
      <c r="X267" s="492"/>
      <c r="Y267" s="492">
        <v>390736</v>
      </c>
      <c r="Z267" s="492">
        <v>8185208</v>
      </c>
      <c r="AA267" s="492">
        <v>10013.8935570907</v>
      </c>
      <c r="AB267" s="492">
        <v>10119.7974925534</v>
      </c>
      <c r="AC267" s="492">
        <v>7</v>
      </c>
      <c r="AD267" s="492">
        <v>23444</v>
      </c>
      <c r="AE267" s="492" t="s">
        <v>1343</v>
      </c>
      <c r="AF267" s="492" t="s">
        <v>1298</v>
      </c>
      <c r="AG267" s="492" t="s">
        <v>1299</v>
      </c>
      <c r="AH267" s="492" t="s">
        <v>1300</v>
      </c>
      <c r="AI267" s="492">
        <v>1</v>
      </c>
      <c r="AJ267" s="492" t="s">
        <v>1301</v>
      </c>
      <c r="AK267" s="492" t="s">
        <v>1302</v>
      </c>
      <c r="AL267" s="492"/>
      <c r="AM267" s="492"/>
      <c r="AN267" s="492"/>
      <c r="AO267" s="492"/>
      <c r="AP267" s="492"/>
      <c r="AQ267" s="492"/>
      <c r="AR267" s="492"/>
      <c r="AS267" s="492"/>
      <c r="AT267" s="492"/>
      <c r="AU267" s="492"/>
      <c r="AV267" s="492"/>
      <c r="AW267" s="492"/>
      <c r="AX267" s="492"/>
      <c r="AY267" s="492"/>
      <c r="AZ267" s="492"/>
      <c r="BA267" s="492"/>
      <c r="BB267" s="493">
        <v>32303</v>
      </c>
      <c r="BC267" s="494">
        <v>0.4375</v>
      </c>
      <c r="BD267" s="493">
        <v>47989</v>
      </c>
      <c r="BE267" s="494">
        <v>0.99998842592592596</v>
      </c>
      <c r="BF267" s="493">
        <v>32639</v>
      </c>
      <c r="BG267" s="494">
        <v>0</v>
      </c>
      <c r="BH267" s="492" t="s">
        <v>1344</v>
      </c>
      <c r="BI267" s="492">
        <v>749</v>
      </c>
      <c r="BJ267" s="492" t="s">
        <v>1304</v>
      </c>
      <c r="BK267" s="492"/>
      <c r="BL267" s="493">
        <v>45551</v>
      </c>
      <c r="BM267" s="492" t="s">
        <v>1305</v>
      </c>
      <c r="BN267" s="492" t="s">
        <v>1301</v>
      </c>
      <c r="BO267" s="492">
        <v>0.15434059947487599</v>
      </c>
      <c r="BP267" s="492">
        <v>6.3356001313399999E-4</v>
      </c>
    </row>
    <row r="268" spans="1:68" ht="75">
      <c r="A268" s="492" t="s">
        <v>1097</v>
      </c>
      <c r="B268" s="492">
        <v>390754</v>
      </c>
      <c r="C268" s="492">
        <v>8185244</v>
      </c>
      <c r="D268" s="492">
        <v>190</v>
      </c>
      <c r="E268" s="492">
        <v>289</v>
      </c>
      <c r="F268" s="492">
        <v>60</v>
      </c>
      <c r="G268" s="492" t="b">
        <v>0</v>
      </c>
      <c r="H268" s="492" t="b">
        <v>0</v>
      </c>
      <c r="I268" s="492">
        <v>10</v>
      </c>
      <c r="J268" s="492" t="b">
        <v>0</v>
      </c>
      <c r="K268" s="492">
        <v>170</v>
      </c>
      <c r="L268" s="492" t="s">
        <v>1013</v>
      </c>
      <c r="M268" s="492" t="s">
        <v>1308</v>
      </c>
      <c r="N268" s="492" t="s">
        <v>2</v>
      </c>
      <c r="O268" s="492">
        <v>170</v>
      </c>
      <c r="P268" s="492" t="s">
        <v>109</v>
      </c>
      <c r="Q268" s="492">
        <v>3</v>
      </c>
      <c r="R268" s="492"/>
      <c r="S268" s="492"/>
      <c r="T268" s="492"/>
      <c r="U268" s="492"/>
      <c r="V268" s="492"/>
      <c r="W268" s="492"/>
      <c r="X268" s="492"/>
      <c r="Y268" s="492">
        <v>390754</v>
      </c>
      <c r="Z268" s="492">
        <v>8185244</v>
      </c>
      <c r="AA268" s="492">
        <v>10019.271324384399</v>
      </c>
      <c r="AB268" s="492">
        <v>10159.6976873818</v>
      </c>
      <c r="AC268" s="492">
        <v>7</v>
      </c>
      <c r="AD268" s="492">
        <v>23444</v>
      </c>
      <c r="AE268" s="492" t="s">
        <v>1343</v>
      </c>
      <c r="AF268" s="492" t="s">
        <v>1298</v>
      </c>
      <c r="AG268" s="492" t="s">
        <v>1299</v>
      </c>
      <c r="AH268" s="492" t="s">
        <v>1300</v>
      </c>
      <c r="AI268" s="492">
        <v>1</v>
      </c>
      <c r="AJ268" s="492" t="s">
        <v>1301</v>
      </c>
      <c r="AK268" s="492" t="s">
        <v>1302</v>
      </c>
      <c r="AL268" s="492"/>
      <c r="AM268" s="492"/>
      <c r="AN268" s="492"/>
      <c r="AO268" s="492"/>
      <c r="AP268" s="492"/>
      <c r="AQ268" s="492"/>
      <c r="AR268" s="492"/>
      <c r="AS268" s="492"/>
      <c r="AT268" s="492"/>
      <c r="AU268" s="492"/>
      <c r="AV268" s="492"/>
      <c r="AW268" s="492"/>
      <c r="AX268" s="492"/>
      <c r="AY268" s="492"/>
      <c r="AZ268" s="492"/>
      <c r="BA268" s="492"/>
      <c r="BB268" s="493">
        <v>32303</v>
      </c>
      <c r="BC268" s="494">
        <v>0.4375</v>
      </c>
      <c r="BD268" s="493">
        <v>47989</v>
      </c>
      <c r="BE268" s="494">
        <v>0.99998842592592596</v>
      </c>
      <c r="BF268" s="493">
        <v>32639</v>
      </c>
      <c r="BG268" s="494">
        <v>0</v>
      </c>
      <c r="BH268" s="492" t="s">
        <v>1344</v>
      </c>
      <c r="BI268" s="492">
        <v>749</v>
      </c>
      <c r="BJ268" s="492" t="s">
        <v>1304</v>
      </c>
      <c r="BK268" s="492"/>
      <c r="BL268" s="493">
        <v>45551</v>
      </c>
      <c r="BM268" s="492" t="s">
        <v>1305</v>
      </c>
      <c r="BN268" s="492" t="s">
        <v>1301</v>
      </c>
      <c r="BO268" s="492">
        <v>0.15434059947487599</v>
      </c>
      <c r="BP268" s="492">
        <v>6.3356001313399999E-4</v>
      </c>
    </row>
    <row r="269" spans="1:68" ht="75">
      <c r="A269" s="492" t="s">
        <v>791</v>
      </c>
      <c r="B269" s="492">
        <v>391030</v>
      </c>
      <c r="C269" s="492">
        <v>8185277</v>
      </c>
      <c r="D269" s="492">
        <v>178</v>
      </c>
      <c r="E269" s="492">
        <v>109</v>
      </c>
      <c r="F269" s="492">
        <v>60</v>
      </c>
      <c r="G269" s="492" t="b">
        <v>0</v>
      </c>
      <c r="H269" s="492" t="b">
        <v>0</v>
      </c>
      <c r="I269" s="492">
        <v>10</v>
      </c>
      <c r="J269" s="492" t="b">
        <v>0</v>
      </c>
      <c r="K269" s="492">
        <v>93</v>
      </c>
      <c r="L269" s="492" t="s">
        <v>1311</v>
      </c>
      <c r="M269" s="492" t="s">
        <v>1296</v>
      </c>
      <c r="N269" s="492" t="s">
        <v>2</v>
      </c>
      <c r="O269" s="492">
        <v>93</v>
      </c>
      <c r="P269" s="492" t="s">
        <v>109</v>
      </c>
      <c r="Q269" s="492">
        <v>3</v>
      </c>
      <c r="R269" s="492"/>
      <c r="S269" s="492"/>
      <c r="T269" s="492"/>
      <c r="U269" s="492"/>
      <c r="V269" s="492"/>
      <c r="W269" s="492"/>
      <c r="X269" s="492"/>
      <c r="Y269" s="492">
        <v>391030</v>
      </c>
      <c r="Z269" s="492">
        <v>8185277</v>
      </c>
      <c r="AA269" s="492">
        <v>10269.797963614499</v>
      </c>
      <c r="AB269" s="492">
        <v>10280.306636355799</v>
      </c>
      <c r="AC269" s="492">
        <v>7</v>
      </c>
      <c r="AD269" s="492">
        <v>23444</v>
      </c>
      <c r="AE269" s="492" t="s">
        <v>1343</v>
      </c>
      <c r="AF269" s="492" t="s">
        <v>1298</v>
      </c>
      <c r="AG269" s="492" t="s">
        <v>1299</v>
      </c>
      <c r="AH269" s="492" t="s">
        <v>1300</v>
      </c>
      <c r="AI269" s="492">
        <v>1</v>
      </c>
      <c r="AJ269" s="492" t="s">
        <v>1301</v>
      </c>
      <c r="AK269" s="492" t="s">
        <v>1302</v>
      </c>
      <c r="AL269" s="492"/>
      <c r="AM269" s="492"/>
      <c r="AN269" s="492"/>
      <c r="AO269" s="492"/>
      <c r="AP269" s="492"/>
      <c r="AQ269" s="492"/>
      <c r="AR269" s="492"/>
      <c r="AS269" s="492"/>
      <c r="AT269" s="492"/>
      <c r="AU269" s="492"/>
      <c r="AV269" s="492"/>
      <c r="AW269" s="492"/>
      <c r="AX269" s="492"/>
      <c r="AY269" s="492"/>
      <c r="AZ269" s="492"/>
      <c r="BA269" s="492"/>
      <c r="BB269" s="493">
        <v>32303</v>
      </c>
      <c r="BC269" s="494">
        <v>0.4375</v>
      </c>
      <c r="BD269" s="493">
        <v>47989</v>
      </c>
      <c r="BE269" s="494">
        <v>0.99998842592592596</v>
      </c>
      <c r="BF269" s="493">
        <v>32639</v>
      </c>
      <c r="BG269" s="494">
        <v>0</v>
      </c>
      <c r="BH269" s="492" t="s">
        <v>1344</v>
      </c>
      <c r="BI269" s="492">
        <v>749</v>
      </c>
      <c r="BJ269" s="492" t="s">
        <v>1304</v>
      </c>
      <c r="BK269" s="492"/>
      <c r="BL269" s="493">
        <v>45551</v>
      </c>
      <c r="BM269" s="492" t="s">
        <v>1305</v>
      </c>
      <c r="BN269" s="492" t="s">
        <v>1301</v>
      </c>
      <c r="BO269" s="492">
        <v>0.15434059947487599</v>
      </c>
      <c r="BP269" s="492">
        <v>6.3356001313399999E-4</v>
      </c>
    </row>
    <row r="270" spans="1:68" ht="75">
      <c r="A270" s="492" t="s">
        <v>1096</v>
      </c>
      <c r="B270" s="492">
        <v>390763</v>
      </c>
      <c r="C270" s="492">
        <v>8185283</v>
      </c>
      <c r="D270" s="492">
        <v>189</v>
      </c>
      <c r="E270" s="492">
        <v>289</v>
      </c>
      <c r="F270" s="492">
        <v>60</v>
      </c>
      <c r="G270" s="492" t="b">
        <v>0</v>
      </c>
      <c r="H270" s="492" t="b">
        <v>0</v>
      </c>
      <c r="I270" s="492">
        <v>10</v>
      </c>
      <c r="J270" s="492" t="b">
        <v>0</v>
      </c>
      <c r="K270" s="492">
        <v>160</v>
      </c>
      <c r="L270" s="492" t="s">
        <v>1013</v>
      </c>
      <c r="M270" s="492" t="s">
        <v>1308</v>
      </c>
      <c r="N270" s="492" t="s">
        <v>2</v>
      </c>
      <c r="O270" s="492">
        <v>160</v>
      </c>
      <c r="P270" s="492" t="s">
        <v>109</v>
      </c>
      <c r="Q270" s="492">
        <v>3</v>
      </c>
      <c r="R270" s="492"/>
      <c r="S270" s="492"/>
      <c r="T270" s="492"/>
      <c r="U270" s="492"/>
      <c r="V270" s="492"/>
      <c r="W270" s="492"/>
      <c r="X270" s="492"/>
      <c r="Y270" s="492">
        <v>390763</v>
      </c>
      <c r="Z270" s="492">
        <v>8185283</v>
      </c>
      <c r="AA270" s="492">
        <v>10015.159787303701</v>
      </c>
      <c r="AB270" s="492">
        <v>10199.5226880833</v>
      </c>
      <c r="AC270" s="492">
        <v>7</v>
      </c>
      <c r="AD270" s="492">
        <v>23444</v>
      </c>
      <c r="AE270" s="492" t="s">
        <v>1343</v>
      </c>
      <c r="AF270" s="492" t="s">
        <v>1298</v>
      </c>
      <c r="AG270" s="492" t="s">
        <v>1299</v>
      </c>
      <c r="AH270" s="492" t="s">
        <v>1300</v>
      </c>
      <c r="AI270" s="492">
        <v>1</v>
      </c>
      <c r="AJ270" s="492" t="s">
        <v>1301</v>
      </c>
      <c r="AK270" s="492" t="s">
        <v>1302</v>
      </c>
      <c r="AL270" s="492"/>
      <c r="AM270" s="492"/>
      <c r="AN270" s="492"/>
      <c r="AO270" s="492"/>
      <c r="AP270" s="492"/>
      <c r="AQ270" s="492"/>
      <c r="AR270" s="492"/>
      <c r="AS270" s="492"/>
      <c r="AT270" s="492"/>
      <c r="AU270" s="492"/>
      <c r="AV270" s="492"/>
      <c r="AW270" s="492"/>
      <c r="AX270" s="492"/>
      <c r="AY270" s="492"/>
      <c r="AZ270" s="492"/>
      <c r="BA270" s="492"/>
      <c r="BB270" s="493">
        <v>32303</v>
      </c>
      <c r="BC270" s="494">
        <v>0.4375</v>
      </c>
      <c r="BD270" s="493">
        <v>47989</v>
      </c>
      <c r="BE270" s="494">
        <v>0.99998842592592596</v>
      </c>
      <c r="BF270" s="493">
        <v>32639</v>
      </c>
      <c r="BG270" s="494">
        <v>0</v>
      </c>
      <c r="BH270" s="492" t="s">
        <v>1344</v>
      </c>
      <c r="BI270" s="492">
        <v>749</v>
      </c>
      <c r="BJ270" s="492" t="s">
        <v>1304</v>
      </c>
      <c r="BK270" s="492"/>
      <c r="BL270" s="493">
        <v>45551</v>
      </c>
      <c r="BM270" s="492" t="s">
        <v>1305</v>
      </c>
      <c r="BN270" s="492" t="s">
        <v>1301</v>
      </c>
      <c r="BO270" s="492">
        <v>0.15434059947487599</v>
      </c>
      <c r="BP270" s="492">
        <v>6.3356001313399999E-4</v>
      </c>
    </row>
    <row r="271" spans="1:68">
      <c r="A271" s="492" t="s">
        <v>1061</v>
      </c>
      <c r="B271" s="492">
        <v>390963</v>
      </c>
      <c r="C271" s="492">
        <v>8186145</v>
      </c>
      <c r="D271" s="492">
        <v>210</v>
      </c>
      <c r="E271" s="492">
        <v>109</v>
      </c>
      <c r="F271" s="492">
        <v>60</v>
      </c>
      <c r="G271" s="492" t="b">
        <v>0</v>
      </c>
      <c r="H271" s="492" t="b">
        <v>0</v>
      </c>
      <c r="I271" s="492">
        <v>10</v>
      </c>
      <c r="J271" s="492" t="b">
        <v>0</v>
      </c>
      <c r="K271" s="492">
        <v>90</v>
      </c>
      <c r="L271" s="492" t="s">
        <v>1013</v>
      </c>
      <c r="M271" s="492" t="s">
        <v>1349</v>
      </c>
      <c r="N271" s="492" t="s">
        <v>2</v>
      </c>
      <c r="O271" s="492">
        <v>90</v>
      </c>
      <c r="P271" s="492" t="s">
        <v>109</v>
      </c>
      <c r="Q271" s="492">
        <v>3</v>
      </c>
      <c r="R271" s="492"/>
      <c r="S271" s="492"/>
      <c r="T271" s="492"/>
      <c r="U271" s="492"/>
      <c r="V271" s="492"/>
      <c r="W271" s="492"/>
      <c r="X271" s="492"/>
      <c r="Y271" s="492"/>
      <c r="Z271" s="492"/>
      <c r="AA271" s="492"/>
      <c r="AB271" s="492"/>
      <c r="AC271" s="492"/>
      <c r="AD271" s="492"/>
      <c r="AE271" s="492"/>
      <c r="AF271" s="492"/>
      <c r="AG271" s="492"/>
      <c r="AH271" s="492"/>
      <c r="AI271" s="492"/>
      <c r="AJ271" s="492"/>
      <c r="AK271" s="492"/>
      <c r="AL271" s="492"/>
      <c r="AM271" s="492"/>
      <c r="AN271" s="492"/>
      <c r="AO271" s="492"/>
      <c r="AP271" s="492"/>
      <c r="AQ271" s="492"/>
      <c r="AR271" s="492"/>
      <c r="AS271" s="492"/>
      <c r="AT271" s="492"/>
      <c r="AU271" s="492"/>
      <c r="AV271" s="492"/>
      <c r="AW271" s="492"/>
      <c r="AX271" s="492"/>
      <c r="AY271" s="492"/>
      <c r="AZ271" s="492"/>
      <c r="BA271" s="492"/>
      <c r="BB271" s="492"/>
      <c r="BC271" s="492"/>
      <c r="BD271" s="492"/>
      <c r="BE271" s="492"/>
      <c r="BF271" s="492"/>
      <c r="BG271" s="492"/>
      <c r="BH271" s="492"/>
      <c r="BI271" s="492"/>
      <c r="BJ271" s="492"/>
      <c r="BK271" s="492"/>
      <c r="BL271" s="492"/>
      <c r="BM271" s="492"/>
      <c r="BN271" s="492"/>
      <c r="BO271" s="492"/>
      <c r="BP271" s="492"/>
    </row>
    <row r="272" spans="1:68" ht="30">
      <c r="A272" s="492" t="s">
        <v>1062</v>
      </c>
      <c r="B272" s="492">
        <v>391011</v>
      </c>
      <c r="C272" s="492">
        <v>8186129</v>
      </c>
      <c r="D272" s="492">
        <v>212</v>
      </c>
      <c r="E272" s="492">
        <v>289</v>
      </c>
      <c r="F272" s="492">
        <v>55</v>
      </c>
      <c r="G272" s="492" t="b">
        <v>0</v>
      </c>
      <c r="H272" s="492" t="b">
        <v>0</v>
      </c>
      <c r="I272" s="492">
        <v>10</v>
      </c>
      <c r="J272" s="492" t="b">
        <v>0</v>
      </c>
      <c r="K272" s="492">
        <v>40</v>
      </c>
      <c r="L272" s="492" t="s">
        <v>1013</v>
      </c>
      <c r="M272" s="492" t="s">
        <v>1308</v>
      </c>
      <c r="N272" s="492" t="s">
        <v>2</v>
      </c>
      <c r="O272" s="492">
        <v>40</v>
      </c>
      <c r="P272" s="492" t="s">
        <v>109</v>
      </c>
      <c r="Q272" s="492">
        <v>3</v>
      </c>
      <c r="R272" s="492"/>
      <c r="S272" s="492"/>
      <c r="T272" s="492"/>
      <c r="U272" s="492"/>
      <c r="V272" s="492"/>
      <c r="W272" s="492" t="s">
        <v>1342</v>
      </c>
      <c r="X272" s="492"/>
      <c r="Y272" s="492"/>
      <c r="Z272" s="492"/>
      <c r="AA272" s="492"/>
      <c r="AB272" s="492"/>
      <c r="AC272" s="492"/>
      <c r="AD272" s="492"/>
      <c r="AE272" s="492"/>
      <c r="AF272" s="492"/>
      <c r="AG272" s="492"/>
      <c r="AH272" s="492"/>
      <c r="AI272" s="492"/>
      <c r="AJ272" s="492"/>
      <c r="AK272" s="492"/>
      <c r="AL272" s="492"/>
      <c r="AM272" s="492"/>
      <c r="AN272" s="492"/>
      <c r="AO272" s="492"/>
      <c r="AP272" s="492"/>
      <c r="AQ272" s="492"/>
      <c r="AR272" s="492"/>
      <c r="AS272" s="492"/>
      <c r="AT272" s="492"/>
      <c r="AU272" s="492"/>
      <c r="AV272" s="492"/>
      <c r="AW272" s="492"/>
      <c r="AX272" s="492"/>
      <c r="AY272" s="492"/>
      <c r="AZ272" s="492"/>
      <c r="BA272" s="492"/>
      <c r="BB272" s="492"/>
      <c r="BC272" s="492"/>
      <c r="BD272" s="492"/>
      <c r="BE272" s="492"/>
      <c r="BF272" s="492"/>
      <c r="BG272" s="492"/>
      <c r="BH272" s="492"/>
      <c r="BI272" s="492"/>
      <c r="BJ272" s="492"/>
      <c r="BK272" s="492"/>
      <c r="BL272" s="492"/>
      <c r="BM272" s="492"/>
      <c r="BN272" s="492"/>
      <c r="BO272" s="492"/>
      <c r="BP272" s="492"/>
    </row>
    <row r="273" spans="1:68" ht="30">
      <c r="A273" s="492" t="s">
        <v>1064</v>
      </c>
      <c r="B273" s="492">
        <v>390965</v>
      </c>
      <c r="C273" s="492">
        <v>8186102</v>
      </c>
      <c r="D273" s="492">
        <v>220</v>
      </c>
      <c r="E273" s="492">
        <v>109</v>
      </c>
      <c r="F273" s="492">
        <v>60</v>
      </c>
      <c r="G273" s="492" t="b">
        <v>0</v>
      </c>
      <c r="H273" s="492" t="b">
        <v>0</v>
      </c>
      <c r="I273" s="492">
        <v>10</v>
      </c>
      <c r="J273" s="492" t="b">
        <v>0</v>
      </c>
      <c r="K273" s="492">
        <v>50</v>
      </c>
      <c r="L273" s="492" t="s">
        <v>1013</v>
      </c>
      <c r="M273" s="492" t="s">
        <v>1349</v>
      </c>
      <c r="N273" s="492" t="s">
        <v>2</v>
      </c>
      <c r="O273" s="492">
        <v>50</v>
      </c>
      <c r="P273" s="492" t="s">
        <v>109</v>
      </c>
      <c r="Q273" s="492">
        <v>3</v>
      </c>
      <c r="R273" s="492"/>
      <c r="S273" s="492"/>
      <c r="T273" s="492"/>
      <c r="U273" s="492"/>
      <c r="V273" s="492"/>
      <c r="W273" s="492" t="s">
        <v>1342</v>
      </c>
      <c r="X273" s="492"/>
      <c r="Y273" s="492"/>
      <c r="Z273" s="492"/>
      <c r="AA273" s="492"/>
      <c r="AB273" s="492"/>
      <c r="AC273" s="492"/>
      <c r="AD273" s="492"/>
      <c r="AE273" s="492"/>
      <c r="AF273" s="492"/>
      <c r="AG273" s="492"/>
      <c r="AH273" s="492"/>
      <c r="AI273" s="492"/>
      <c r="AJ273" s="492"/>
      <c r="AK273" s="492"/>
      <c r="AL273" s="492"/>
      <c r="AM273" s="492"/>
      <c r="AN273" s="492"/>
      <c r="AO273" s="492"/>
      <c r="AP273" s="492"/>
      <c r="AQ273" s="492"/>
      <c r="AR273" s="492"/>
      <c r="AS273" s="492"/>
      <c r="AT273" s="492"/>
      <c r="AU273" s="492"/>
      <c r="AV273" s="492"/>
      <c r="AW273" s="492"/>
      <c r="AX273" s="492"/>
      <c r="AY273" s="492"/>
      <c r="AZ273" s="492"/>
      <c r="BA273" s="492"/>
      <c r="BB273" s="492"/>
      <c r="BC273" s="492"/>
      <c r="BD273" s="492"/>
      <c r="BE273" s="492"/>
      <c r="BF273" s="492"/>
      <c r="BG273" s="492"/>
      <c r="BH273" s="492"/>
      <c r="BI273" s="492"/>
      <c r="BJ273" s="492"/>
      <c r="BK273" s="492"/>
      <c r="BL273" s="492"/>
      <c r="BM273" s="492"/>
      <c r="BN273" s="492"/>
      <c r="BO273" s="492"/>
      <c r="BP273" s="492"/>
    </row>
    <row r="274" spans="1:68" ht="30">
      <c r="A274" s="492" t="s">
        <v>1066</v>
      </c>
      <c r="B274" s="492">
        <v>390956</v>
      </c>
      <c r="C274" s="492">
        <v>8186063</v>
      </c>
      <c r="D274" s="492">
        <v>219</v>
      </c>
      <c r="E274" s="492">
        <v>109</v>
      </c>
      <c r="F274" s="492">
        <v>60</v>
      </c>
      <c r="G274" s="492" t="b">
        <v>0</v>
      </c>
      <c r="H274" s="492" t="b">
        <v>0</v>
      </c>
      <c r="I274" s="492">
        <v>10</v>
      </c>
      <c r="J274" s="492" t="b">
        <v>0</v>
      </c>
      <c r="K274" s="492">
        <v>40</v>
      </c>
      <c r="L274" s="492" t="s">
        <v>1013</v>
      </c>
      <c r="M274" s="492" t="s">
        <v>1349</v>
      </c>
      <c r="N274" s="492" t="s">
        <v>2</v>
      </c>
      <c r="O274" s="492">
        <v>40</v>
      </c>
      <c r="P274" s="492" t="s">
        <v>109</v>
      </c>
      <c r="Q274" s="492">
        <v>3</v>
      </c>
      <c r="R274" s="492"/>
      <c r="S274" s="492"/>
      <c r="T274" s="492"/>
      <c r="U274" s="492"/>
      <c r="V274" s="492"/>
      <c r="W274" s="492" t="s">
        <v>1342</v>
      </c>
      <c r="X274" s="492"/>
      <c r="Y274" s="492"/>
      <c r="Z274" s="492"/>
      <c r="AA274" s="492"/>
      <c r="AB274" s="492"/>
      <c r="AC274" s="492"/>
      <c r="AD274" s="492"/>
      <c r="AE274" s="492"/>
      <c r="AF274" s="492"/>
      <c r="AG274" s="492"/>
      <c r="AH274" s="492"/>
      <c r="AI274" s="492"/>
      <c r="AJ274" s="492"/>
      <c r="AK274" s="492"/>
      <c r="AL274" s="492"/>
      <c r="AM274" s="492"/>
      <c r="AN274" s="492"/>
      <c r="AO274" s="492"/>
      <c r="AP274" s="492"/>
      <c r="AQ274" s="492"/>
      <c r="AR274" s="492"/>
      <c r="AS274" s="492"/>
      <c r="AT274" s="492"/>
      <c r="AU274" s="492"/>
      <c r="AV274" s="492"/>
      <c r="AW274" s="492"/>
      <c r="AX274" s="492"/>
      <c r="AY274" s="492"/>
      <c r="AZ274" s="492"/>
      <c r="BA274" s="492"/>
      <c r="BB274" s="492"/>
      <c r="BC274" s="492"/>
      <c r="BD274" s="492"/>
      <c r="BE274" s="492"/>
      <c r="BF274" s="492"/>
      <c r="BG274" s="492"/>
      <c r="BH274" s="492"/>
      <c r="BI274" s="492"/>
      <c r="BJ274" s="492"/>
      <c r="BK274" s="492"/>
      <c r="BL274" s="492"/>
      <c r="BM274" s="492"/>
      <c r="BN274" s="492"/>
      <c r="BO274" s="492"/>
      <c r="BP274" s="492"/>
    </row>
    <row r="275" spans="1:68" ht="30">
      <c r="A275" s="492" t="s">
        <v>1080</v>
      </c>
      <c r="B275" s="492">
        <v>390944</v>
      </c>
      <c r="C275" s="492">
        <v>8185813</v>
      </c>
      <c r="D275" s="492">
        <v>187</v>
      </c>
      <c r="E275" s="492">
        <v>289</v>
      </c>
      <c r="F275" s="492">
        <v>60</v>
      </c>
      <c r="G275" s="492" t="b">
        <v>0</v>
      </c>
      <c r="H275" s="492" t="b">
        <v>0</v>
      </c>
      <c r="I275" s="492">
        <v>10</v>
      </c>
      <c r="J275" s="492" t="b">
        <v>0</v>
      </c>
      <c r="K275" s="492">
        <v>60</v>
      </c>
      <c r="L275" s="492" t="s">
        <v>1013</v>
      </c>
      <c r="M275" s="492" t="s">
        <v>1349</v>
      </c>
      <c r="N275" s="492" t="s">
        <v>2</v>
      </c>
      <c r="O275" s="492">
        <v>60</v>
      </c>
      <c r="P275" s="492" t="s">
        <v>109</v>
      </c>
      <c r="Q275" s="492">
        <v>3</v>
      </c>
      <c r="R275" s="492"/>
      <c r="S275" s="492"/>
      <c r="T275" s="492"/>
      <c r="U275" s="492"/>
      <c r="V275" s="492"/>
      <c r="W275" s="492" t="s">
        <v>1342</v>
      </c>
      <c r="X275" s="492"/>
      <c r="Y275" s="492"/>
      <c r="Z275" s="492"/>
      <c r="AA275" s="492"/>
      <c r="AB275" s="492"/>
      <c r="AC275" s="492"/>
      <c r="AD275" s="492"/>
      <c r="AE275" s="492"/>
      <c r="AF275" s="492"/>
      <c r="AG275" s="492"/>
      <c r="AH275" s="492"/>
      <c r="AI275" s="492"/>
      <c r="AJ275" s="492"/>
      <c r="AK275" s="492"/>
      <c r="AL275" s="492"/>
      <c r="AM275" s="492"/>
      <c r="AN275" s="492"/>
      <c r="AO275" s="492"/>
      <c r="AP275" s="492"/>
      <c r="AQ275" s="492"/>
      <c r="AR275" s="492"/>
      <c r="AS275" s="492"/>
      <c r="AT275" s="492"/>
      <c r="AU275" s="492"/>
      <c r="AV275" s="492"/>
      <c r="AW275" s="492"/>
      <c r="AX275" s="492"/>
      <c r="AY275" s="492"/>
      <c r="AZ275" s="492"/>
      <c r="BA275" s="492"/>
      <c r="BB275" s="492"/>
      <c r="BC275" s="492"/>
      <c r="BD275" s="492"/>
      <c r="BE275" s="492"/>
      <c r="BF275" s="492"/>
      <c r="BG275" s="492"/>
      <c r="BH275" s="492"/>
      <c r="BI275" s="492"/>
      <c r="BJ275" s="492"/>
      <c r="BK275" s="492"/>
      <c r="BL275" s="492"/>
      <c r="BM275" s="492"/>
      <c r="BN275" s="492"/>
      <c r="BO275" s="492"/>
      <c r="BP275" s="492"/>
    </row>
    <row r="276" spans="1:68" ht="75">
      <c r="A276" s="492" t="s">
        <v>1136</v>
      </c>
      <c r="B276" s="492">
        <v>391145</v>
      </c>
      <c r="C276" s="492">
        <v>8185449</v>
      </c>
      <c r="D276" s="492">
        <v>175</v>
      </c>
      <c r="E276" s="492">
        <v>109</v>
      </c>
      <c r="F276" s="492">
        <v>60</v>
      </c>
      <c r="G276" s="492" t="b">
        <v>0</v>
      </c>
      <c r="H276" s="492" t="b">
        <v>0</v>
      </c>
      <c r="I276" s="492">
        <v>10</v>
      </c>
      <c r="J276" s="492" t="b">
        <v>0</v>
      </c>
      <c r="K276" s="492">
        <v>100</v>
      </c>
      <c r="L276" s="492" t="s">
        <v>1013</v>
      </c>
      <c r="M276" s="492" t="s">
        <v>1308</v>
      </c>
      <c r="N276" s="492" t="s">
        <v>2</v>
      </c>
      <c r="O276" s="492">
        <v>100</v>
      </c>
      <c r="P276" s="492" t="s">
        <v>109</v>
      </c>
      <c r="Q276" s="492">
        <v>3</v>
      </c>
      <c r="R276" s="492"/>
      <c r="S276" s="492"/>
      <c r="T276" s="492"/>
      <c r="U276" s="492"/>
      <c r="V276" s="492"/>
      <c r="W276" s="492" t="s">
        <v>1342</v>
      </c>
      <c r="X276" s="492"/>
      <c r="Y276" s="492">
        <v>391145</v>
      </c>
      <c r="Z276" s="492">
        <v>8185449</v>
      </c>
      <c r="AA276" s="492">
        <v>10322.938035696199</v>
      </c>
      <c r="AB276" s="492">
        <v>10480.331957722001</v>
      </c>
      <c r="AC276" s="492">
        <v>7</v>
      </c>
      <c r="AD276" s="492">
        <v>23444</v>
      </c>
      <c r="AE276" s="492" t="s">
        <v>1343</v>
      </c>
      <c r="AF276" s="492" t="s">
        <v>1298</v>
      </c>
      <c r="AG276" s="492" t="s">
        <v>1299</v>
      </c>
      <c r="AH276" s="492" t="s">
        <v>1300</v>
      </c>
      <c r="AI276" s="492">
        <v>1</v>
      </c>
      <c r="AJ276" s="492" t="s">
        <v>1301</v>
      </c>
      <c r="AK276" s="492" t="s">
        <v>1302</v>
      </c>
      <c r="AL276" s="492"/>
      <c r="AM276" s="492"/>
      <c r="AN276" s="492"/>
      <c r="AO276" s="492"/>
      <c r="AP276" s="492"/>
      <c r="AQ276" s="492"/>
      <c r="AR276" s="492"/>
      <c r="AS276" s="492"/>
      <c r="AT276" s="492"/>
      <c r="AU276" s="492"/>
      <c r="AV276" s="492"/>
      <c r="AW276" s="492"/>
      <c r="AX276" s="492"/>
      <c r="AY276" s="492"/>
      <c r="AZ276" s="492"/>
      <c r="BA276" s="492"/>
      <c r="BB276" s="493">
        <v>32303</v>
      </c>
      <c r="BC276" s="494">
        <v>0.4375</v>
      </c>
      <c r="BD276" s="493">
        <v>47989</v>
      </c>
      <c r="BE276" s="494">
        <v>0.99998842592592596</v>
      </c>
      <c r="BF276" s="493">
        <v>32639</v>
      </c>
      <c r="BG276" s="494">
        <v>0</v>
      </c>
      <c r="BH276" s="492" t="s">
        <v>1344</v>
      </c>
      <c r="BI276" s="492">
        <v>749</v>
      </c>
      <c r="BJ276" s="492" t="s">
        <v>1304</v>
      </c>
      <c r="BK276" s="492"/>
      <c r="BL276" s="493">
        <v>45551</v>
      </c>
      <c r="BM276" s="492" t="s">
        <v>1305</v>
      </c>
      <c r="BN276" s="492" t="s">
        <v>1301</v>
      </c>
      <c r="BO276" s="492">
        <v>0.15434059947487599</v>
      </c>
      <c r="BP276" s="492">
        <v>6.3356001313399999E-4</v>
      </c>
    </row>
    <row r="277" spans="1:68" ht="75">
      <c r="A277" s="492" t="s">
        <v>1130</v>
      </c>
      <c r="B277" s="492">
        <v>391172</v>
      </c>
      <c r="C277" s="492">
        <v>8185524</v>
      </c>
      <c r="D277" s="492">
        <v>175</v>
      </c>
      <c r="E277" s="492">
        <v>109</v>
      </c>
      <c r="F277" s="492">
        <v>60</v>
      </c>
      <c r="G277" s="492" t="b">
        <v>0</v>
      </c>
      <c r="H277" s="492" t="b">
        <v>0</v>
      </c>
      <c r="I277" s="492">
        <v>10</v>
      </c>
      <c r="J277" s="492" t="b">
        <v>0</v>
      </c>
      <c r="K277" s="492">
        <v>200</v>
      </c>
      <c r="L277" s="492" t="s">
        <v>1013</v>
      </c>
      <c r="M277" s="492" t="s">
        <v>1308</v>
      </c>
      <c r="N277" s="492" t="s">
        <v>2</v>
      </c>
      <c r="O277" s="492">
        <v>200</v>
      </c>
      <c r="P277" s="492" t="s">
        <v>109</v>
      </c>
      <c r="Q277" s="492">
        <v>3</v>
      </c>
      <c r="R277" s="492"/>
      <c r="S277" s="492"/>
      <c r="T277" s="492"/>
      <c r="U277" s="492"/>
      <c r="V277" s="492"/>
      <c r="W277" s="492" t="s">
        <v>1342</v>
      </c>
      <c r="X277" s="492"/>
      <c r="Y277" s="492">
        <v>391172</v>
      </c>
      <c r="Z277" s="492">
        <v>8185524</v>
      </c>
      <c r="AA277" s="492">
        <v>10324.204265912</v>
      </c>
      <c r="AB277" s="492">
        <v>10560.05715325</v>
      </c>
      <c r="AC277" s="492">
        <v>7</v>
      </c>
      <c r="AD277" s="492">
        <v>23444</v>
      </c>
      <c r="AE277" s="492" t="s">
        <v>1343</v>
      </c>
      <c r="AF277" s="492" t="s">
        <v>1298</v>
      </c>
      <c r="AG277" s="492" t="s">
        <v>1299</v>
      </c>
      <c r="AH277" s="492" t="s">
        <v>1300</v>
      </c>
      <c r="AI277" s="492">
        <v>1</v>
      </c>
      <c r="AJ277" s="492" t="s">
        <v>1301</v>
      </c>
      <c r="AK277" s="492" t="s">
        <v>1302</v>
      </c>
      <c r="AL277" s="492"/>
      <c r="AM277" s="492"/>
      <c r="AN277" s="492"/>
      <c r="AO277" s="492"/>
      <c r="AP277" s="492"/>
      <c r="AQ277" s="492"/>
      <c r="AR277" s="492"/>
      <c r="AS277" s="492"/>
      <c r="AT277" s="492"/>
      <c r="AU277" s="492"/>
      <c r="AV277" s="492"/>
      <c r="AW277" s="492"/>
      <c r="AX277" s="492"/>
      <c r="AY277" s="492"/>
      <c r="AZ277" s="492"/>
      <c r="BA277" s="492"/>
      <c r="BB277" s="493">
        <v>32303</v>
      </c>
      <c r="BC277" s="494">
        <v>0.4375</v>
      </c>
      <c r="BD277" s="493">
        <v>47989</v>
      </c>
      <c r="BE277" s="494">
        <v>0.99998842592592596</v>
      </c>
      <c r="BF277" s="493">
        <v>32639</v>
      </c>
      <c r="BG277" s="494">
        <v>0</v>
      </c>
      <c r="BH277" s="492" t="s">
        <v>1344</v>
      </c>
      <c r="BI277" s="492">
        <v>749</v>
      </c>
      <c r="BJ277" s="492" t="s">
        <v>1304</v>
      </c>
      <c r="BK277" s="492"/>
      <c r="BL277" s="493">
        <v>45551</v>
      </c>
      <c r="BM277" s="492" t="s">
        <v>1305</v>
      </c>
      <c r="BN277" s="492" t="s">
        <v>1301</v>
      </c>
      <c r="BO277" s="492">
        <v>0.15434059947487599</v>
      </c>
      <c r="BP277" s="492">
        <v>6.3356001313399999E-4</v>
      </c>
    </row>
    <row r="278" spans="1:68" ht="75">
      <c r="A278" s="492" t="s">
        <v>1088</v>
      </c>
      <c r="B278" s="492">
        <v>390897</v>
      </c>
      <c r="C278" s="492">
        <v>8185533</v>
      </c>
      <c r="D278" s="492">
        <v>180</v>
      </c>
      <c r="E278" s="492">
        <v>289</v>
      </c>
      <c r="F278" s="492">
        <v>60</v>
      </c>
      <c r="G278" s="492" t="b">
        <v>0</v>
      </c>
      <c r="H278" s="492" t="b">
        <v>0</v>
      </c>
      <c r="I278" s="492">
        <v>10</v>
      </c>
      <c r="J278" s="492" t="b">
        <v>0</v>
      </c>
      <c r="K278" s="492">
        <v>200</v>
      </c>
      <c r="L278" s="492" t="s">
        <v>1013</v>
      </c>
      <c r="M278" s="492" t="s">
        <v>1308</v>
      </c>
      <c r="N278" s="492" t="s">
        <v>2</v>
      </c>
      <c r="O278" s="492">
        <v>200</v>
      </c>
      <c r="P278" s="492" t="s">
        <v>109</v>
      </c>
      <c r="Q278" s="492">
        <v>3</v>
      </c>
      <c r="R278" s="492"/>
      <c r="S278" s="492"/>
      <c r="T278" s="492"/>
      <c r="U278" s="492"/>
      <c r="V278" s="492"/>
      <c r="W278" s="492"/>
      <c r="X278" s="492"/>
      <c r="Y278" s="492">
        <v>390897</v>
      </c>
      <c r="Z278" s="492">
        <v>8185533</v>
      </c>
      <c r="AA278" s="492">
        <v>10061.0232091988</v>
      </c>
      <c r="AB278" s="492">
        <v>10479.521840408401</v>
      </c>
      <c r="AC278" s="492">
        <v>7</v>
      </c>
      <c r="AD278" s="492">
        <v>23444</v>
      </c>
      <c r="AE278" s="492" t="s">
        <v>1343</v>
      </c>
      <c r="AF278" s="492" t="s">
        <v>1298</v>
      </c>
      <c r="AG278" s="492" t="s">
        <v>1299</v>
      </c>
      <c r="AH278" s="492" t="s">
        <v>1300</v>
      </c>
      <c r="AI278" s="492">
        <v>1</v>
      </c>
      <c r="AJ278" s="492" t="s">
        <v>1301</v>
      </c>
      <c r="AK278" s="492" t="s">
        <v>1302</v>
      </c>
      <c r="AL278" s="492"/>
      <c r="AM278" s="492"/>
      <c r="AN278" s="492"/>
      <c r="AO278" s="492"/>
      <c r="AP278" s="492"/>
      <c r="AQ278" s="492"/>
      <c r="AR278" s="492"/>
      <c r="AS278" s="492"/>
      <c r="AT278" s="492"/>
      <c r="AU278" s="492"/>
      <c r="AV278" s="492"/>
      <c r="AW278" s="492"/>
      <c r="AX278" s="492"/>
      <c r="AY278" s="492"/>
      <c r="AZ278" s="492"/>
      <c r="BA278" s="492"/>
      <c r="BB278" s="493">
        <v>32303</v>
      </c>
      <c r="BC278" s="494">
        <v>0.4375</v>
      </c>
      <c r="BD278" s="493">
        <v>47989</v>
      </c>
      <c r="BE278" s="494">
        <v>0.99998842592592596</v>
      </c>
      <c r="BF278" s="493">
        <v>32639</v>
      </c>
      <c r="BG278" s="494">
        <v>0</v>
      </c>
      <c r="BH278" s="492" t="s">
        <v>1344</v>
      </c>
      <c r="BI278" s="492">
        <v>749</v>
      </c>
      <c r="BJ278" s="492" t="s">
        <v>1304</v>
      </c>
      <c r="BK278" s="492"/>
      <c r="BL278" s="493">
        <v>45551</v>
      </c>
      <c r="BM278" s="492" t="s">
        <v>1305</v>
      </c>
      <c r="BN278" s="492" t="s">
        <v>1301</v>
      </c>
      <c r="BO278" s="492">
        <v>0.15434059947487599</v>
      </c>
      <c r="BP278" s="492">
        <v>6.3356001313399999E-4</v>
      </c>
    </row>
    <row r="279" spans="1:68" ht="75">
      <c r="A279" s="492" t="s">
        <v>1129</v>
      </c>
      <c r="B279" s="492">
        <v>391092</v>
      </c>
      <c r="C279" s="492">
        <v>8185551</v>
      </c>
      <c r="D279" s="492">
        <v>175</v>
      </c>
      <c r="E279" s="492">
        <v>109</v>
      </c>
      <c r="F279" s="492">
        <v>60</v>
      </c>
      <c r="G279" s="492" t="b">
        <v>0</v>
      </c>
      <c r="H279" s="492" t="b">
        <v>0</v>
      </c>
      <c r="I279" s="492">
        <v>10</v>
      </c>
      <c r="J279" s="492" t="b">
        <v>0</v>
      </c>
      <c r="K279" s="492">
        <v>250</v>
      </c>
      <c r="L279" s="492" t="s">
        <v>1013</v>
      </c>
      <c r="M279" s="492" t="s">
        <v>1308</v>
      </c>
      <c r="N279" s="492" t="s">
        <v>2</v>
      </c>
      <c r="O279" s="492">
        <v>250</v>
      </c>
      <c r="P279" s="492" t="s">
        <v>109</v>
      </c>
      <c r="Q279" s="492">
        <v>3</v>
      </c>
      <c r="R279" s="492"/>
      <c r="S279" s="492"/>
      <c r="T279" s="492"/>
      <c r="U279" s="492"/>
      <c r="V279" s="492"/>
      <c r="W279" s="492"/>
      <c r="X279" s="492"/>
      <c r="Y279" s="492">
        <v>391092</v>
      </c>
      <c r="Z279" s="492">
        <v>8185551</v>
      </c>
      <c r="AA279" s="492">
        <v>10239.746950549499</v>
      </c>
      <c r="AB279" s="492">
        <v>10559.7042356692</v>
      </c>
      <c r="AC279" s="492">
        <v>7</v>
      </c>
      <c r="AD279" s="492">
        <v>23444</v>
      </c>
      <c r="AE279" s="492" t="s">
        <v>1343</v>
      </c>
      <c r="AF279" s="492" t="s">
        <v>1298</v>
      </c>
      <c r="AG279" s="492" t="s">
        <v>1299</v>
      </c>
      <c r="AH279" s="492" t="s">
        <v>1300</v>
      </c>
      <c r="AI279" s="492">
        <v>1</v>
      </c>
      <c r="AJ279" s="492" t="s">
        <v>1301</v>
      </c>
      <c r="AK279" s="492" t="s">
        <v>1302</v>
      </c>
      <c r="AL279" s="492"/>
      <c r="AM279" s="492"/>
      <c r="AN279" s="492"/>
      <c r="AO279" s="492"/>
      <c r="AP279" s="492"/>
      <c r="AQ279" s="492"/>
      <c r="AR279" s="492"/>
      <c r="AS279" s="492"/>
      <c r="AT279" s="492"/>
      <c r="AU279" s="492"/>
      <c r="AV279" s="492"/>
      <c r="AW279" s="492"/>
      <c r="AX279" s="492"/>
      <c r="AY279" s="492"/>
      <c r="AZ279" s="492"/>
      <c r="BA279" s="492"/>
      <c r="BB279" s="493">
        <v>32303</v>
      </c>
      <c r="BC279" s="494">
        <v>0.4375</v>
      </c>
      <c r="BD279" s="493">
        <v>47989</v>
      </c>
      <c r="BE279" s="494">
        <v>0.99998842592592596</v>
      </c>
      <c r="BF279" s="493">
        <v>32639</v>
      </c>
      <c r="BG279" s="494">
        <v>0</v>
      </c>
      <c r="BH279" s="492" t="s">
        <v>1344</v>
      </c>
      <c r="BI279" s="492">
        <v>749</v>
      </c>
      <c r="BJ279" s="492" t="s">
        <v>1304</v>
      </c>
      <c r="BK279" s="492"/>
      <c r="BL279" s="493">
        <v>45551</v>
      </c>
      <c r="BM279" s="492" t="s">
        <v>1305</v>
      </c>
      <c r="BN279" s="492" t="s">
        <v>1301</v>
      </c>
      <c r="BO279" s="492">
        <v>0.15434059947487599</v>
      </c>
      <c r="BP279" s="492">
        <v>6.3356001313399999E-4</v>
      </c>
    </row>
    <row r="280" spans="1:68" ht="75">
      <c r="A280" s="492" t="s">
        <v>498</v>
      </c>
      <c r="B280" s="492">
        <v>391193</v>
      </c>
      <c r="C280" s="492">
        <v>8185560</v>
      </c>
      <c r="D280" s="492">
        <v>176</v>
      </c>
      <c r="E280" s="492">
        <v>109</v>
      </c>
      <c r="F280" s="492">
        <v>60</v>
      </c>
      <c r="G280" s="492" t="b">
        <v>0</v>
      </c>
      <c r="H280" s="492" t="b">
        <v>0</v>
      </c>
      <c r="I280" s="492">
        <v>10</v>
      </c>
      <c r="J280" s="492" t="b">
        <v>0</v>
      </c>
      <c r="K280" s="492">
        <v>130</v>
      </c>
      <c r="L280" s="492" t="s">
        <v>1013</v>
      </c>
      <c r="M280" s="492" t="s">
        <v>1296</v>
      </c>
      <c r="N280" s="492" t="s">
        <v>1</v>
      </c>
      <c r="O280" s="492">
        <v>130</v>
      </c>
      <c r="P280" s="492" t="s">
        <v>109</v>
      </c>
      <c r="Q280" s="492">
        <v>3</v>
      </c>
      <c r="R280" s="492"/>
      <c r="S280" s="492"/>
      <c r="T280" s="492"/>
      <c r="U280" s="492"/>
      <c r="V280" s="492"/>
      <c r="W280" s="492"/>
      <c r="X280" s="492"/>
      <c r="Y280" s="492">
        <v>391193</v>
      </c>
      <c r="Z280" s="492">
        <v>8185560</v>
      </c>
      <c r="AA280" s="492">
        <v>10332.4213051027</v>
      </c>
      <c r="AB280" s="492">
        <v>10600.928836752601</v>
      </c>
      <c r="AC280" s="492">
        <v>7</v>
      </c>
      <c r="AD280" s="492">
        <v>23444</v>
      </c>
      <c r="AE280" s="492" t="s">
        <v>1343</v>
      </c>
      <c r="AF280" s="492" t="s">
        <v>1298</v>
      </c>
      <c r="AG280" s="492" t="s">
        <v>1299</v>
      </c>
      <c r="AH280" s="492" t="s">
        <v>1300</v>
      </c>
      <c r="AI280" s="492">
        <v>1</v>
      </c>
      <c r="AJ280" s="492" t="s">
        <v>1301</v>
      </c>
      <c r="AK280" s="492" t="s">
        <v>1302</v>
      </c>
      <c r="AL280" s="492"/>
      <c r="AM280" s="492"/>
      <c r="AN280" s="492"/>
      <c r="AO280" s="492"/>
      <c r="AP280" s="492"/>
      <c r="AQ280" s="492"/>
      <c r="AR280" s="492"/>
      <c r="AS280" s="492"/>
      <c r="AT280" s="492"/>
      <c r="AU280" s="492"/>
      <c r="AV280" s="492"/>
      <c r="AW280" s="492"/>
      <c r="AX280" s="492"/>
      <c r="AY280" s="492"/>
      <c r="AZ280" s="492"/>
      <c r="BA280" s="492"/>
      <c r="BB280" s="493">
        <v>32303</v>
      </c>
      <c r="BC280" s="494">
        <v>0.4375</v>
      </c>
      <c r="BD280" s="493">
        <v>47989</v>
      </c>
      <c r="BE280" s="494">
        <v>0.99998842592592596</v>
      </c>
      <c r="BF280" s="493">
        <v>32639</v>
      </c>
      <c r="BG280" s="494">
        <v>0</v>
      </c>
      <c r="BH280" s="492" t="s">
        <v>1344</v>
      </c>
      <c r="BI280" s="492">
        <v>749</v>
      </c>
      <c r="BJ280" s="492" t="s">
        <v>1304</v>
      </c>
      <c r="BK280" s="492"/>
      <c r="BL280" s="493">
        <v>45551</v>
      </c>
      <c r="BM280" s="492" t="s">
        <v>1305</v>
      </c>
      <c r="BN280" s="492" t="s">
        <v>1301</v>
      </c>
      <c r="BO280" s="492">
        <v>0.15434059947487599</v>
      </c>
      <c r="BP280" s="492">
        <v>6.3356001313399999E-4</v>
      </c>
    </row>
    <row r="281" spans="1:68" ht="75">
      <c r="A281" s="492" t="s">
        <v>1128</v>
      </c>
      <c r="B281" s="492">
        <v>391169</v>
      </c>
      <c r="C281" s="492">
        <v>8185567</v>
      </c>
      <c r="D281" s="492">
        <v>174</v>
      </c>
      <c r="E281" s="492">
        <v>109</v>
      </c>
      <c r="F281" s="492">
        <v>60</v>
      </c>
      <c r="G281" s="492" t="b">
        <v>0</v>
      </c>
      <c r="H281" s="492" t="b">
        <v>0</v>
      </c>
      <c r="I281" s="492">
        <v>10</v>
      </c>
      <c r="J281" s="492" t="b">
        <v>0</v>
      </c>
      <c r="K281" s="492">
        <v>170</v>
      </c>
      <c r="L281" s="492" t="s">
        <v>1013</v>
      </c>
      <c r="M281" s="492" t="s">
        <v>1308</v>
      </c>
      <c r="N281" s="492" t="s">
        <v>2</v>
      </c>
      <c r="O281" s="492">
        <v>170</v>
      </c>
      <c r="P281" s="492" t="s">
        <v>109</v>
      </c>
      <c r="Q281" s="492">
        <v>3</v>
      </c>
      <c r="R281" s="492"/>
      <c r="S281" s="492"/>
      <c r="T281" s="492"/>
      <c r="U281" s="492"/>
      <c r="V281" s="492"/>
      <c r="W281" s="492"/>
      <c r="X281" s="492"/>
      <c r="Y281" s="492">
        <v>391169</v>
      </c>
      <c r="Z281" s="492">
        <v>8185567</v>
      </c>
      <c r="AA281" s="492">
        <v>10307.4403230068</v>
      </c>
      <c r="AB281" s="492">
        <v>10599.781895115</v>
      </c>
      <c r="AC281" s="492">
        <v>7</v>
      </c>
      <c r="AD281" s="492">
        <v>23444</v>
      </c>
      <c r="AE281" s="492" t="s">
        <v>1343</v>
      </c>
      <c r="AF281" s="492" t="s">
        <v>1298</v>
      </c>
      <c r="AG281" s="492" t="s">
        <v>1299</v>
      </c>
      <c r="AH281" s="492" t="s">
        <v>1300</v>
      </c>
      <c r="AI281" s="492">
        <v>1</v>
      </c>
      <c r="AJ281" s="492" t="s">
        <v>1301</v>
      </c>
      <c r="AK281" s="492" t="s">
        <v>1302</v>
      </c>
      <c r="AL281" s="492"/>
      <c r="AM281" s="492"/>
      <c r="AN281" s="492"/>
      <c r="AO281" s="492"/>
      <c r="AP281" s="492"/>
      <c r="AQ281" s="492"/>
      <c r="AR281" s="492"/>
      <c r="AS281" s="492"/>
      <c r="AT281" s="492"/>
      <c r="AU281" s="492"/>
      <c r="AV281" s="492"/>
      <c r="AW281" s="492"/>
      <c r="AX281" s="492"/>
      <c r="AY281" s="492"/>
      <c r="AZ281" s="492"/>
      <c r="BA281" s="492"/>
      <c r="BB281" s="493">
        <v>32303</v>
      </c>
      <c r="BC281" s="494">
        <v>0.4375</v>
      </c>
      <c r="BD281" s="493">
        <v>47989</v>
      </c>
      <c r="BE281" s="494">
        <v>0.99998842592592596</v>
      </c>
      <c r="BF281" s="493">
        <v>32639</v>
      </c>
      <c r="BG281" s="494">
        <v>0</v>
      </c>
      <c r="BH281" s="492" t="s">
        <v>1344</v>
      </c>
      <c r="BI281" s="492">
        <v>749</v>
      </c>
      <c r="BJ281" s="492" t="s">
        <v>1304</v>
      </c>
      <c r="BK281" s="492"/>
      <c r="BL281" s="493">
        <v>45551</v>
      </c>
      <c r="BM281" s="492" t="s">
        <v>1305</v>
      </c>
      <c r="BN281" s="492" t="s">
        <v>1301</v>
      </c>
      <c r="BO281" s="492">
        <v>0.15434059947487599</v>
      </c>
      <c r="BP281" s="492">
        <v>6.3356001313399999E-4</v>
      </c>
    </row>
    <row r="282" spans="1:68" ht="75">
      <c r="A282" s="492" t="s">
        <v>842</v>
      </c>
      <c r="B282" s="492">
        <v>390918</v>
      </c>
      <c r="C282" s="492">
        <v>8185568</v>
      </c>
      <c r="D282" s="492">
        <v>178</v>
      </c>
      <c r="E282" s="492">
        <v>289</v>
      </c>
      <c r="F282" s="492">
        <v>60</v>
      </c>
      <c r="G282" s="492" t="b">
        <v>0</v>
      </c>
      <c r="H282" s="492" t="b">
        <v>0</v>
      </c>
      <c r="I282" s="492">
        <v>10</v>
      </c>
      <c r="J282" s="492" t="b">
        <v>0</v>
      </c>
      <c r="K282" s="492">
        <v>210</v>
      </c>
      <c r="L282" s="492" t="s">
        <v>1013</v>
      </c>
      <c r="M282" s="492" t="s">
        <v>1296</v>
      </c>
      <c r="N282" s="492" t="s">
        <v>2</v>
      </c>
      <c r="O282" s="492">
        <v>210</v>
      </c>
      <c r="P282" s="492" t="s">
        <v>109</v>
      </c>
      <c r="Q282" s="492">
        <v>3</v>
      </c>
      <c r="R282" s="492"/>
      <c r="S282" s="492"/>
      <c r="T282" s="492"/>
      <c r="U282" s="492"/>
      <c r="V282" s="492"/>
      <c r="W282" s="492" t="s">
        <v>1307</v>
      </c>
      <c r="X282" s="492"/>
      <c r="Y282" s="492">
        <v>390918</v>
      </c>
      <c r="Z282" s="492">
        <v>8185568</v>
      </c>
      <c r="AA282" s="492">
        <v>10069.5640779477</v>
      </c>
      <c r="AB282" s="492">
        <v>10519.447099946399</v>
      </c>
      <c r="AC282" s="492">
        <v>7</v>
      </c>
      <c r="AD282" s="492">
        <v>23444</v>
      </c>
      <c r="AE282" s="492" t="s">
        <v>1343</v>
      </c>
      <c r="AF282" s="492" t="s">
        <v>1298</v>
      </c>
      <c r="AG282" s="492" t="s">
        <v>1299</v>
      </c>
      <c r="AH282" s="492" t="s">
        <v>1300</v>
      </c>
      <c r="AI282" s="492">
        <v>1</v>
      </c>
      <c r="AJ282" s="492" t="s">
        <v>1301</v>
      </c>
      <c r="AK282" s="492" t="s">
        <v>1302</v>
      </c>
      <c r="AL282" s="492"/>
      <c r="AM282" s="492"/>
      <c r="AN282" s="492"/>
      <c r="AO282" s="492"/>
      <c r="AP282" s="492"/>
      <c r="AQ282" s="492"/>
      <c r="AR282" s="492"/>
      <c r="AS282" s="492"/>
      <c r="AT282" s="492"/>
      <c r="AU282" s="492"/>
      <c r="AV282" s="492"/>
      <c r="AW282" s="492"/>
      <c r="AX282" s="492"/>
      <c r="AY282" s="492"/>
      <c r="AZ282" s="492"/>
      <c r="BA282" s="492"/>
      <c r="BB282" s="493">
        <v>32303</v>
      </c>
      <c r="BC282" s="494">
        <v>0.4375</v>
      </c>
      <c r="BD282" s="493">
        <v>47989</v>
      </c>
      <c r="BE282" s="494">
        <v>0.99998842592592596</v>
      </c>
      <c r="BF282" s="493">
        <v>32639</v>
      </c>
      <c r="BG282" s="494">
        <v>0</v>
      </c>
      <c r="BH282" s="492" t="s">
        <v>1344</v>
      </c>
      <c r="BI282" s="492">
        <v>749</v>
      </c>
      <c r="BJ282" s="492" t="s">
        <v>1304</v>
      </c>
      <c r="BK282" s="492"/>
      <c r="BL282" s="493">
        <v>45551</v>
      </c>
      <c r="BM282" s="492" t="s">
        <v>1305</v>
      </c>
      <c r="BN282" s="492" t="s">
        <v>1301</v>
      </c>
      <c r="BO282" s="492">
        <v>0.15434059947487599</v>
      </c>
      <c r="BP282" s="492">
        <v>6.3356001313399999E-4</v>
      </c>
    </row>
    <row r="283" spans="1:68" ht="75">
      <c r="A283" s="492" t="s">
        <v>804</v>
      </c>
      <c r="B283" s="492">
        <v>391145</v>
      </c>
      <c r="C283" s="492">
        <v>8185575</v>
      </c>
      <c r="D283" s="492">
        <v>174</v>
      </c>
      <c r="E283" s="492">
        <v>109</v>
      </c>
      <c r="F283" s="492">
        <v>60</v>
      </c>
      <c r="G283" s="492" t="b">
        <v>0</v>
      </c>
      <c r="H283" s="492" t="b">
        <v>0</v>
      </c>
      <c r="I283" s="492">
        <v>10</v>
      </c>
      <c r="J283" s="492" t="b">
        <v>0</v>
      </c>
      <c r="K283" s="492">
        <v>210</v>
      </c>
      <c r="L283" s="492" t="s">
        <v>1013</v>
      </c>
      <c r="M283" s="492" t="s">
        <v>1296</v>
      </c>
      <c r="N283" s="492" t="s">
        <v>2</v>
      </c>
      <c r="O283" s="492">
        <v>210</v>
      </c>
      <c r="P283" s="492" t="s">
        <v>109</v>
      </c>
      <c r="Q283" s="492">
        <v>3</v>
      </c>
      <c r="R283" s="492"/>
      <c r="S283" s="492"/>
      <c r="T283" s="492"/>
      <c r="U283" s="492"/>
      <c r="V283" s="492"/>
      <c r="W283" s="492" t="s">
        <v>1307</v>
      </c>
      <c r="X283" s="492"/>
      <c r="Y283" s="492">
        <v>391145</v>
      </c>
      <c r="Z283" s="492">
        <v>8185575</v>
      </c>
      <c r="AA283" s="492">
        <v>10282.1355113559</v>
      </c>
      <c r="AB283" s="492">
        <v>10599.5813774447</v>
      </c>
      <c r="AC283" s="492">
        <v>7</v>
      </c>
      <c r="AD283" s="492">
        <v>23444</v>
      </c>
      <c r="AE283" s="492" t="s">
        <v>1343</v>
      </c>
      <c r="AF283" s="492" t="s">
        <v>1298</v>
      </c>
      <c r="AG283" s="492" t="s">
        <v>1299</v>
      </c>
      <c r="AH283" s="492" t="s">
        <v>1300</v>
      </c>
      <c r="AI283" s="492">
        <v>1</v>
      </c>
      <c r="AJ283" s="492" t="s">
        <v>1301</v>
      </c>
      <c r="AK283" s="492" t="s">
        <v>1302</v>
      </c>
      <c r="AL283" s="492"/>
      <c r="AM283" s="492"/>
      <c r="AN283" s="492"/>
      <c r="AO283" s="492"/>
      <c r="AP283" s="492"/>
      <c r="AQ283" s="492"/>
      <c r="AR283" s="492"/>
      <c r="AS283" s="492"/>
      <c r="AT283" s="492"/>
      <c r="AU283" s="492"/>
      <c r="AV283" s="492"/>
      <c r="AW283" s="492"/>
      <c r="AX283" s="492"/>
      <c r="AY283" s="492"/>
      <c r="AZ283" s="492"/>
      <c r="BA283" s="492"/>
      <c r="BB283" s="493">
        <v>32303</v>
      </c>
      <c r="BC283" s="494">
        <v>0.4375</v>
      </c>
      <c r="BD283" s="493">
        <v>47989</v>
      </c>
      <c r="BE283" s="494">
        <v>0.99998842592592596</v>
      </c>
      <c r="BF283" s="493">
        <v>32639</v>
      </c>
      <c r="BG283" s="494">
        <v>0</v>
      </c>
      <c r="BH283" s="492" t="s">
        <v>1344</v>
      </c>
      <c r="BI283" s="492">
        <v>749</v>
      </c>
      <c r="BJ283" s="492" t="s">
        <v>1304</v>
      </c>
      <c r="BK283" s="492"/>
      <c r="BL283" s="493">
        <v>45551</v>
      </c>
      <c r="BM283" s="492" t="s">
        <v>1305</v>
      </c>
      <c r="BN283" s="492" t="s">
        <v>1301</v>
      </c>
      <c r="BO283" s="492">
        <v>0.15434059947487599</v>
      </c>
      <c r="BP283" s="492">
        <v>6.3356001313399999E-4</v>
      </c>
    </row>
    <row r="284" spans="1:68" ht="75">
      <c r="A284" s="492" t="s">
        <v>436</v>
      </c>
      <c r="B284" s="492">
        <v>390818</v>
      </c>
      <c r="C284" s="492">
        <v>8185477</v>
      </c>
      <c r="D284" s="492">
        <v>190</v>
      </c>
      <c r="E284" s="492">
        <v>289</v>
      </c>
      <c r="F284" s="492">
        <v>55</v>
      </c>
      <c r="G284" s="492" t="b">
        <v>0</v>
      </c>
      <c r="H284" s="492" t="b">
        <v>0</v>
      </c>
      <c r="I284" s="492">
        <v>10</v>
      </c>
      <c r="J284" s="492" t="b">
        <v>0</v>
      </c>
      <c r="K284" s="492">
        <v>85</v>
      </c>
      <c r="L284" s="492" t="s">
        <v>1306</v>
      </c>
      <c r="M284" s="492" t="s">
        <v>1296</v>
      </c>
      <c r="N284" s="492" t="s">
        <v>1</v>
      </c>
      <c r="O284" s="492">
        <v>85</v>
      </c>
      <c r="P284" s="492" t="s">
        <v>11</v>
      </c>
      <c r="Q284" s="492">
        <v>1</v>
      </c>
      <c r="R284" s="492"/>
      <c r="S284" s="492"/>
      <c r="T284" s="492"/>
      <c r="U284" s="492"/>
      <c r="V284" s="492"/>
      <c r="W284" s="492"/>
      <c r="X284" s="492"/>
      <c r="Y284" s="492">
        <v>390818</v>
      </c>
      <c r="Z284" s="492">
        <v>8185477</v>
      </c>
      <c r="AA284" s="492">
        <v>10004.390171139001</v>
      </c>
      <c r="AB284" s="492">
        <v>10400.9395632054</v>
      </c>
      <c r="AC284" s="492">
        <v>7</v>
      </c>
      <c r="AD284" s="492">
        <v>23444</v>
      </c>
      <c r="AE284" s="492" t="s">
        <v>1343</v>
      </c>
      <c r="AF284" s="492" t="s">
        <v>1298</v>
      </c>
      <c r="AG284" s="492" t="s">
        <v>1299</v>
      </c>
      <c r="AH284" s="492" t="s">
        <v>1300</v>
      </c>
      <c r="AI284" s="492">
        <v>1</v>
      </c>
      <c r="AJ284" s="492" t="s">
        <v>1301</v>
      </c>
      <c r="AK284" s="492" t="s">
        <v>1302</v>
      </c>
      <c r="AL284" s="492"/>
      <c r="AM284" s="492"/>
      <c r="AN284" s="492"/>
      <c r="AO284" s="492"/>
      <c r="AP284" s="492"/>
      <c r="AQ284" s="492"/>
      <c r="AR284" s="492"/>
      <c r="AS284" s="492"/>
      <c r="AT284" s="492"/>
      <c r="AU284" s="492"/>
      <c r="AV284" s="492"/>
      <c r="AW284" s="492"/>
      <c r="AX284" s="492"/>
      <c r="AY284" s="492"/>
      <c r="AZ284" s="492"/>
      <c r="BA284" s="492"/>
      <c r="BB284" s="493">
        <v>32303</v>
      </c>
      <c r="BC284" s="494">
        <v>0.4375</v>
      </c>
      <c r="BD284" s="493">
        <v>47989</v>
      </c>
      <c r="BE284" s="494">
        <v>0.99998842592592596</v>
      </c>
      <c r="BF284" s="493">
        <v>32639</v>
      </c>
      <c r="BG284" s="494">
        <v>0</v>
      </c>
      <c r="BH284" s="492" t="s">
        <v>1344</v>
      </c>
      <c r="BI284" s="492">
        <v>749</v>
      </c>
      <c r="BJ284" s="492" t="s">
        <v>1304</v>
      </c>
      <c r="BK284" s="492"/>
      <c r="BL284" s="493">
        <v>45551</v>
      </c>
      <c r="BM284" s="492" t="s">
        <v>1305</v>
      </c>
      <c r="BN284" s="492" t="s">
        <v>1301</v>
      </c>
      <c r="BO284" s="492">
        <v>0.15434059947487599</v>
      </c>
      <c r="BP284" s="492">
        <v>6.3356001313399999E-4</v>
      </c>
    </row>
    <row r="285" spans="1:68" ht="75">
      <c r="A285" s="492" t="s">
        <v>1091</v>
      </c>
      <c r="B285" s="492">
        <v>391171</v>
      </c>
      <c r="C285" s="492">
        <v>8185482</v>
      </c>
      <c r="D285" s="492">
        <v>176</v>
      </c>
      <c r="E285" s="492">
        <v>109</v>
      </c>
      <c r="F285" s="492">
        <v>60</v>
      </c>
      <c r="G285" s="492" t="b">
        <v>0</v>
      </c>
      <c r="H285" s="492" t="b">
        <v>0</v>
      </c>
      <c r="I285" s="492">
        <v>10</v>
      </c>
      <c r="J285" s="492" t="b">
        <v>0</v>
      </c>
      <c r="K285" s="492">
        <v>160</v>
      </c>
      <c r="L285" s="492" t="s">
        <v>1013</v>
      </c>
      <c r="M285" s="492" t="s">
        <v>1308</v>
      </c>
      <c r="N285" s="492" t="s">
        <v>2</v>
      </c>
      <c r="O285" s="492">
        <v>160</v>
      </c>
      <c r="P285" s="492" t="s">
        <v>109</v>
      </c>
      <c r="Q285" s="492">
        <v>3</v>
      </c>
      <c r="R285" s="492"/>
      <c r="S285" s="492"/>
      <c r="T285" s="492"/>
      <c r="U285" s="492"/>
      <c r="V285" s="492"/>
      <c r="W285" s="492"/>
      <c r="X285" s="492"/>
      <c r="Y285" s="492">
        <v>391171</v>
      </c>
      <c r="Z285" s="492">
        <v>8185482</v>
      </c>
      <c r="AA285" s="492">
        <v>10336.858683394201</v>
      </c>
      <c r="AB285" s="492">
        <v>10519.983517118701</v>
      </c>
      <c r="AC285" s="492">
        <v>7</v>
      </c>
      <c r="AD285" s="492">
        <v>23444</v>
      </c>
      <c r="AE285" s="492" t="s">
        <v>1343</v>
      </c>
      <c r="AF285" s="492" t="s">
        <v>1298</v>
      </c>
      <c r="AG285" s="492" t="s">
        <v>1299</v>
      </c>
      <c r="AH285" s="492" t="s">
        <v>1300</v>
      </c>
      <c r="AI285" s="492">
        <v>1</v>
      </c>
      <c r="AJ285" s="492" t="s">
        <v>1301</v>
      </c>
      <c r="AK285" s="492" t="s">
        <v>1302</v>
      </c>
      <c r="AL285" s="492"/>
      <c r="AM285" s="492"/>
      <c r="AN285" s="492"/>
      <c r="AO285" s="492"/>
      <c r="AP285" s="492"/>
      <c r="AQ285" s="492"/>
      <c r="AR285" s="492"/>
      <c r="AS285" s="492"/>
      <c r="AT285" s="492"/>
      <c r="AU285" s="492"/>
      <c r="AV285" s="492"/>
      <c r="AW285" s="492"/>
      <c r="AX285" s="492"/>
      <c r="AY285" s="492"/>
      <c r="AZ285" s="492"/>
      <c r="BA285" s="492"/>
      <c r="BB285" s="493">
        <v>32303</v>
      </c>
      <c r="BC285" s="494">
        <v>0.4375</v>
      </c>
      <c r="BD285" s="493">
        <v>47989</v>
      </c>
      <c r="BE285" s="494">
        <v>0.99998842592592596</v>
      </c>
      <c r="BF285" s="493">
        <v>32639</v>
      </c>
      <c r="BG285" s="494">
        <v>0</v>
      </c>
      <c r="BH285" s="492" t="s">
        <v>1344</v>
      </c>
      <c r="BI285" s="492">
        <v>749</v>
      </c>
      <c r="BJ285" s="492" t="s">
        <v>1304</v>
      </c>
      <c r="BK285" s="492"/>
      <c r="BL285" s="493">
        <v>45551</v>
      </c>
      <c r="BM285" s="492" t="s">
        <v>1305</v>
      </c>
      <c r="BN285" s="492" t="s">
        <v>1301</v>
      </c>
      <c r="BO285" s="492">
        <v>0.15434059947487599</v>
      </c>
      <c r="BP285" s="492">
        <v>6.3356001313399999E-4</v>
      </c>
    </row>
    <row r="286" spans="1:68" ht="75">
      <c r="A286" s="492" t="s">
        <v>802</v>
      </c>
      <c r="B286" s="492">
        <v>391148</v>
      </c>
      <c r="C286" s="492">
        <v>8185490</v>
      </c>
      <c r="D286" s="492">
        <v>176</v>
      </c>
      <c r="E286" s="492">
        <v>109</v>
      </c>
      <c r="F286" s="492">
        <v>60</v>
      </c>
      <c r="G286" s="492" t="b">
        <v>0</v>
      </c>
      <c r="H286" s="492" t="b">
        <v>0</v>
      </c>
      <c r="I286" s="492">
        <v>10</v>
      </c>
      <c r="J286" s="492" t="b">
        <v>0</v>
      </c>
      <c r="K286" s="492">
        <v>200</v>
      </c>
      <c r="L286" s="492" t="s">
        <v>1013</v>
      </c>
      <c r="M286" s="492" t="s">
        <v>1296</v>
      </c>
      <c r="N286" s="492" t="s">
        <v>2</v>
      </c>
      <c r="O286" s="492">
        <v>200</v>
      </c>
      <c r="P286" s="492" t="s">
        <v>109</v>
      </c>
      <c r="Q286" s="492">
        <v>3</v>
      </c>
      <c r="R286" s="492"/>
      <c r="S286" s="492"/>
      <c r="T286" s="492"/>
      <c r="U286" s="492"/>
      <c r="V286" s="492"/>
      <c r="W286" s="492" t="s">
        <v>1342</v>
      </c>
      <c r="X286" s="492"/>
      <c r="Y286" s="492">
        <v>391146.638351765</v>
      </c>
      <c r="Z286" s="492">
        <v>8185489.4811099097</v>
      </c>
      <c r="AA286" s="492">
        <v>10311.379631132801</v>
      </c>
      <c r="AB286" s="492">
        <v>10519.1747970469</v>
      </c>
      <c r="AC286" s="492">
        <v>7</v>
      </c>
      <c r="AD286" s="492">
        <v>23444</v>
      </c>
      <c r="AE286" s="492" t="s">
        <v>1343</v>
      </c>
      <c r="AF286" s="492" t="s">
        <v>1298</v>
      </c>
      <c r="AG286" s="492" t="s">
        <v>1299</v>
      </c>
      <c r="AH286" s="492" t="s">
        <v>1300</v>
      </c>
      <c r="AI286" s="492">
        <v>1</v>
      </c>
      <c r="AJ286" s="492" t="s">
        <v>1301</v>
      </c>
      <c r="AK286" s="492" t="s">
        <v>1302</v>
      </c>
      <c r="AL286" s="492"/>
      <c r="AM286" s="492"/>
      <c r="AN286" s="492"/>
      <c r="AO286" s="492"/>
      <c r="AP286" s="492"/>
      <c r="AQ286" s="492"/>
      <c r="AR286" s="492"/>
      <c r="AS286" s="492"/>
      <c r="AT286" s="492"/>
      <c r="AU286" s="492"/>
      <c r="AV286" s="492"/>
      <c r="AW286" s="492"/>
      <c r="AX286" s="492"/>
      <c r="AY286" s="492"/>
      <c r="AZ286" s="492"/>
      <c r="BA286" s="492"/>
      <c r="BB286" s="493">
        <v>32303</v>
      </c>
      <c r="BC286" s="494">
        <v>0.4375</v>
      </c>
      <c r="BD286" s="493">
        <v>47989</v>
      </c>
      <c r="BE286" s="494">
        <v>0.99998842592592596</v>
      </c>
      <c r="BF286" s="493">
        <v>32639</v>
      </c>
      <c r="BG286" s="494">
        <v>0</v>
      </c>
      <c r="BH286" s="492" t="s">
        <v>1344</v>
      </c>
      <c r="BI286" s="492">
        <v>749</v>
      </c>
      <c r="BJ286" s="492" t="s">
        <v>1304</v>
      </c>
      <c r="BK286" s="492"/>
      <c r="BL286" s="493">
        <v>45551</v>
      </c>
      <c r="BM286" s="492" t="s">
        <v>1305</v>
      </c>
      <c r="BN286" s="492" t="s">
        <v>1301</v>
      </c>
      <c r="BO286" s="492">
        <v>0.15434059947487599</v>
      </c>
      <c r="BP286" s="492">
        <v>6.3356001313399999E-4</v>
      </c>
    </row>
    <row r="287" spans="1:68" ht="75">
      <c r="A287" s="492" t="s">
        <v>1132</v>
      </c>
      <c r="B287" s="492">
        <v>391127</v>
      </c>
      <c r="C287" s="492">
        <v>8185497</v>
      </c>
      <c r="D287" s="492">
        <v>176</v>
      </c>
      <c r="E287" s="492">
        <v>109</v>
      </c>
      <c r="F287" s="492">
        <v>60</v>
      </c>
      <c r="G287" s="492" t="b">
        <v>0</v>
      </c>
      <c r="H287" s="492" t="b">
        <v>0</v>
      </c>
      <c r="I287" s="492">
        <v>10</v>
      </c>
      <c r="J287" s="492" t="b">
        <v>0</v>
      </c>
      <c r="K287" s="492">
        <v>250</v>
      </c>
      <c r="L287" s="492" t="s">
        <v>1013</v>
      </c>
      <c r="M287" s="492" t="s">
        <v>1308</v>
      </c>
      <c r="N287" s="492" t="s">
        <v>2</v>
      </c>
      <c r="O287" s="492">
        <v>250</v>
      </c>
      <c r="P287" s="492" t="s">
        <v>109</v>
      </c>
      <c r="Q287" s="492">
        <v>3</v>
      </c>
      <c r="R287" s="492"/>
      <c r="S287" s="492"/>
      <c r="T287" s="492"/>
      <c r="U287" s="492"/>
      <c r="V287" s="492"/>
      <c r="W287" s="492" t="s">
        <v>1342</v>
      </c>
      <c r="X287" s="492"/>
      <c r="Y287" s="492">
        <v>391127</v>
      </c>
      <c r="Z287" s="492">
        <v>8185497</v>
      </c>
      <c r="AA287" s="492">
        <v>10290.358585509</v>
      </c>
      <c r="AB287" s="492">
        <v>10519.9313760446</v>
      </c>
      <c r="AC287" s="492">
        <v>7</v>
      </c>
      <c r="AD287" s="492">
        <v>23444</v>
      </c>
      <c r="AE287" s="492" t="s">
        <v>1343</v>
      </c>
      <c r="AF287" s="492" t="s">
        <v>1298</v>
      </c>
      <c r="AG287" s="492" t="s">
        <v>1299</v>
      </c>
      <c r="AH287" s="492" t="s">
        <v>1300</v>
      </c>
      <c r="AI287" s="492">
        <v>1</v>
      </c>
      <c r="AJ287" s="492" t="s">
        <v>1301</v>
      </c>
      <c r="AK287" s="492" t="s">
        <v>1302</v>
      </c>
      <c r="AL287" s="492"/>
      <c r="AM287" s="492"/>
      <c r="AN287" s="492"/>
      <c r="AO287" s="492"/>
      <c r="AP287" s="492"/>
      <c r="AQ287" s="492"/>
      <c r="AR287" s="492"/>
      <c r="AS287" s="492"/>
      <c r="AT287" s="492"/>
      <c r="AU287" s="492"/>
      <c r="AV287" s="492"/>
      <c r="AW287" s="492"/>
      <c r="AX287" s="492"/>
      <c r="AY287" s="492"/>
      <c r="AZ287" s="492"/>
      <c r="BA287" s="492"/>
      <c r="BB287" s="493">
        <v>32303</v>
      </c>
      <c r="BC287" s="494">
        <v>0.4375</v>
      </c>
      <c r="BD287" s="493">
        <v>47989</v>
      </c>
      <c r="BE287" s="494">
        <v>0.99998842592592596</v>
      </c>
      <c r="BF287" s="493">
        <v>32639</v>
      </c>
      <c r="BG287" s="494">
        <v>0</v>
      </c>
      <c r="BH287" s="492" t="s">
        <v>1344</v>
      </c>
      <c r="BI287" s="492">
        <v>749</v>
      </c>
      <c r="BJ287" s="492" t="s">
        <v>1304</v>
      </c>
      <c r="BK287" s="492"/>
      <c r="BL287" s="493">
        <v>45551</v>
      </c>
      <c r="BM287" s="492" t="s">
        <v>1305</v>
      </c>
      <c r="BN287" s="492" t="s">
        <v>1301</v>
      </c>
      <c r="BO287" s="492">
        <v>0.15434059947487599</v>
      </c>
      <c r="BP287" s="492">
        <v>6.3356001313399999E-4</v>
      </c>
    </row>
    <row r="288" spans="1:68" ht="75">
      <c r="A288" s="492" t="s">
        <v>1090</v>
      </c>
      <c r="B288" s="492">
        <v>390864</v>
      </c>
      <c r="C288" s="492">
        <v>8185502</v>
      </c>
      <c r="D288" s="492">
        <v>185</v>
      </c>
      <c r="E288" s="492">
        <v>289</v>
      </c>
      <c r="F288" s="492">
        <v>60</v>
      </c>
      <c r="G288" s="492" t="b">
        <v>0</v>
      </c>
      <c r="H288" s="492" t="b">
        <v>0</v>
      </c>
      <c r="I288" s="492">
        <v>10</v>
      </c>
      <c r="J288" s="492" t="b">
        <v>0</v>
      </c>
      <c r="K288" s="492">
        <v>170</v>
      </c>
      <c r="L288" s="492" t="s">
        <v>1013</v>
      </c>
      <c r="M288" s="492" t="s">
        <v>1308</v>
      </c>
      <c r="N288" s="492" t="s">
        <v>2</v>
      </c>
      <c r="O288" s="492">
        <v>170</v>
      </c>
      <c r="P288" s="492" t="s">
        <v>109</v>
      </c>
      <c r="Q288" s="492">
        <v>3</v>
      </c>
      <c r="R288" s="492"/>
      <c r="S288" s="492"/>
      <c r="T288" s="492"/>
      <c r="U288" s="492"/>
      <c r="V288" s="492"/>
      <c r="W288" s="492"/>
      <c r="X288" s="492"/>
      <c r="Y288" s="492">
        <v>390864</v>
      </c>
      <c r="Z288" s="492">
        <v>8185502</v>
      </c>
      <c r="AA288" s="492">
        <v>10039.829934622099</v>
      </c>
      <c r="AB288" s="492">
        <v>10439.496322037599</v>
      </c>
      <c r="AC288" s="492">
        <v>7</v>
      </c>
      <c r="AD288" s="492">
        <v>23444</v>
      </c>
      <c r="AE288" s="492" t="s">
        <v>1343</v>
      </c>
      <c r="AF288" s="492" t="s">
        <v>1298</v>
      </c>
      <c r="AG288" s="492" t="s">
        <v>1299</v>
      </c>
      <c r="AH288" s="492" t="s">
        <v>1300</v>
      </c>
      <c r="AI288" s="492">
        <v>1</v>
      </c>
      <c r="AJ288" s="492" t="s">
        <v>1301</v>
      </c>
      <c r="AK288" s="492" t="s">
        <v>1302</v>
      </c>
      <c r="AL288" s="492"/>
      <c r="AM288" s="492"/>
      <c r="AN288" s="492"/>
      <c r="AO288" s="492"/>
      <c r="AP288" s="492"/>
      <c r="AQ288" s="492"/>
      <c r="AR288" s="492"/>
      <c r="AS288" s="492"/>
      <c r="AT288" s="492"/>
      <c r="AU288" s="492"/>
      <c r="AV288" s="492"/>
      <c r="AW288" s="492"/>
      <c r="AX288" s="492"/>
      <c r="AY288" s="492"/>
      <c r="AZ288" s="492"/>
      <c r="BA288" s="492"/>
      <c r="BB288" s="493">
        <v>32303</v>
      </c>
      <c r="BC288" s="494">
        <v>0.4375</v>
      </c>
      <c r="BD288" s="493">
        <v>47989</v>
      </c>
      <c r="BE288" s="494">
        <v>0.99998842592592596</v>
      </c>
      <c r="BF288" s="493">
        <v>32639</v>
      </c>
      <c r="BG288" s="494">
        <v>0</v>
      </c>
      <c r="BH288" s="492" t="s">
        <v>1344</v>
      </c>
      <c r="BI288" s="492">
        <v>749</v>
      </c>
      <c r="BJ288" s="492" t="s">
        <v>1304</v>
      </c>
      <c r="BK288" s="492"/>
      <c r="BL288" s="493">
        <v>45551</v>
      </c>
      <c r="BM288" s="492" t="s">
        <v>1305</v>
      </c>
      <c r="BN288" s="492" t="s">
        <v>1301</v>
      </c>
      <c r="BO288" s="492">
        <v>0.15434059947487599</v>
      </c>
      <c r="BP288" s="492">
        <v>6.3356001313399999E-4</v>
      </c>
    </row>
    <row r="289" spans="1:68" ht="75">
      <c r="A289" s="492" t="s">
        <v>1131</v>
      </c>
      <c r="B289" s="492">
        <v>391212</v>
      </c>
      <c r="C289" s="492">
        <v>8185510</v>
      </c>
      <c r="D289" s="492">
        <v>176</v>
      </c>
      <c r="E289" s="492">
        <v>109</v>
      </c>
      <c r="F289" s="492">
        <v>60</v>
      </c>
      <c r="G289" s="492" t="b">
        <v>0</v>
      </c>
      <c r="H289" s="492" t="b">
        <v>0</v>
      </c>
      <c r="I289" s="492">
        <v>10</v>
      </c>
      <c r="J289" s="492" t="b">
        <v>0</v>
      </c>
      <c r="K289" s="492">
        <v>140</v>
      </c>
      <c r="L289" s="492" t="s">
        <v>1013</v>
      </c>
      <c r="M289" s="492" t="s">
        <v>1308</v>
      </c>
      <c r="N289" s="492" t="s">
        <v>2</v>
      </c>
      <c r="O289" s="492">
        <v>140</v>
      </c>
      <c r="P289" s="492" t="s">
        <v>109</v>
      </c>
      <c r="Q289" s="492">
        <v>3</v>
      </c>
      <c r="R289" s="492" t="b">
        <v>1</v>
      </c>
      <c r="S289" s="492" t="b">
        <v>1</v>
      </c>
      <c r="T289" s="492"/>
      <c r="U289" s="495">
        <v>45844</v>
      </c>
      <c r="V289" s="492"/>
      <c r="W289" s="492"/>
      <c r="X289" s="492"/>
      <c r="Y289" s="492">
        <v>391221.10828241397</v>
      </c>
      <c r="Z289" s="492">
        <v>8185507.2586161997</v>
      </c>
      <c r="AA289" s="492">
        <v>10376.102876246399</v>
      </c>
      <c r="AB289" s="492">
        <v>10560.1154198031</v>
      </c>
      <c r="AC289" s="492">
        <v>7</v>
      </c>
      <c r="AD289" s="492">
        <v>23444</v>
      </c>
      <c r="AE289" s="492" t="s">
        <v>1343</v>
      </c>
      <c r="AF289" s="492" t="s">
        <v>1298</v>
      </c>
      <c r="AG289" s="492" t="s">
        <v>1299</v>
      </c>
      <c r="AH289" s="492" t="s">
        <v>1300</v>
      </c>
      <c r="AI289" s="492">
        <v>1</v>
      </c>
      <c r="AJ289" s="492" t="s">
        <v>1301</v>
      </c>
      <c r="AK289" s="492" t="s">
        <v>1302</v>
      </c>
      <c r="AL289" s="492"/>
      <c r="AM289" s="492"/>
      <c r="AN289" s="492"/>
      <c r="AO289" s="492"/>
      <c r="AP289" s="492"/>
      <c r="AQ289" s="492"/>
      <c r="AR289" s="492"/>
      <c r="AS289" s="492"/>
      <c r="AT289" s="492"/>
      <c r="AU289" s="492"/>
      <c r="AV289" s="492"/>
      <c r="AW289" s="492"/>
      <c r="AX289" s="492"/>
      <c r="AY289" s="492"/>
      <c r="AZ289" s="492"/>
      <c r="BA289" s="492"/>
      <c r="BB289" s="493">
        <v>32303</v>
      </c>
      <c r="BC289" s="494">
        <v>0.4375</v>
      </c>
      <c r="BD289" s="493">
        <v>47989</v>
      </c>
      <c r="BE289" s="494">
        <v>0.99998842592592596</v>
      </c>
      <c r="BF289" s="493">
        <v>32639</v>
      </c>
      <c r="BG289" s="494">
        <v>0</v>
      </c>
      <c r="BH289" s="492" t="s">
        <v>1344</v>
      </c>
      <c r="BI289" s="492">
        <v>749</v>
      </c>
      <c r="BJ289" s="492" t="s">
        <v>1304</v>
      </c>
      <c r="BK289" s="492"/>
      <c r="BL289" s="493">
        <v>45551</v>
      </c>
      <c r="BM289" s="492" t="s">
        <v>1305</v>
      </c>
      <c r="BN289" s="492" t="s">
        <v>1301</v>
      </c>
      <c r="BO289" s="492">
        <v>0.15434059947487599</v>
      </c>
      <c r="BP289" s="492">
        <v>6.3356001313399999E-4</v>
      </c>
    </row>
    <row r="290" spans="1:68" ht="75">
      <c r="A290" s="492" t="s">
        <v>1089</v>
      </c>
      <c r="B290" s="492">
        <v>390842</v>
      </c>
      <c r="C290" s="492">
        <v>8185510</v>
      </c>
      <c r="D290" s="492">
        <v>188</v>
      </c>
      <c r="E290" s="492">
        <v>289</v>
      </c>
      <c r="F290" s="492">
        <v>60</v>
      </c>
      <c r="G290" s="492" t="b">
        <v>0</v>
      </c>
      <c r="H290" s="492" t="b">
        <v>0</v>
      </c>
      <c r="I290" s="492">
        <v>10</v>
      </c>
      <c r="J290" s="492" t="b">
        <v>0</v>
      </c>
      <c r="K290" s="492">
        <v>130</v>
      </c>
      <c r="L290" s="492" t="s">
        <v>1013</v>
      </c>
      <c r="M290" s="492" t="s">
        <v>1308</v>
      </c>
      <c r="N290" s="492" t="s">
        <v>2</v>
      </c>
      <c r="O290" s="492">
        <v>130</v>
      </c>
      <c r="P290" s="492" t="s">
        <v>109</v>
      </c>
      <c r="Q290" s="492">
        <v>3</v>
      </c>
      <c r="R290" s="492"/>
      <c r="S290" s="492"/>
      <c r="T290" s="492"/>
      <c r="U290" s="492"/>
      <c r="V290" s="492"/>
      <c r="W290" s="492"/>
      <c r="X290" s="492"/>
      <c r="Y290" s="492">
        <v>390842</v>
      </c>
      <c r="Z290" s="492">
        <v>8185510</v>
      </c>
      <c r="AA290" s="492">
        <v>10016.4179709032</v>
      </c>
      <c r="AB290" s="492">
        <v>10439.943463482799</v>
      </c>
      <c r="AC290" s="492">
        <v>7</v>
      </c>
      <c r="AD290" s="492">
        <v>23444</v>
      </c>
      <c r="AE290" s="492" t="s">
        <v>1343</v>
      </c>
      <c r="AF290" s="492" t="s">
        <v>1298</v>
      </c>
      <c r="AG290" s="492" t="s">
        <v>1299</v>
      </c>
      <c r="AH290" s="492" t="s">
        <v>1300</v>
      </c>
      <c r="AI290" s="492">
        <v>1</v>
      </c>
      <c r="AJ290" s="492" t="s">
        <v>1301</v>
      </c>
      <c r="AK290" s="492" t="s">
        <v>1302</v>
      </c>
      <c r="AL290" s="492"/>
      <c r="AM290" s="492"/>
      <c r="AN290" s="492"/>
      <c r="AO290" s="492"/>
      <c r="AP290" s="492"/>
      <c r="AQ290" s="492"/>
      <c r="AR290" s="492"/>
      <c r="AS290" s="492"/>
      <c r="AT290" s="492"/>
      <c r="AU290" s="492"/>
      <c r="AV290" s="492"/>
      <c r="AW290" s="492"/>
      <c r="AX290" s="492"/>
      <c r="AY290" s="492"/>
      <c r="AZ290" s="492"/>
      <c r="BA290" s="492"/>
      <c r="BB290" s="493">
        <v>32303</v>
      </c>
      <c r="BC290" s="494">
        <v>0.4375</v>
      </c>
      <c r="BD290" s="493">
        <v>47989</v>
      </c>
      <c r="BE290" s="494">
        <v>0.99998842592592596</v>
      </c>
      <c r="BF290" s="493">
        <v>32639</v>
      </c>
      <c r="BG290" s="494">
        <v>0</v>
      </c>
      <c r="BH290" s="492" t="s">
        <v>1344</v>
      </c>
      <c r="BI290" s="492">
        <v>749</v>
      </c>
      <c r="BJ290" s="492" t="s">
        <v>1304</v>
      </c>
      <c r="BK290" s="492"/>
      <c r="BL290" s="493">
        <v>45551</v>
      </c>
      <c r="BM290" s="492" t="s">
        <v>1305</v>
      </c>
      <c r="BN290" s="492" t="s">
        <v>1301</v>
      </c>
      <c r="BO290" s="492">
        <v>0.15434059947487599</v>
      </c>
      <c r="BP290" s="492">
        <v>6.3356001313399999E-4</v>
      </c>
    </row>
    <row r="291" spans="1:68" ht="75">
      <c r="A291" s="492" t="s">
        <v>1135</v>
      </c>
      <c r="B291" s="492">
        <v>391124</v>
      </c>
      <c r="C291" s="492">
        <v>8185456</v>
      </c>
      <c r="D291" s="492">
        <v>176</v>
      </c>
      <c r="E291" s="492">
        <v>109</v>
      </c>
      <c r="F291" s="492">
        <v>60</v>
      </c>
      <c r="G291" s="492" t="b">
        <v>0</v>
      </c>
      <c r="H291" s="492" t="b">
        <v>0</v>
      </c>
      <c r="I291" s="492">
        <v>10</v>
      </c>
      <c r="J291" s="492" t="b">
        <v>0</v>
      </c>
      <c r="K291" s="492">
        <v>140</v>
      </c>
      <c r="L291" s="492" t="s">
        <v>1013</v>
      </c>
      <c r="M291" s="492" t="s">
        <v>1308</v>
      </c>
      <c r="N291" s="492" t="s">
        <v>2</v>
      </c>
      <c r="O291" s="492">
        <v>140</v>
      </c>
      <c r="P291" s="492" t="s">
        <v>109</v>
      </c>
      <c r="Q291" s="492">
        <v>3</v>
      </c>
      <c r="R291" s="492"/>
      <c r="S291" s="492"/>
      <c r="T291" s="492"/>
      <c r="U291" s="492"/>
      <c r="V291" s="492"/>
      <c r="W291" s="492"/>
      <c r="X291" s="492"/>
      <c r="Y291" s="492">
        <v>391124</v>
      </c>
      <c r="Z291" s="492">
        <v>8185456</v>
      </c>
      <c r="AA291" s="492">
        <v>10300.796325499599</v>
      </c>
      <c r="AB291" s="492">
        <v>10480.1565047595</v>
      </c>
      <c r="AC291" s="492">
        <v>7</v>
      </c>
      <c r="AD291" s="492">
        <v>23444</v>
      </c>
      <c r="AE291" s="492" t="s">
        <v>1343</v>
      </c>
      <c r="AF291" s="492" t="s">
        <v>1298</v>
      </c>
      <c r="AG291" s="492" t="s">
        <v>1299</v>
      </c>
      <c r="AH291" s="492" t="s">
        <v>1300</v>
      </c>
      <c r="AI291" s="492">
        <v>1</v>
      </c>
      <c r="AJ291" s="492" t="s">
        <v>1301</v>
      </c>
      <c r="AK291" s="492" t="s">
        <v>1302</v>
      </c>
      <c r="AL291" s="492"/>
      <c r="AM291" s="492"/>
      <c r="AN291" s="492"/>
      <c r="AO291" s="492"/>
      <c r="AP291" s="492"/>
      <c r="AQ291" s="492"/>
      <c r="AR291" s="492"/>
      <c r="AS291" s="492"/>
      <c r="AT291" s="492"/>
      <c r="AU291" s="492"/>
      <c r="AV291" s="492"/>
      <c r="AW291" s="492"/>
      <c r="AX291" s="492"/>
      <c r="AY291" s="492"/>
      <c r="AZ291" s="492"/>
      <c r="BA291" s="492"/>
      <c r="BB291" s="493">
        <v>32303</v>
      </c>
      <c r="BC291" s="494">
        <v>0.4375</v>
      </c>
      <c r="BD291" s="493">
        <v>47989</v>
      </c>
      <c r="BE291" s="494">
        <v>0.99998842592592596</v>
      </c>
      <c r="BF291" s="493">
        <v>32639</v>
      </c>
      <c r="BG291" s="494">
        <v>0</v>
      </c>
      <c r="BH291" s="492" t="s">
        <v>1344</v>
      </c>
      <c r="BI291" s="492">
        <v>749</v>
      </c>
      <c r="BJ291" s="492" t="s">
        <v>1304</v>
      </c>
      <c r="BK291" s="492"/>
      <c r="BL291" s="493">
        <v>45551</v>
      </c>
      <c r="BM291" s="492" t="s">
        <v>1305</v>
      </c>
      <c r="BN291" s="492" t="s">
        <v>1301</v>
      </c>
      <c r="BO291" s="492">
        <v>0.15434059947487599</v>
      </c>
      <c r="BP291" s="492">
        <v>6.3356001313399999E-4</v>
      </c>
    </row>
    <row r="292" spans="1:68" ht="75">
      <c r="A292" s="492" t="s">
        <v>458</v>
      </c>
      <c r="B292" s="492">
        <v>390891</v>
      </c>
      <c r="C292" s="492">
        <v>8185666</v>
      </c>
      <c r="D292" s="492">
        <v>183</v>
      </c>
      <c r="E292" s="492">
        <v>299</v>
      </c>
      <c r="F292" s="492">
        <v>60</v>
      </c>
      <c r="G292" s="492" t="b">
        <v>0</v>
      </c>
      <c r="H292" s="492" t="b">
        <v>0</v>
      </c>
      <c r="I292" s="492">
        <v>10</v>
      </c>
      <c r="J292" s="492" t="b">
        <v>0</v>
      </c>
      <c r="K292" s="492">
        <v>100</v>
      </c>
      <c r="L292" s="492" t="s">
        <v>1306</v>
      </c>
      <c r="M292" s="492" t="s">
        <v>1296</v>
      </c>
      <c r="N292" s="492" t="s">
        <v>1</v>
      </c>
      <c r="O292" s="492">
        <v>100</v>
      </c>
      <c r="P292" s="492" t="s">
        <v>11</v>
      </c>
      <c r="Q292" s="492">
        <v>1</v>
      </c>
      <c r="R292" s="492"/>
      <c r="S292" s="492"/>
      <c r="T292" s="492"/>
      <c r="U292" s="492"/>
      <c r="V292" s="492"/>
      <c r="W292" s="492"/>
      <c r="X292" s="492"/>
      <c r="Y292" s="492">
        <v>390874.90324822598</v>
      </c>
      <c r="Z292" s="492">
        <v>8185646.8737549502</v>
      </c>
      <c r="AA292" s="492">
        <v>10003.2346259765</v>
      </c>
      <c r="AB292" s="492">
        <v>10580.1391098406</v>
      </c>
      <c r="AC292" s="492">
        <v>7</v>
      </c>
      <c r="AD292" s="492">
        <v>23444</v>
      </c>
      <c r="AE292" s="492" t="s">
        <v>1343</v>
      </c>
      <c r="AF292" s="492" t="s">
        <v>1298</v>
      </c>
      <c r="AG292" s="492" t="s">
        <v>1299</v>
      </c>
      <c r="AH292" s="492" t="s">
        <v>1300</v>
      </c>
      <c r="AI292" s="492">
        <v>1</v>
      </c>
      <c r="AJ292" s="492" t="s">
        <v>1301</v>
      </c>
      <c r="AK292" s="492" t="s">
        <v>1302</v>
      </c>
      <c r="AL292" s="492"/>
      <c r="AM292" s="492"/>
      <c r="AN292" s="492"/>
      <c r="AO292" s="492"/>
      <c r="AP292" s="492"/>
      <c r="AQ292" s="492"/>
      <c r="AR292" s="492"/>
      <c r="AS292" s="492"/>
      <c r="AT292" s="492"/>
      <c r="AU292" s="492"/>
      <c r="AV292" s="492"/>
      <c r="AW292" s="492"/>
      <c r="AX292" s="492"/>
      <c r="AY292" s="492"/>
      <c r="AZ292" s="492"/>
      <c r="BA292" s="492"/>
      <c r="BB292" s="493">
        <v>32303</v>
      </c>
      <c r="BC292" s="494">
        <v>0.4375</v>
      </c>
      <c r="BD292" s="493">
        <v>47989</v>
      </c>
      <c r="BE292" s="494">
        <v>0.99998842592592596</v>
      </c>
      <c r="BF292" s="493">
        <v>32639</v>
      </c>
      <c r="BG292" s="494">
        <v>0</v>
      </c>
      <c r="BH292" s="492" t="s">
        <v>1344</v>
      </c>
      <c r="BI292" s="492">
        <v>749</v>
      </c>
      <c r="BJ292" s="492" t="s">
        <v>1304</v>
      </c>
      <c r="BK292" s="492"/>
      <c r="BL292" s="493">
        <v>45551</v>
      </c>
      <c r="BM292" s="492" t="s">
        <v>1305</v>
      </c>
      <c r="BN292" s="492" t="s">
        <v>1301</v>
      </c>
      <c r="BO292" s="492">
        <v>0.15434059947487599</v>
      </c>
      <c r="BP292" s="492">
        <v>6.3356001313399999E-4</v>
      </c>
    </row>
    <row r="293" spans="1:68" ht="75">
      <c r="A293" s="492" t="s">
        <v>1083</v>
      </c>
      <c r="B293" s="492">
        <v>390905</v>
      </c>
      <c r="C293" s="492">
        <v>8185657</v>
      </c>
      <c r="D293" s="492">
        <v>182</v>
      </c>
      <c r="E293" s="492">
        <v>289</v>
      </c>
      <c r="F293" s="492">
        <v>55</v>
      </c>
      <c r="G293" s="492" t="b">
        <v>0</v>
      </c>
      <c r="H293" s="492" t="b">
        <v>0</v>
      </c>
      <c r="I293" s="492">
        <v>10</v>
      </c>
      <c r="J293" s="492" t="b">
        <v>0</v>
      </c>
      <c r="K293" s="492">
        <v>130</v>
      </c>
      <c r="L293" s="492" t="s">
        <v>1013</v>
      </c>
      <c r="M293" s="492" t="s">
        <v>1308</v>
      </c>
      <c r="N293" s="492" t="s">
        <v>2</v>
      </c>
      <c r="O293" s="492">
        <v>130</v>
      </c>
      <c r="P293" s="492" t="s">
        <v>109</v>
      </c>
      <c r="Q293" s="492">
        <v>3</v>
      </c>
      <c r="R293" s="492"/>
      <c r="S293" s="492"/>
      <c r="T293" s="492"/>
      <c r="U293" s="492"/>
      <c r="V293" s="492"/>
      <c r="W293" s="492"/>
      <c r="X293" s="492"/>
      <c r="Y293" s="492">
        <v>390912.572744151</v>
      </c>
      <c r="Z293" s="492">
        <v>8185651.9926063204</v>
      </c>
      <c r="AA293" s="492">
        <v>10037.2283043395</v>
      </c>
      <c r="AB293" s="492">
        <v>10597.1822096752</v>
      </c>
      <c r="AC293" s="492">
        <v>7</v>
      </c>
      <c r="AD293" s="492">
        <v>23444</v>
      </c>
      <c r="AE293" s="492" t="s">
        <v>1343</v>
      </c>
      <c r="AF293" s="492" t="s">
        <v>1298</v>
      </c>
      <c r="AG293" s="492" t="s">
        <v>1299</v>
      </c>
      <c r="AH293" s="492" t="s">
        <v>1300</v>
      </c>
      <c r="AI293" s="492">
        <v>1</v>
      </c>
      <c r="AJ293" s="492" t="s">
        <v>1301</v>
      </c>
      <c r="AK293" s="492" t="s">
        <v>1302</v>
      </c>
      <c r="AL293" s="492"/>
      <c r="AM293" s="492"/>
      <c r="AN293" s="492"/>
      <c r="AO293" s="492"/>
      <c r="AP293" s="492"/>
      <c r="AQ293" s="492"/>
      <c r="AR293" s="492"/>
      <c r="AS293" s="492"/>
      <c r="AT293" s="492"/>
      <c r="AU293" s="492"/>
      <c r="AV293" s="492"/>
      <c r="AW293" s="492"/>
      <c r="AX293" s="492"/>
      <c r="AY293" s="492"/>
      <c r="AZ293" s="492"/>
      <c r="BA293" s="492"/>
      <c r="BB293" s="493">
        <v>32303</v>
      </c>
      <c r="BC293" s="494">
        <v>0.4375</v>
      </c>
      <c r="BD293" s="493">
        <v>47989</v>
      </c>
      <c r="BE293" s="494">
        <v>0.99998842592592596</v>
      </c>
      <c r="BF293" s="493">
        <v>32639</v>
      </c>
      <c r="BG293" s="494">
        <v>0</v>
      </c>
      <c r="BH293" s="492" t="s">
        <v>1344</v>
      </c>
      <c r="BI293" s="492">
        <v>749</v>
      </c>
      <c r="BJ293" s="492" t="s">
        <v>1304</v>
      </c>
      <c r="BK293" s="492"/>
      <c r="BL293" s="493">
        <v>45551</v>
      </c>
      <c r="BM293" s="492" t="s">
        <v>1305</v>
      </c>
      <c r="BN293" s="492" t="s">
        <v>1301</v>
      </c>
      <c r="BO293" s="492">
        <v>0.15434059947487599</v>
      </c>
      <c r="BP293" s="492">
        <v>6.3356001313399999E-4</v>
      </c>
    </row>
    <row r="294" spans="1:68" ht="75">
      <c r="A294" s="492" t="s">
        <v>1082</v>
      </c>
      <c r="B294" s="492">
        <v>390921</v>
      </c>
      <c r="C294" s="492">
        <v>8185694</v>
      </c>
      <c r="D294" s="492">
        <v>178</v>
      </c>
      <c r="E294" s="492">
        <v>329</v>
      </c>
      <c r="F294" s="492">
        <v>55</v>
      </c>
      <c r="G294" s="492" t="b">
        <v>0</v>
      </c>
      <c r="H294" s="492" t="b">
        <v>0</v>
      </c>
      <c r="I294" s="492">
        <v>10</v>
      </c>
      <c r="J294" s="492" t="b">
        <v>0</v>
      </c>
      <c r="K294" s="492">
        <v>150</v>
      </c>
      <c r="L294" s="492" t="s">
        <v>1013</v>
      </c>
      <c r="M294" s="492" t="s">
        <v>1308</v>
      </c>
      <c r="N294" s="492" t="s">
        <v>2</v>
      </c>
      <c r="O294" s="492">
        <v>150</v>
      </c>
      <c r="P294" s="492" t="s">
        <v>109</v>
      </c>
      <c r="Q294" s="492">
        <v>3</v>
      </c>
      <c r="R294" s="492"/>
      <c r="S294" s="492"/>
      <c r="T294" s="492"/>
      <c r="U294" s="492"/>
      <c r="V294" s="492"/>
      <c r="W294" s="492"/>
      <c r="X294" s="492"/>
      <c r="Y294" s="492">
        <v>390913.29463344603</v>
      </c>
      <c r="Z294" s="492">
        <v>8185656.6848867303</v>
      </c>
      <c r="AA294" s="492">
        <v>10036.3920185733</v>
      </c>
      <c r="AB294" s="492">
        <v>10601.856865408799</v>
      </c>
      <c r="AC294" s="492">
        <v>7</v>
      </c>
      <c r="AD294" s="492">
        <v>23444</v>
      </c>
      <c r="AE294" s="492" t="s">
        <v>1343</v>
      </c>
      <c r="AF294" s="492" t="s">
        <v>1298</v>
      </c>
      <c r="AG294" s="492" t="s">
        <v>1299</v>
      </c>
      <c r="AH294" s="492" t="s">
        <v>1300</v>
      </c>
      <c r="AI294" s="492">
        <v>1</v>
      </c>
      <c r="AJ294" s="492" t="s">
        <v>1301</v>
      </c>
      <c r="AK294" s="492" t="s">
        <v>1302</v>
      </c>
      <c r="AL294" s="492"/>
      <c r="AM294" s="492"/>
      <c r="AN294" s="492"/>
      <c r="AO294" s="492"/>
      <c r="AP294" s="492"/>
      <c r="AQ294" s="492"/>
      <c r="AR294" s="492"/>
      <c r="AS294" s="492"/>
      <c r="AT294" s="492"/>
      <c r="AU294" s="492"/>
      <c r="AV294" s="492"/>
      <c r="AW294" s="492"/>
      <c r="AX294" s="492"/>
      <c r="AY294" s="492"/>
      <c r="AZ294" s="492"/>
      <c r="BA294" s="492"/>
      <c r="BB294" s="493">
        <v>32303</v>
      </c>
      <c r="BC294" s="494">
        <v>0.4375</v>
      </c>
      <c r="BD294" s="493">
        <v>47989</v>
      </c>
      <c r="BE294" s="494">
        <v>0.99998842592592596</v>
      </c>
      <c r="BF294" s="493">
        <v>32639</v>
      </c>
      <c r="BG294" s="494">
        <v>0</v>
      </c>
      <c r="BH294" s="492" t="s">
        <v>1344</v>
      </c>
      <c r="BI294" s="492">
        <v>749</v>
      </c>
      <c r="BJ294" s="492" t="s">
        <v>1304</v>
      </c>
      <c r="BK294" s="492"/>
      <c r="BL294" s="493">
        <v>45551</v>
      </c>
      <c r="BM294" s="492" t="s">
        <v>1305</v>
      </c>
      <c r="BN294" s="492" t="s">
        <v>1301</v>
      </c>
      <c r="BO294" s="492">
        <v>0.15434059947487599</v>
      </c>
      <c r="BP294" s="492">
        <v>6.3356001313399999E-4</v>
      </c>
    </row>
    <row r="295" spans="1:68" ht="75">
      <c r="A295" s="492" t="s">
        <v>741</v>
      </c>
      <c r="B295" s="492">
        <v>390952</v>
      </c>
      <c r="C295" s="492">
        <v>8185684</v>
      </c>
      <c r="D295" s="492">
        <v>176</v>
      </c>
      <c r="E295" s="492">
        <v>289</v>
      </c>
      <c r="F295" s="492">
        <v>55</v>
      </c>
      <c r="G295" s="492" t="b">
        <v>0</v>
      </c>
      <c r="H295" s="492" t="b">
        <v>0</v>
      </c>
      <c r="I295" s="492">
        <v>10</v>
      </c>
      <c r="J295" s="492" t="b">
        <v>0</v>
      </c>
      <c r="K295" s="492">
        <v>200</v>
      </c>
      <c r="L295" s="492" t="s">
        <v>1013</v>
      </c>
      <c r="M295" s="492" t="s">
        <v>1296</v>
      </c>
      <c r="N295" s="492" t="s">
        <v>2</v>
      </c>
      <c r="O295" s="492">
        <v>200</v>
      </c>
      <c r="P295" s="492" t="s">
        <v>109</v>
      </c>
      <c r="Q295" s="492">
        <v>3</v>
      </c>
      <c r="R295" s="492" t="b">
        <v>1</v>
      </c>
      <c r="S295" s="492" t="b">
        <v>1</v>
      </c>
      <c r="T295" s="492" t="s">
        <v>1361</v>
      </c>
      <c r="U295" s="495">
        <v>45856</v>
      </c>
      <c r="V295" s="492"/>
      <c r="W295" s="492"/>
      <c r="X295" s="492"/>
      <c r="Y295" s="492">
        <v>390956.45673777</v>
      </c>
      <c r="Z295" s="492">
        <v>8185672.6214904999</v>
      </c>
      <c r="AA295" s="492">
        <v>10072.080925177301</v>
      </c>
      <c r="AB295" s="492">
        <v>10630.916814329999</v>
      </c>
      <c r="AC295" s="492">
        <v>7</v>
      </c>
      <c r="AD295" s="492">
        <v>23444</v>
      </c>
      <c r="AE295" s="492" t="s">
        <v>1343</v>
      </c>
      <c r="AF295" s="492" t="s">
        <v>1298</v>
      </c>
      <c r="AG295" s="492" t="s">
        <v>1299</v>
      </c>
      <c r="AH295" s="492" t="s">
        <v>1300</v>
      </c>
      <c r="AI295" s="492">
        <v>1</v>
      </c>
      <c r="AJ295" s="492" t="s">
        <v>1301</v>
      </c>
      <c r="AK295" s="492" t="s">
        <v>1302</v>
      </c>
      <c r="AL295" s="492"/>
      <c r="AM295" s="492"/>
      <c r="AN295" s="492"/>
      <c r="AO295" s="492"/>
      <c r="AP295" s="492"/>
      <c r="AQ295" s="492"/>
      <c r="AR295" s="492"/>
      <c r="AS295" s="492"/>
      <c r="AT295" s="492"/>
      <c r="AU295" s="492"/>
      <c r="AV295" s="492"/>
      <c r="AW295" s="492"/>
      <c r="AX295" s="492"/>
      <c r="AY295" s="492"/>
      <c r="AZ295" s="492"/>
      <c r="BA295" s="492"/>
      <c r="BB295" s="493">
        <v>32303</v>
      </c>
      <c r="BC295" s="494">
        <v>0.4375</v>
      </c>
      <c r="BD295" s="493">
        <v>47989</v>
      </c>
      <c r="BE295" s="494">
        <v>0.99998842592592596</v>
      </c>
      <c r="BF295" s="493">
        <v>32639</v>
      </c>
      <c r="BG295" s="494">
        <v>0</v>
      </c>
      <c r="BH295" s="492" t="s">
        <v>1344</v>
      </c>
      <c r="BI295" s="492">
        <v>749</v>
      </c>
      <c r="BJ295" s="492" t="s">
        <v>1304</v>
      </c>
      <c r="BK295" s="492"/>
      <c r="BL295" s="493">
        <v>45551</v>
      </c>
      <c r="BM295" s="492" t="s">
        <v>1305</v>
      </c>
      <c r="BN295" s="492" t="s">
        <v>1301</v>
      </c>
      <c r="BO295" s="492">
        <v>0.15434059947487599</v>
      </c>
      <c r="BP295" s="492">
        <v>6.3356001313399999E-4</v>
      </c>
    </row>
    <row r="296" spans="1:68" ht="75">
      <c r="A296" s="492" t="s">
        <v>745</v>
      </c>
      <c r="B296" s="492">
        <v>390997</v>
      </c>
      <c r="C296" s="492">
        <v>8185710</v>
      </c>
      <c r="D296" s="492">
        <v>177</v>
      </c>
      <c r="E296" s="492">
        <v>289</v>
      </c>
      <c r="F296" s="492">
        <v>60</v>
      </c>
      <c r="G296" s="492" t="b">
        <v>0</v>
      </c>
      <c r="H296" s="492" t="b">
        <v>0</v>
      </c>
      <c r="I296" s="492">
        <v>10</v>
      </c>
      <c r="J296" s="492" t="b">
        <v>0</v>
      </c>
      <c r="K296" s="492">
        <v>230</v>
      </c>
      <c r="L296" s="492" t="s">
        <v>1013</v>
      </c>
      <c r="M296" s="492" t="s">
        <v>1296</v>
      </c>
      <c r="N296" s="492" t="s">
        <v>2</v>
      </c>
      <c r="O296" s="492">
        <v>230</v>
      </c>
      <c r="P296" s="492" t="s">
        <v>109</v>
      </c>
      <c r="Q296" s="492">
        <v>3</v>
      </c>
      <c r="R296" s="492"/>
      <c r="S296" s="492"/>
      <c r="T296" s="492"/>
      <c r="U296" s="492"/>
      <c r="V296" s="492"/>
      <c r="W296" s="492" t="s">
        <v>1307</v>
      </c>
      <c r="X296" s="492"/>
      <c r="Y296" s="492">
        <v>390997</v>
      </c>
      <c r="Z296" s="492">
        <v>8185710</v>
      </c>
      <c r="AA296" s="492">
        <v>10098.347773998001</v>
      </c>
      <c r="AB296" s="492">
        <v>10679.421838230401</v>
      </c>
      <c r="AC296" s="492">
        <v>7</v>
      </c>
      <c r="AD296" s="492">
        <v>23444</v>
      </c>
      <c r="AE296" s="492" t="s">
        <v>1343</v>
      </c>
      <c r="AF296" s="492" t="s">
        <v>1298</v>
      </c>
      <c r="AG296" s="492" t="s">
        <v>1299</v>
      </c>
      <c r="AH296" s="492" t="s">
        <v>1300</v>
      </c>
      <c r="AI296" s="492">
        <v>1</v>
      </c>
      <c r="AJ296" s="492" t="s">
        <v>1301</v>
      </c>
      <c r="AK296" s="492" t="s">
        <v>1302</v>
      </c>
      <c r="AL296" s="492"/>
      <c r="AM296" s="492"/>
      <c r="AN296" s="492"/>
      <c r="AO296" s="492"/>
      <c r="AP296" s="492"/>
      <c r="AQ296" s="492"/>
      <c r="AR296" s="492"/>
      <c r="AS296" s="492"/>
      <c r="AT296" s="492"/>
      <c r="AU296" s="492"/>
      <c r="AV296" s="492"/>
      <c r="AW296" s="492"/>
      <c r="AX296" s="492"/>
      <c r="AY296" s="492"/>
      <c r="AZ296" s="492"/>
      <c r="BA296" s="492"/>
      <c r="BB296" s="493">
        <v>32303</v>
      </c>
      <c r="BC296" s="494">
        <v>0.4375</v>
      </c>
      <c r="BD296" s="493">
        <v>47989</v>
      </c>
      <c r="BE296" s="494">
        <v>0.99998842592592596</v>
      </c>
      <c r="BF296" s="493">
        <v>32639</v>
      </c>
      <c r="BG296" s="494">
        <v>0</v>
      </c>
      <c r="BH296" s="492" t="s">
        <v>1344</v>
      </c>
      <c r="BI296" s="492">
        <v>749</v>
      </c>
      <c r="BJ296" s="492" t="s">
        <v>1304</v>
      </c>
      <c r="BK296" s="492"/>
      <c r="BL296" s="493">
        <v>45551</v>
      </c>
      <c r="BM296" s="492" t="s">
        <v>1305</v>
      </c>
      <c r="BN296" s="492" t="s">
        <v>1301</v>
      </c>
      <c r="BO296" s="492">
        <v>0.15434059947487599</v>
      </c>
      <c r="BP296" s="492">
        <v>6.3356001313399999E-4</v>
      </c>
    </row>
    <row r="297" spans="1:68" ht="75">
      <c r="A297" s="492" t="s">
        <v>486</v>
      </c>
      <c r="B297" s="492">
        <v>391221</v>
      </c>
      <c r="C297" s="492">
        <v>8185719</v>
      </c>
      <c r="D297" s="492">
        <v>175</v>
      </c>
      <c r="E297" s="492">
        <v>109</v>
      </c>
      <c r="F297" s="492">
        <v>60</v>
      </c>
      <c r="G297" s="492" t="b">
        <v>0</v>
      </c>
      <c r="H297" s="492" t="b">
        <v>0</v>
      </c>
      <c r="I297" s="492">
        <v>10</v>
      </c>
      <c r="J297" s="492" t="b">
        <v>0</v>
      </c>
      <c r="K297" s="492">
        <v>110</v>
      </c>
      <c r="L297" s="492" t="s">
        <v>1311</v>
      </c>
      <c r="M297" s="492" t="s">
        <v>1296</v>
      </c>
      <c r="N297" s="492" t="s">
        <v>1</v>
      </c>
      <c r="O297" s="492">
        <v>110</v>
      </c>
      <c r="P297" s="492" t="s">
        <v>109</v>
      </c>
      <c r="Q297" s="492">
        <v>3</v>
      </c>
      <c r="R297" s="492"/>
      <c r="S297" s="492"/>
      <c r="T297" s="492"/>
      <c r="U297" s="492"/>
      <c r="V297" s="492"/>
      <c r="W297" s="492"/>
      <c r="X297" s="492"/>
      <c r="Y297" s="492">
        <v>391221</v>
      </c>
      <c r="Z297" s="492">
        <v>8185719</v>
      </c>
      <c r="AA297" s="492">
        <v>10307.432276387201</v>
      </c>
      <c r="AB297" s="492">
        <v>10760.477474986499</v>
      </c>
      <c r="AC297" s="492">
        <v>7</v>
      </c>
      <c r="AD297" s="492">
        <v>23444</v>
      </c>
      <c r="AE297" s="492" t="s">
        <v>1343</v>
      </c>
      <c r="AF297" s="492" t="s">
        <v>1298</v>
      </c>
      <c r="AG297" s="492" t="s">
        <v>1299</v>
      </c>
      <c r="AH297" s="492" t="s">
        <v>1300</v>
      </c>
      <c r="AI297" s="492">
        <v>1</v>
      </c>
      <c r="AJ297" s="492" t="s">
        <v>1301</v>
      </c>
      <c r="AK297" s="492" t="s">
        <v>1302</v>
      </c>
      <c r="AL297" s="492"/>
      <c r="AM297" s="492"/>
      <c r="AN297" s="492"/>
      <c r="AO297" s="492"/>
      <c r="AP297" s="492"/>
      <c r="AQ297" s="492"/>
      <c r="AR297" s="492"/>
      <c r="AS297" s="492"/>
      <c r="AT297" s="492"/>
      <c r="AU297" s="492"/>
      <c r="AV297" s="492"/>
      <c r="AW297" s="492"/>
      <c r="AX297" s="492"/>
      <c r="AY297" s="492"/>
      <c r="AZ297" s="492"/>
      <c r="BA297" s="492"/>
      <c r="BB297" s="493">
        <v>32303</v>
      </c>
      <c r="BC297" s="494">
        <v>0.4375</v>
      </c>
      <c r="BD297" s="493">
        <v>47989</v>
      </c>
      <c r="BE297" s="494">
        <v>0.99998842592592596</v>
      </c>
      <c r="BF297" s="493">
        <v>32639</v>
      </c>
      <c r="BG297" s="494">
        <v>0</v>
      </c>
      <c r="BH297" s="492" t="s">
        <v>1344</v>
      </c>
      <c r="BI297" s="492">
        <v>749</v>
      </c>
      <c r="BJ297" s="492" t="s">
        <v>1304</v>
      </c>
      <c r="BK297" s="492"/>
      <c r="BL297" s="493">
        <v>45551</v>
      </c>
      <c r="BM297" s="492" t="s">
        <v>1305</v>
      </c>
      <c r="BN297" s="492" t="s">
        <v>1301</v>
      </c>
      <c r="BO297" s="492">
        <v>0.15434059947487599</v>
      </c>
      <c r="BP297" s="492">
        <v>6.3356001313399999E-4</v>
      </c>
    </row>
    <row r="298" spans="1:68" ht="75">
      <c r="A298" s="492" t="s">
        <v>847</v>
      </c>
      <c r="B298" s="492">
        <v>391182</v>
      </c>
      <c r="C298" s="492">
        <v>8185732</v>
      </c>
      <c r="D298" s="492">
        <v>175</v>
      </c>
      <c r="E298" s="492">
        <v>109</v>
      </c>
      <c r="F298" s="492">
        <v>60</v>
      </c>
      <c r="G298" s="492" t="b">
        <v>0</v>
      </c>
      <c r="H298" s="492" t="b">
        <v>0</v>
      </c>
      <c r="I298" s="492">
        <v>10</v>
      </c>
      <c r="J298" s="492" t="b">
        <v>0</v>
      </c>
      <c r="K298" s="492">
        <v>160</v>
      </c>
      <c r="L298" s="492" t="s">
        <v>1311</v>
      </c>
      <c r="M298" s="492" t="s">
        <v>1296</v>
      </c>
      <c r="N298" s="492" t="s">
        <v>2</v>
      </c>
      <c r="O298" s="492">
        <v>160</v>
      </c>
      <c r="P298" s="492" t="s">
        <v>109</v>
      </c>
      <c r="Q298" s="492">
        <v>3</v>
      </c>
      <c r="R298" s="492"/>
      <c r="S298" s="492"/>
      <c r="T298" s="492"/>
      <c r="U298" s="492"/>
      <c r="V298" s="492"/>
      <c r="W298" s="492"/>
      <c r="X298" s="492"/>
      <c r="Y298" s="492">
        <v>391182</v>
      </c>
      <c r="Z298" s="492">
        <v>8185732</v>
      </c>
      <c r="AA298" s="492">
        <v>10266.3119574501</v>
      </c>
      <c r="AB298" s="492">
        <v>10760.1516337702</v>
      </c>
      <c r="AC298" s="492">
        <v>7</v>
      </c>
      <c r="AD298" s="492">
        <v>23444</v>
      </c>
      <c r="AE298" s="492" t="s">
        <v>1343</v>
      </c>
      <c r="AF298" s="492" t="s">
        <v>1298</v>
      </c>
      <c r="AG298" s="492" t="s">
        <v>1299</v>
      </c>
      <c r="AH298" s="492" t="s">
        <v>1300</v>
      </c>
      <c r="AI298" s="492">
        <v>1</v>
      </c>
      <c r="AJ298" s="492" t="s">
        <v>1301</v>
      </c>
      <c r="AK298" s="492" t="s">
        <v>1302</v>
      </c>
      <c r="AL298" s="492"/>
      <c r="AM298" s="492"/>
      <c r="AN298" s="492"/>
      <c r="AO298" s="492"/>
      <c r="AP298" s="492"/>
      <c r="AQ298" s="492"/>
      <c r="AR298" s="492"/>
      <c r="AS298" s="492"/>
      <c r="AT298" s="492"/>
      <c r="AU298" s="492"/>
      <c r="AV298" s="492"/>
      <c r="AW298" s="492"/>
      <c r="AX298" s="492"/>
      <c r="AY298" s="492"/>
      <c r="AZ298" s="492"/>
      <c r="BA298" s="492"/>
      <c r="BB298" s="493">
        <v>32303</v>
      </c>
      <c r="BC298" s="494">
        <v>0.4375</v>
      </c>
      <c r="BD298" s="493">
        <v>47989</v>
      </c>
      <c r="BE298" s="494">
        <v>0.99998842592592596</v>
      </c>
      <c r="BF298" s="493">
        <v>32639</v>
      </c>
      <c r="BG298" s="494">
        <v>0</v>
      </c>
      <c r="BH298" s="492" t="s">
        <v>1344</v>
      </c>
      <c r="BI298" s="492">
        <v>749</v>
      </c>
      <c r="BJ298" s="492" t="s">
        <v>1304</v>
      </c>
      <c r="BK298" s="492"/>
      <c r="BL298" s="493">
        <v>45551</v>
      </c>
      <c r="BM298" s="492" t="s">
        <v>1305</v>
      </c>
      <c r="BN298" s="492" t="s">
        <v>1301</v>
      </c>
      <c r="BO298" s="492">
        <v>0.15434059947487599</v>
      </c>
      <c r="BP298" s="492">
        <v>6.3356001313399999E-4</v>
      </c>
    </row>
    <row r="299" spans="1:68" ht="75">
      <c r="A299" s="492" t="s">
        <v>1081</v>
      </c>
      <c r="B299" s="492">
        <v>391002</v>
      </c>
      <c r="C299" s="492">
        <v>8185751</v>
      </c>
      <c r="D299" s="492">
        <v>178</v>
      </c>
      <c r="E299" s="492">
        <v>289</v>
      </c>
      <c r="F299" s="492">
        <v>60</v>
      </c>
      <c r="G299" s="492" t="b">
        <v>0</v>
      </c>
      <c r="H299" s="492" t="b">
        <v>0</v>
      </c>
      <c r="I299" s="492">
        <v>10</v>
      </c>
      <c r="J299" s="492" t="b">
        <v>0</v>
      </c>
      <c r="K299" s="492">
        <v>210</v>
      </c>
      <c r="L299" s="492" t="s">
        <v>1013</v>
      </c>
      <c r="M299" s="492" t="s">
        <v>1308</v>
      </c>
      <c r="N299" s="492" t="s">
        <v>2</v>
      </c>
      <c r="O299" s="492">
        <v>210</v>
      </c>
      <c r="P299" s="492" t="s">
        <v>109</v>
      </c>
      <c r="Q299" s="492">
        <v>3</v>
      </c>
      <c r="R299" s="492"/>
      <c r="S299" s="492"/>
      <c r="T299" s="492"/>
      <c r="U299" s="492"/>
      <c r="V299" s="492"/>
      <c r="W299" s="492"/>
      <c r="X299" s="492"/>
      <c r="Y299" s="492">
        <v>391002</v>
      </c>
      <c r="Z299" s="492">
        <v>8185751</v>
      </c>
      <c r="AA299" s="492">
        <v>10089.8028819393</v>
      </c>
      <c r="AB299" s="492">
        <v>10719.84436863</v>
      </c>
      <c r="AC299" s="492">
        <v>7</v>
      </c>
      <c r="AD299" s="492">
        <v>23444</v>
      </c>
      <c r="AE299" s="492" t="s">
        <v>1343</v>
      </c>
      <c r="AF299" s="492" t="s">
        <v>1298</v>
      </c>
      <c r="AG299" s="492" t="s">
        <v>1299</v>
      </c>
      <c r="AH299" s="492" t="s">
        <v>1300</v>
      </c>
      <c r="AI299" s="492">
        <v>1</v>
      </c>
      <c r="AJ299" s="492" t="s">
        <v>1301</v>
      </c>
      <c r="AK299" s="492" t="s">
        <v>1302</v>
      </c>
      <c r="AL299" s="492"/>
      <c r="AM299" s="492"/>
      <c r="AN299" s="492"/>
      <c r="AO299" s="492"/>
      <c r="AP299" s="492"/>
      <c r="AQ299" s="492"/>
      <c r="AR299" s="492"/>
      <c r="AS299" s="492"/>
      <c r="AT299" s="492"/>
      <c r="AU299" s="492"/>
      <c r="AV299" s="492"/>
      <c r="AW299" s="492"/>
      <c r="AX299" s="492"/>
      <c r="AY299" s="492"/>
      <c r="AZ299" s="492"/>
      <c r="BA299" s="492"/>
      <c r="BB299" s="493">
        <v>32303</v>
      </c>
      <c r="BC299" s="494">
        <v>0.4375</v>
      </c>
      <c r="BD299" s="493">
        <v>47989</v>
      </c>
      <c r="BE299" s="494">
        <v>0.99998842592592596</v>
      </c>
      <c r="BF299" s="493">
        <v>32639</v>
      </c>
      <c r="BG299" s="494">
        <v>0</v>
      </c>
      <c r="BH299" s="492" t="s">
        <v>1344</v>
      </c>
      <c r="BI299" s="492">
        <v>749</v>
      </c>
      <c r="BJ299" s="492" t="s">
        <v>1304</v>
      </c>
      <c r="BK299" s="492"/>
      <c r="BL299" s="493">
        <v>45551</v>
      </c>
      <c r="BM299" s="492" t="s">
        <v>1305</v>
      </c>
      <c r="BN299" s="492" t="s">
        <v>1301</v>
      </c>
      <c r="BO299" s="492">
        <v>0.15434059947487599</v>
      </c>
      <c r="BP299" s="492">
        <v>6.3356001313399999E-4</v>
      </c>
    </row>
    <row r="300" spans="1:68" ht="75">
      <c r="A300" s="492" t="s">
        <v>1087</v>
      </c>
      <c r="B300" s="492">
        <v>390893</v>
      </c>
      <c r="C300" s="492">
        <v>8185577</v>
      </c>
      <c r="D300" s="492">
        <v>182</v>
      </c>
      <c r="E300" s="492">
        <v>289</v>
      </c>
      <c r="F300" s="492">
        <v>60</v>
      </c>
      <c r="G300" s="492" t="b">
        <v>0</v>
      </c>
      <c r="H300" s="492" t="b">
        <v>0</v>
      </c>
      <c r="I300" s="492">
        <v>10</v>
      </c>
      <c r="J300" s="492" t="b">
        <v>0</v>
      </c>
      <c r="K300" s="492">
        <v>170</v>
      </c>
      <c r="L300" s="492" t="s">
        <v>1013</v>
      </c>
      <c r="M300" s="492" t="s">
        <v>1308</v>
      </c>
      <c r="N300" s="492" t="s">
        <v>2</v>
      </c>
      <c r="O300" s="492">
        <v>170</v>
      </c>
      <c r="P300" s="492" t="s">
        <v>109</v>
      </c>
      <c r="Q300" s="492">
        <v>3</v>
      </c>
      <c r="R300" s="492"/>
      <c r="S300" s="492"/>
      <c r="T300" s="492"/>
      <c r="U300" s="492"/>
      <c r="V300" s="492"/>
      <c r="W300" s="492"/>
      <c r="X300" s="492"/>
      <c r="Y300" s="492">
        <v>390893</v>
      </c>
      <c r="Z300" s="492">
        <v>8185577</v>
      </c>
      <c r="AA300" s="492">
        <v>10042.9890127708</v>
      </c>
      <c r="AB300" s="492">
        <v>10519.869176683</v>
      </c>
      <c r="AC300" s="492">
        <v>7</v>
      </c>
      <c r="AD300" s="492">
        <v>23444</v>
      </c>
      <c r="AE300" s="492" t="s">
        <v>1343</v>
      </c>
      <c r="AF300" s="492" t="s">
        <v>1298</v>
      </c>
      <c r="AG300" s="492" t="s">
        <v>1299</v>
      </c>
      <c r="AH300" s="492" t="s">
        <v>1300</v>
      </c>
      <c r="AI300" s="492">
        <v>1</v>
      </c>
      <c r="AJ300" s="492" t="s">
        <v>1301</v>
      </c>
      <c r="AK300" s="492" t="s">
        <v>1302</v>
      </c>
      <c r="AL300" s="492"/>
      <c r="AM300" s="492"/>
      <c r="AN300" s="492"/>
      <c r="AO300" s="492"/>
      <c r="AP300" s="492"/>
      <c r="AQ300" s="492"/>
      <c r="AR300" s="492"/>
      <c r="AS300" s="492"/>
      <c r="AT300" s="492"/>
      <c r="AU300" s="492"/>
      <c r="AV300" s="492"/>
      <c r="AW300" s="492"/>
      <c r="AX300" s="492"/>
      <c r="AY300" s="492"/>
      <c r="AZ300" s="492"/>
      <c r="BA300" s="492"/>
      <c r="BB300" s="493">
        <v>32303</v>
      </c>
      <c r="BC300" s="494">
        <v>0.4375</v>
      </c>
      <c r="BD300" s="493">
        <v>47989</v>
      </c>
      <c r="BE300" s="494">
        <v>0.99998842592592596</v>
      </c>
      <c r="BF300" s="493">
        <v>32639</v>
      </c>
      <c r="BG300" s="494">
        <v>0</v>
      </c>
      <c r="BH300" s="492" t="s">
        <v>1344</v>
      </c>
      <c r="BI300" s="492">
        <v>749</v>
      </c>
      <c r="BJ300" s="492" t="s">
        <v>1304</v>
      </c>
      <c r="BK300" s="492"/>
      <c r="BL300" s="493">
        <v>45551</v>
      </c>
      <c r="BM300" s="492" t="s">
        <v>1305</v>
      </c>
      <c r="BN300" s="492" t="s">
        <v>1301</v>
      </c>
      <c r="BO300" s="492">
        <v>0.15434059947487599</v>
      </c>
      <c r="BP300" s="492">
        <v>6.3356001313399999E-4</v>
      </c>
    </row>
    <row r="301" spans="1:68" ht="75">
      <c r="A301" s="492" t="s">
        <v>1086</v>
      </c>
      <c r="B301" s="492">
        <v>390870</v>
      </c>
      <c r="C301" s="492">
        <v>8185585</v>
      </c>
      <c r="D301" s="492">
        <v>183</v>
      </c>
      <c r="E301" s="492">
        <v>289</v>
      </c>
      <c r="F301" s="492">
        <v>60</v>
      </c>
      <c r="G301" s="492" t="b">
        <v>0</v>
      </c>
      <c r="H301" s="492" t="b">
        <v>0</v>
      </c>
      <c r="I301" s="492">
        <v>10</v>
      </c>
      <c r="J301" s="492" t="b">
        <v>0</v>
      </c>
      <c r="K301" s="492">
        <v>130</v>
      </c>
      <c r="L301" s="492" t="s">
        <v>1013</v>
      </c>
      <c r="M301" s="492" t="s">
        <v>1308</v>
      </c>
      <c r="N301" s="492" t="s">
        <v>2</v>
      </c>
      <c r="O301" s="492">
        <v>130</v>
      </c>
      <c r="P301" s="492" t="s">
        <v>109</v>
      </c>
      <c r="Q301" s="492">
        <v>3</v>
      </c>
      <c r="R301" s="492"/>
      <c r="S301" s="492"/>
      <c r="T301" s="492"/>
      <c r="U301" s="492"/>
      <c r="V301" s="492"/>
      <c r="W301" s="492"/>
      <c r="X301" s="492"/>
      <c r="Y301" s="492">
        <v>390870</v>
      </c>
      <c r="Z301" s="492">
        <v>8185585</v>
      </c>
      <c r="AA301" s="492">
        <v>10018.6306250817</v>
      </c>
      <c r="AB301" s="492">
        <v>10519.9924885686</v>
      </c>
      <c r="AC301" s="492">
        <v>7</v>
      </c>
      <c r="AD301" s="492">
        <v>23444</v>
      </c>
      <c r="AE301" s="492" t="s">
        <v>1343</v>
      </c>
      <c r="AF301" s="492" t="s">
        <v>1298</v>
      </c>
      <c r="AG301" s="492" t="s">
        <v>1299</v>
      </c>
      <c r="AH301" s="492" t="s">
        <v>1300</v>
      </c>
      <c r="AI301" s="492">
        <v>1</v>
      </c>
      <c r="AJ301" s="492" t="s">
        <v>1301</v>
      </c>
      <c r="AK301" s="492" t="s">
        <v>1302</v>
      </c>
      <c r="AL301" s="492"/>
      <c r="AM301" s="492"/>
      <c r="AN301" s="492"/>
      <c r="AO301" s="492"/>
      <c r="AP301" s="492"/>
      <c r="AQ301" s="492"/>
      <c r="AR301" s="492"/>
      <c r="AS301" s="492"/>
      <c r="AT301" s="492"/>
      <c r="AU301" s="492"/>
      <c r="AV301" s="492"/>
      <c r="AW301" s="492"/>
      <c r="AX301" s="492"/>
      <c r="AY301" s="492"/>
      <c r="AZ301" s="492"/>
      <c r="BA301" s="492"/>
      <c r="BB301" s="493">
        <v>32303</v>
      </c>
      <c r="BC301" s="494">
        <v>0.4375</v>
      </c>
      <c r="BD301" s="493">
        <v>47989</v>
      </c>
      <c r="BE301" s="494">
        <v>0.99998842592592596</v>
      </c>
      <c r="BF301" s="493">
        <v>32639</v>
      </c>
      <c r="BG301" s="494">
        <v>0</v>
      </c>
      <c r="BH301" s="492" t="s">
        <v>1344</v>
      </c>
      <c r="BI301" s="492">
        <v>749</v>
      </c>
      <c r="BJ301" s="492" t="s">
        <v>1304</v>
      </c>
      <c r="BK301" s="492"/>
      <c r="BL301" s="493">
        <v>45551</v>
      </c>
      <c r="BM301" s="492" t="s">
        <v>1305</v>
      </c>
      <c r="BN301" s="492" t="s">
        <v>1301</v>
      </c>
      <c r="BO301" s="492">
        <v>0.15434059947487599</v>
      </c>
      <c r="BP301" s="492">
        <v>6.3356001313399999E-4</v>
      </c>
    </row>
    <row r="302" spans="1:68" ht="75">
      <c r="A302" s="492" t="s">
        <v>390</v>
      </c>
      <c r="B302" s="492">
        <v>390865</v>
      </c>
      <c r="C302" s="492">
        <v>8185598</v>
      </c>
      <c r="D302" s="492">
        <v>186</v>
      </c>
      <c r="E302" s="492">
        <v>289</v>
      </c>
      <c r="F302" s="492">
        <v>50</v>
      </c>
      <c r="G302" s="492" t="b">
        <v>0</v>
      </c>
      <c r="H302" s="492" t="b">
        <v>0</v>
      </c>
      <c r="I302" s="492">
        <v>10</v>
      </c>
      <c r="J302" s="492" t="b">
        <v>0</v>
      </c>
      <c r="K302" s="492">
        <v>90</v>
      </c>
      <c r="L302" s="492" t="s">
        <v>1306</v>
      </c>
      <c r="M302" s="492" t="s">
        <v>1296</v>
      </c>
      <c r="N302" s="492" t="s">
        <v>1</v>
      </c>
      <c r="O302" s="492">
        <v>90</v>
      </c>
      <c r="P302" s="492" t="s">
        <v>11</v>
      </c>
      <c r="Q302" s="492">
        <v>1</v>
      </c>
      <c r="R302" s="492"/>
      <c r="S302" s="492"/>
      <c r="T302" s="492"/>
      <c r="U302" s="492"/>
      <c r="V302" s="492"/>
      <c r="W302" s="492"/>
      <c r="X302" s="492"/>
      <c r="Y302" s="492">
        <v>390865</v>
      </c>
      <c r="Z302" s="492">
        <v>8185598</v>
      </c>
      <c r="AA302" s="492">
        <v>10009.688720996401</v>
      </c>
      <c r="AB302" s="492">
        <v>10530.676852336999</v>
      </c>
      <c r="AC302" s="492">
        <v>7</v>
      </c>
      <c r="AD302" s="492">
        <v>23444</v>
      </c>
      <c r="AE302" s="492" t="s">
        <v>1343</v>
      </c>
      <c r="AF302" s="492" t="s">
        <v>1298</v>
      </c>
      <c r="AG302" s="492" t="s">
        <v>1299</v>
      </c>
      <c r="AH302" s="492" t="s">
        <v>1300</v>
      </c>
      <c r="AI302" s="492">
        <v>1</v>
      </c>
      <c r="AJ302" s="492" t="s">
        <v>1301</v>
      </c>
      <c r="AK302" s="492" t="s">
        <v>1302</v>
      </c>
      <c r="AL302" s="492"/>
      <c r="AM302" s="492"/>
      <c r="AN302" s="492"/>
      <c r="AO302" s="492"/>
      <c r="AP302" s="492"/>
      <c r="AQ302" s="492"/>
      <c r="AR302" s="492"/>
      <c r="AS302" s="492"/>
      <c r="AT302" s="492"/>
      <c r="AU302" s="492"/>
      <c r="AV302" s="492"/>
      <c r="AW302" s="492"/>
      <c r="AX302" s="492"/>
      <c r="AY302" s="492"/>
      <c r="AZ302" s="492"/>
      <c r="BA302" s="492"/>
      <c r="BB302" s="493">
        <v>32303</v>
      </c>
      <c r="BC302" s="494">
        <v>0.4375</v>
      </c>
      <c r="BD302" s="493">
        <v>47989</v>
      </c>
      <c r="BE302" s="494">
        <v>0.99998842592592596</v>
      </c>
      <c r="BF302" s="493">
        <v>32639</v>
      </c>
      <c r="BG302" s="494">
        <v>0</v>
      </c>
      <c r="BH302" s="492" t="s">
        <v>1344</v>
      </c>
      <c r="BI302" s="492">
        <v>749</v>
      </c>
      <c r="BJ302" s="492" t="s">
        <v>1304</v>
      </c>
      <c r="BK302" s="492"/>
      <c r="BL302" s="493">
        <v>45551</v>
      </c>
      <c r="BM302" s="492" t="s">
        <v>1305</v>
      </c>
      <c r="BN302" s="492" t="s">
        <v>1301</v>
      </c>
      <c r="BO302" s="492">
        <v>0.15434059947487599</v>
      </c>
      <c r="BP302" s="492">
        <v>6.3356001313399999E-4</v>
      </c>
    </row>
    <row r="303" spans="1:68" ht="75">
      <c r="A303" s="492" t="s">
        <v>396</v>
      </c>
      <c r="B303" s="492">
        <v>390866</v>
      </c>
      <c r="C303" s="492">
        <v>8185598</v>
      </c>
      <c r="D303" s="492">
        <v>186</v>
      </c>
      <c r="E303" s="492">
        <v>289</v>
      </c>
      <c r="F303" s="492">
        <v>50</v>
      </c>
      <c r="G303" s="492" t="b">
        <v>0</v>
      </c>
      <c r="H303" s="492" t="b">
        <v>0</v>
      </c>
      <c r="I303" s="492">
        <v>10</v>
      </c>
      <c r="J303" s="492" t="b">
        <v>0</v>
      </c>
      <c r="K303" s="492">
        <v>90</v>
      </c>
      <c r="L303" s="492" t="s">
        <v>1306</v>
      </c>
      <c r="M303" s="492" t="s">
        <v>1296</v>
      </c>
      <c r="N303" s="492" t="s">
        <v>1</v>
      </c>
      <c r="O303" s="492">
        <v>90</v>
      </c>
      <c r="P303" s="492" t="s">
        <v>11</v>
      </c>
      <c r="Q303" s="492">
        <v>1</v>
      </c>
      <c r="R303" s="492"/>
      <c r="S303" s="492"/>
      <c r="T303" s="492"/>
      <c r="U303" s="492"/>
      <c r="V303" s="492"/>
      <c r="W303" s="492"/>
      <c r="X303" s="492"/>
      <c r="Y303" s="492">
        <v>390866</v>
      </c>
      <c r="Z303" s="492">
        <v>8185598</v>
      </c>
      <c r="AA303" s="492">
        <v>10010.635144960601</v>
      </c>
      <c r="AB303" s="492">
        <v>10531.0006818948</v>
      </c>
      <c r="AC303" s="492">
        <v>7</v>
      </c>
      <c r="AD303" s="492">
        <v>23444</v>
      </c>
      <c r="AE303" s="492" t="s">
        <v>1343</v>
      </c>
      <c r="AF303" s="492" t="s">
        <v>1298</v>
      </c>
      <c r="AG303" s="492" t="s">
        <v>1299</v>
      </c>
      <c r="AH303" s="492" t="s">
        <v>1300</v>
      </c>
      <c r="AI303" s="492">
        <v>1</v>
      </c>
      <c r="AJ303" s="492" t="s">
        <v>1301</v>
      </c>
      <c r="AK303" s="492" t="s">
        <v>1302</v>
      </c>
      <c r="AL303" s="492"/>
      <c r="AM303" s="492"/>
      <c r="AN303" s="492"/>
      <c r="AO303" s="492"/>
      <c r="AP303" s="492"/>
      <c r="AQ303" s="492"/>
      <c r="AR303" s="492"/>
      <c r="AS303" s="492"/>
      <c r="AT303" s="492"/>
      <c r="AU303" s="492"/>
      <c r="AV303" s="492"/>
      <c r="AW303" s="492"/>
      <c r="AX303" s="492"/>
      <c r="AY303" s="492"/>
      <c r="AZ303" s="492"/>
      <c r="BA303" s="492"/>
      <c r="BB303" s="493">
        <v>32303</v>
      </c>
      <c r="BC303" s="494">
        <v>0.4375</v>
      </c>
      <c r="BD303" s="493">
        <v>47989</v>
      </c>
      <c r="BE303" s="494">
        <v>0.99998842592592596</v>
      </c>
      <c r="BF303" s="493">
        <v>32639</v>
      </c>
      <c r="BG303" s="494">
        <v>0</v>
      </c>
      <c r="BH303" s="492" t="s">
        <v>1344</v>
      </c>
      <c r="BI303" s="492">
        <v>749</v>
      </c>
      <c r="BJ303" s="492" t="s">
        <v>1304</v>
      </c>
      <c r="BK303" s="492"/>
      <c r="BL303" s="493">
        <v>45551</v>
      </c>
      <c r="BM303" s="492" t="s">
        <v>1305</v>
      </c>
      <c r="BN303" s="492" t="s">
        <v>1301</v>
      </c>
      <c r="BO303" s="492">
        <v>0.15434059947487599</v>
      </c>
      <c r="BP303" s="492">
        <v>6.3356001313399999E-4</v>
      </c>
    </row>
    <row r="304" spans="1:68" ht="75">
      <c r="A304" s="492" t="s">
        <v>1085</v>
      </c>
      <c r="B304" s="492">
        <v>390936</v>
      </c>
      <c r="C304" s="492">
        <v>8185605</v>
      </c>
      <c r="D304" s="492">
        <v>178</v>
      </c>
      <c r="E304" s="492">
        <v>289</v>
      </c>
      <c r="F304" s="492">
        <v>60</v>
      </c>
      <c r="G304" s="492" t="b">
        <v>0</v>
      </c>
      <c r="H304" s="492" t="b">
        <v>0</v>
      </c>
      <c r="I304" s="492">
        <v>10</v>
      </c>
      <c r="J304" s="492" t="b">
        <v>0</v>
      </c>
      <c r="K304" s="492">
        <v>220</v>
      </c>
      <c r="L304" s="492" t="s">
        <v>1013</v>
      </c>
      <c r="M304" s="492" t="s">
        <v>1308</v>
      </c>
      <c r="N304" s="492" t="s">
        <v>2</v>
      </c>
      <c r="O304" s="492">
        <v>220</v>
      </c>
      <c r="P304" s="492" t="s">
        <v>109</v>
      </c>
      <c r="Q304" s="492">
        <v>3</v>
      </c>
      <c r="R304" s="492"/>
      <c r="S304" s="492"/>
      <c r="T304" s="492"/>
      <c r="U304" s="492"/>
      <c r="V304" s="492"/>
      <c r="W304" s="492"/>
      <c r="X304" s="492"/>
      <c r="Y304" s="492">
        <v>390936</v>
      </c>
      <c r="Z304" s="492">
        <v>8185605</v>
      </c>
      <c r="AA304" s="492">
        <v>10074.6180156832</v>
      </c>
      <c r="AB304" s="492">
        <v>10560.2937187403</v>
      </c>
      <c r="AC304" s="492">
        <v>7</v>
      </c>
      <c r="AD304" s="492">
        <v>23444</v>
      </c>
      <c r="AE304" s="492" t="s">
        <v>1343</v>
      </c>
      <c r="AF304" s="492" t="s">
        <v>1298</v>
      </c>
      <c r="AG304" s="492" t="s">
        <v>1299</v>
      </c>
      <c r="AH304" s="492" t="s">
        <v>1300</v>
      </c>
      <c r="AI304" s="492">
        <v>1</v>
      </c>
      <c r="AJ304" s="492" t="s">
        <v>1301</v>
      </c>
      <c r="AK304" s="492" t="s">
        <v>1302</v>
      </c>
      <c r="AL304" s="492"/>
      <c r="AM304" s="492"/>
      <c r="AN304" s="492"/>
      <c r="AO304" s="492"/>
      <c r="AP304" s="492"/>
      <c r="AQ304" s="492"/>
      <c r="AR304" s="492"/>
      <c r="AS304" s="492"/>
      <c r="AT304" s="492"/>
      <c r="AU304" s="492"/>
      <c r="AV304" s="492"/>
      <c r="AW304" s="492"/>
      <c r="AX304" s="492"/>
      <c r="AY304" s="492"/>
      <c r="AZ304" s="492"/>
      <c r="BA304" s="492"/>
      <c r="BB304" s="493">
        <v>32303</v>
      </c>
      <c r="BC304" s="494">
        <v>0.4375</v>
      </c>
      <c r="BD304" s="493">
        <v>47989</v>
      </c>
      <c r="BE304" s="494">
        <v>0.99998842592592596</v>
      </c>
      <c r="BF304" s="493">
        <v>32639</v>
      </c>
      <c r="BG304" s="494">
        <v>0</v>
      </c>
      <c r="BH304" s="492" t="s">
        <v>1344</v>
      </c>
      <c r="BI304" s="492">
        <v>749</v>
      </c>
      <c r="BJ304" s="492" t="s">
        <v>1304</v>
      </c>
      <c r="BK304" s="492"/>
      <c r="BL304" s="493">
        <v>45551</v>
      </c>
      <c r="BM304" s="492" t="s">
        <v>1305</v>
      </c>
      <c r="BN304" s="492" t="s">
        <v>1301</v>
      </c>
      <c r="BO304" s="492">
        <v>0.15434059947487599</v>
      </c>
      <c r="BP304" s="492">
        <v>6.3356001313399999E-4</v>
      </c>
    </row>
    <row r="305" spans="1:68" ht="75">
      <c r="A305" s="492" t="s">
        <v>811</v>
      </c>
      <c r="B305" s="492">
        <v>391226</v>
      </c>
      <c r="C305" s="492">
        <v>8185632</v>
      </c>
      <c r="D305" s="492">
        <v>174</v>
      </c>
      <c r="E305" s="492">
        <v>109</v>
      </c>
      <c r="F305" s="492">
        <v>60</v>
      </c>
      <c r="G305" s="492" t="b">
        <v>0</v>
      </c>
      <c r="H305" s="492" t="b">
        <v>0</v>
      </c>
      <c r="I305" s="492">
        <v>10</v>
      </c>
      <c r="J305" s="492" t="b">
        <v>0</v>
      </c>
      <c r="K305" s="492">
        <v>46</v>
      </c>
      <c r="L305" s="492" t="s">
        <v>1311</v>
      </c>
      <c r="M305" s="492" t="s">
        <v>1296</v>
      </c>
      <c r="N305" s="492" t="s">
        <v>2</v>
      </c>
      <c r="O305" s="492">
        <v>46</v>
      </c>
      <c r="P305" s="492" t="s">
        <v>109</v>
      </c>
      <c r="Q305" s="492">
        <v>3</v>
      </c>
      <c r="R305" s="492"/>
      <c r="S305" s="492"/>
      <c r="T305" s="492"/>
      <c r="U305" s="492"/>
      <c r="V305" s="492"/>
      <c r="W305" s="492"/>
      <c r="X305" s="492"/>
      <c r="Y305" s="492">
        <v>391226</v>
      </c>
      <c r="Z305" s="492">
        <v>8185632</v>
      </c>
      <c r="AA305" s="492">
        <v>10340.337567791301</v>
      </c>
      <c r="AB305" s="492">
        <v>10679.7577377324</v>
      </c>
      <c r="AC305" s="492">
        <v>7</v>
      </c>
      <c r="AD305" s="492">
        <v>23444</v>
      </c>
      <c r="AE305" s="492" t="s">
        <v>1343</v>
      </c>
      <c r="AF305" s="492" t="s">
        <v>1298</v>
      </c>
      <c r="AG305" s="492" t="s">
        <v>1299</v>
      </c>
      <c r="AH305" s="492" t="s">
        <v>1300</v>
      </c>
      <c r="AI305" s="492">
        <v>1</v>
      </c>
      <c r="AJ305" s="492" t="s">
        <v>1301</v>
      </c>
      <c r="AK305" s="492" t="s">
        <v>1302</v>
      </c>
      <c r="AL305" s="492"/>
      <c r="AM305" s="492"/>
      <c r="AN305" s="492"/>
      <c r="AO305" s="492"/>
      <c r="AP305" s="492"/>
      <c r="AQ305" s="492"/>
      <c r="AR305" s="492"/>
      <c r="AS305" s="492"/>
      <c r="AT305" s="492"/>
      <c r="AU305" s="492"/>
      <c r="AV305" s="492"/>
      <c r="AW305" s="492"/>
      <c r="AX305" s="492"/>
      <c r="AY305" s="492"/>
      <c r="AZ305" s="492"/>
      <c r="BA305" s="492"/>
      <c r="BB305" s="493">
        <v>32303</v>
      </c>
      <c r="BC305" s="494">
        <v>0.4375</v>
      </c>
      <c r="BD305" s="493">
        <v>47989</v>
      </c>
      <c r="BE305" s="494">
        <v>0.99998842592592596</v>
      </c>
      <c r="BF305" s="493">
        <v>32639</v>
      </c>
      <c r="BG305" s="494">
        <v>0</v>
      </c>
      <c r="BH305" s="492" t="s">
        <v>1344</v>
      </c>
      <c r="BI305" s="492">
        <v>749</v>
      </c>
      <c r="BJ305" s="492" t="s">
        <v>1304</v>
      </c>
      <c r="BK305" s="492"/>
      <c r="BL305" s="493">
        <v>45551</v>
      </c>
      <c r="BM305" s="492" t="s">
        <v>1305</v>
      </c>
      <c r="BN305" s="492" t="s">
        <v>1301</v>
      </c>
      <c r="BO305" s="492">
        <v>0.15434059947487599</v>
      </c>
      <c r="BP305" s="492">
        <v>6.3356001313399999E-4</v>
      </c>
    </row>
    <row r="306" spans="1:68" ht="75">
      <c r="A306" s="492" t="s">
        <v>814</v>
      </c>
      <c r="B306" s="492">
        <v>391188</v>
      </c>
      <c r="C306" s="492">
        <v>8185645</v>
      </c>
      <c r="D306" s="492">
        <v>174</v>
      </c>
      <c r="E306" s="492">
        <v>109</v>
      </c>
      <c r="F306" s="492">
        <v>60</v>
      </c>
      <c r="G306" s="492" t="b">
        <v>0</v>
      </c>
      <c r="H306" s="492" t="b">
        <v>0</v>
      </c>
      <c r="I306" s="492">
        <v>10</v>
      </c>
      <c r="J306" s="492" t="b">
        <v>0</v>
      </c>
      <c r="K306" s="492">
        <v>119</v>
      </c>
      <c r="L306" s="492" t="s">
        <v>1311</v>
      </c>
      <c r="M306" s="492" t="s">
        <v>1296</v>
      </c>
      <c r="N306" s="492" t="s">
        <v>2</v>
      </c>
      <c r="O306" s="492">
        <v>119</v>
      </c>
      <c r="P306" s="492" t="s">
        <v>109</v>
      </c>
      <c r="Q306" s="492">
        <v>3</v>
      </c>
      <c r="R306" s="492"/>
      <c r="S306" s="492"/>
      <c r="T306" s="492"/>
      <c r="U306" s="492"/>
      <c r="V306" s="492"/>
      <c r="W306" s="492"/>
      <c r="X306" s="492"/>
      <c r="Y306" s="492">
        <v>391188</v>
      </c>
      <c r="Z306" s="492">
        <v>8185645</v>
      </c>
      <c r="AA306" s="492">
        <v>10300.1636728188</v>
      </c>
      <c r="AB306" s="492">
        <v>10679.7557260748</v>
      </c>
      <c r="AC306" s="492">
        <v>7</v>
      </c>
      <c r="AD306" s="492">
        <v>23444</v>
      </c>
      <c r="AE306" s="492" t="s">
        <v>1343</v>
      </c>
      <c r="AF306" s="492" t="s">
        <v>1298</v>
      </c>
      <c r="AG306" s="492" t="s">
        <v>1299</v>
      </c>
      <c r="AH306" s="492" t="s">
        <v>1300</v>
      </c>
      <c r="AI306" s="492">
        <v>1</v>
      </c>
      <c r="AJ306" s="492" t="s">
        <v>1301</v>
      </c>
      <c r="AK306" s="492" t="s">
        <v>1302</v>
      </c>
      <c r="AL306" s="492"/>
      <c r="AM306" s="492"/>
      <c r="AN306" s="492"/>
      <c r="AO306" s="492"/>
      <c r="AP306" s="492"/>
      <c r="AQ306" s="492"/>
      <c r="AR306" s="492"/>
      <c r="AS306" s="492"/>
      <c r="AT306" s="492"/>
      <c r="AU306" s="492"/>
      <c r="AV306" s="492"/>
      <c r="AW306" s="492"/>
      <c r="AX306" s="492"/>
      <c r="AY306" s="492"/>
      <c r="AZ306" s="492"/>
      <c r="BA306" s="492"/>
      <c r="BB306" s="493">
        <v>32303</v>
      </c>
      <c r="BC306" s="494">
        <v>0.4375</v>
      </c>
      <c r="BD306" s="493">
        <v>47989</v>
      </c>
      <c r="BE306" s="494">
        <v>0.99998842592592596</v>
      </c>
      <c r="BF306" s="493">
        <v>32639</v>
      </c>
      <c r="BG306" s="494">
        <v>0</v>
      </c>
      <c r="BH306" s="492" t="s">
        <v>1344</v>
      </c>
      <c r="BI306" s="492">
        <v>749</v>
      </c>
      <c r="BJ306" s="492" t="s">
        <v>1304</v>
      </c>
      <c r="BK306" s="492"/>
      <c r="BL306" s="493">
        <v>45551</v>
      </c>
      <c r="BM306" s="492" t="s">
        <v>1305</v>
      </c>
      <c r="BN306" s="492" t="s">
        <v>1301</v>
      </c>
      <c r="BO306" s="492">
        <v>0.15434059947487599</v>
      </c>
      <c r="BP306" s="492">
        <v>6.3356001313399999E-4</v>
      </c>
    </row>
    <row r="307" spans="1:68" ht="75">
      <c r="A307" s="492" t="s">
        <v>1084</v>
      </c>
      <c r="B307" s="492">
        <v>390936</v>
      </c>
      <c r="C307" s="492">
        <v>8185646</v>
      </c>
      <c r="D307" s="492">
        <v>178</v>
      </c>
      <c r="E307" s="492">
        <v>289</v>
      </c>
      <c r="F307" s="492">
        <v>60</v>
      </c>
      <c r="G307" s="492" t="b">
        <v>0</v>
      </c>
      <c r="H307" s="492" t="b">
        <v>0</v>
      </c>
      <c r="I307" s="492">
        <v>10</v>
      </c>
      <c r="J307" s="492" t="b">
        <v>0</v>
      </c>
      <c r="K307" s="492">
        <v>190</v>
      </c>
      <c r="L307" s="492" t="s">
        <v>1013</v>
      </c>
      <c r="M307" s="492" t="s">
        <v>1308</v>
      </c>
      <c r="N307" s="492" t="s">
        <v>2</v>
      </c>
      <c r="O307" s="492">
        <v>190</v>
      </c>
      <c r="P307" s="492" t="s">
        <v>109</v>
      </c>
      <c r="Q307" s="492">
        <v>3</v>
      </c>
      <c r="R307" s="492"/>
      <c r="S307" s="492"/>
      <c r="T307" s="492"/>
      <c r="U307" s="492"/>
      <c r="V307" s="492"/>
      <c r="W307" s="492"/>
      <c r="X307" s="492"/>
      <c r="Y307" s="492">
        <v>390936</v>
      </c>
      <c r="Z307" s="492">
        <v>8185646</v>
      </c>
      <c r="AA307" s="492">
        <v>10061.341003793201</v>
      </c>
      <c r="AB307" s="492">
        <v>10599.097101347499</v>
      </c>
      <c r="AC307" s="492">
        <v>7</v>
      </c>
      <c r="AD307" s="492">
        <v>23444</v>
      </c>
      <c r="AE307" s="492" t="s">
        <v>1343</v>
      </c>
      <c r="AF307" s="492" t="s">
        <v>1298</v>
      </c>
      <c r="AG307" s="492" t="s">
        <v>1299</v>
      </c>
      <c r="AH307" s="492" t="s">
        <v>1300</v>
      </c>
      <c r="AI307" s="492">
        <v>1</v>
      </c>
      <c r="AJ307" s="492" t="s">
        <v>1301</v>
      </c>
      <c r="AK307" s="492" t="s">
        <v>1302</v>
      </c>
      <c r="AL307" s="492"/>
      <c r="AM307" s="492"/>
      <c r="AN307" s="492"/>
      <c r="AO307" s="492"/>
      <c r="AP307" s="492"/>
      <c r="AQ307" s="492"/>
      <c r="AR307" s="492"/>
      <c r="AS307" s="492"/>
      <c r="AT307" s="492"/>
      <c r="AU307" s="492"/>
      <c r="AV307" s="492"/>
      <c r="AW307" s="492"/>
      <c r="AX307" s="492"/>
      <c r="AY307" s="492"/>
      <c r="AZ307" s="492"/>
      <c r="BA307" s="492"/>
      <c r="BB307" s="493">
        <v>32303</v>
      </c>
      <c r="BC307" s="494">
        <v>0.4375</v>
      </c>
      <c r="BD307" s="493">
        <v>47989</v>
      </c>
      <c r="BE307" s="494">
        <v>0.99998842592592596</v>
      </c>
      <c r="BF307" s="493">
        <v>32639</v>
      </c>
      <c r="BG307" s="494">
        <v>0</v>
      </c>
      <c r="BH307" s="492" t="s">
        <v>1344</v>
      </c>
      <c r="BI307" s="492">
        <v>749</v>
      </c>
      <c r="BJ307" s="492" t="s">
        <v>1304</v>
      </c>
      <c r="BK307" s="492"/>
      <c r="BL307" s="493">
        <v>45551</v>
      </c>
      <c r="BM307" s="492" t="s">
        <v>1305</v>
      </c>
      <c r="BN307" s="492" t="s">
        <v>1301</v>
      </c>
      <c r="BO307" s="492">
        <v>0.15434059947487599</v>
      </c>
      <c r="BP307" s="492">
        <v>6.3356001313399999E-4</v>
      </c>
    </row>
    <row r="308" spans="1:68" ht="75">
      <c r="A308" s="492" t="s">
        <v>1364</v>
      </c>
      <c r="B308" s="492"/>
      <c r="C308" s="492"/>
      <c r="D308" s="492"/>
      <c r="E308" s="492"/>
      <c r="F308" s="492"/>
      <c r="G308" s="492"/>
      <c r="H308" s="492"/>
      <c r="I308" s="492"/>
      <c r="J308" s="492"/>
      <c r="K308" s="492"/>
      <c r="L308" s="492"/>
      <c r="M308" s="492"/>
      <c r="N308" s="492"/>
      <c r="O308" s="492"/>
      <c r="P308" s="492"/>
      <c r="Q308" s="492"/>
      <c r="R308" s="492"/>
      <c r="S308" s="492"/>
      <c r="T308" s="492"/>
      <c r="U308" s="492"/>
      <c r="V308" s="492"/>
      <c r="W308" s="492"/>
      <c r="X308" s="492"/>
      <c r="Y308" s="492"/>
      <c r="Z308" s="492"/>
      <c r="AA308" s="492"/>
      <c r="AB308" s="492"/>
      <c r="AC308" s="492">
        <v>7</v>
      </c>
      <c r="AD308" s="492">
        <v>23444</v>
      </c>
      <c r="AE308" s="492" t="s">
        <v>1343</v>
      </c>
      <c r="AF308" s="492" t="s">
        <v>1298</v>
      </c>
      <c r="AG308" s="492" t="s">
        <v>1299</v>
      </c>
      <c r="AH308" s="492" t="s">
        <v>1300</v>
      </c>
      <c r="AI308" s="492">
        <v>1</v>
      </c>
      <c r="AJ308" s="492" t="s">
        <v>1301</v>
      </c>
      <c r="AK308" s="492" t="s">
        <v>1302</v>
      </c>
      <c r="AL308" s="492"/>
      <c r="AM308" s="492"/>
      <c r="AN308" s="492"/>
      <c r="AO308" s="492"/>
      <c r="AP308" s="492"/>
      <c r="AQ308" s="492"/>
      <c r="AR308" s="492"/>
      <c r="AS308" s="492"/>
      <c r="AT308" s="492"/>
      <c r="AU308" s="492"/>
      <c r="AV308" s="492"/>
      <c r="AW308" s="492"/>
      <c r="AX308" s="492"/>
      <c r="AY308" s="492"/>
      <c r="AZ308" s="492"/>
      <c r="BA308" s="492"/>
      <c r="BB308" s="493">
        <v>32303</v>
      </c>
      <c r="BC308" s="494">
        <v>0.4375</v>
      </c>
      <c r="BD308" s="493">
        <v>47989</v>
      </c>
      <c r="BE308" s="494">
        <v>0.99998842592592596</v>
      </c>
      <c r="BF308" s="493">
        <v>32639</v>
      </c>
      <c r="BG308" s="494">
        <v>0</v>
      </c>
      <c r="BH308" s="492" t="s">
        <v>1344</v>
      </c>
      <c r="BI308" s="492">
        <v>749</v>
      </c>
      <c r="BJ308" s="492" t="s">
        <v>1304</v>
      </c>
      <c r="BK308" s="492"/>
      <c r="BL308" s="493">
        <v>45551</v>
      </c>
      <c r="BM308" s="492" t="s">
        <v>1305</v>
      </c>
      <c r="BN308" s="492" t="s">
        <v>1301</v>
      </c>
      <c r="BO308" s="492">
        <v>0.15434059947487599</v>
      </c>
      <c r="BP308" s="492">
        <v>6.3356001313399999E-4</v>
      </c>
    </row>
    <row r="309" spans="1:68" ht="75">
      <c r="A309" s="492" t="s">
        <v>318</v>
      </c>
      <c r="B309" s="492">
        <v>390948</v>
      </c>
      <c r="C309" s="492">
        <v>8184925</v>
      </c>
      <c r="D309" s="492">
        <v>184</v>
      </c>
      <c r="E309" s="492">
        <v>289</v>
      </c>
      <c r="F309" s="492">
        <v>55</v>
      </c>
      <c r="G309" s="492" t="b">
        <v>0</v>
      </c>
      <c r="H309" s="492" t="b">
        <v>0</v>
      </c>
      <c r="I309" s="492">
        <v>10</v>
      </c>
      <c r="J309" s="492" t="b">
        <v>0</v>
      </c>
      <c r="K309" s="492">
        <v>130</v>
      </c>
      <c r="L309" s="492" t="s">
        <v>1013</v>
      </c>
      <c r="M309" s="492" t="s">
        <v>1296</v>
      </c>
      <c r="N309" s="492" t="s">
        <v>1</v>
      </c>
      <c r="O309" s="492">
        <v>130</v>
      </c>
      <c r="P309" s="492" t="s">
        <v>109</v>
      </c>
      <c r="Q309" s="492">
        <v>3</v>
      </c>
      <c r="R309" s="492"/>
      <c r="S309" s="492"/>
      <c r="T309" s="492"/>
      <c r="U309" s="492"/>
      <c r="V309" s="492"/>
      <c r="W309" s="492"/>
      <c r="X309" s="492"/>
      <c r="Y309" s="492">
        <v>390948</v>
      </c>
      <c r="Z309" s="492">
        <v>8184925</v>
      </c>
      <c r="AA309" s="492">
        <v>10306.1792029109</v>
      </c>
      <c r="AB309" s="492">
        <v>9920.6113765267601</v>
      </c>
      <c r="AC309" s="492">
        <v>7</v>
      </c>
      <c r="AD309" s="492">
        <v>23444</v>
      </c>
      <c r="AE309" s="492" t="s">
        <v>1343</v>
      </c>
      <c r="AF309" s="492" t="s">
        <v>1298</v>
      </c>
      <c r="AG309" s="492" t="s">
        <v>1299</v>
      </c>
      <c r="AH309" s="492" t="s">
        <v>1300</v>
      </c>
      <c r="AI309" s="492">
        <v>1</v>
      </c>
      <c r="AJ309" s="492" t="s">
        <v>1301</v>
      </c>
      <c r="AK309" s="492" t="s">
        <v>1302</v>
      </c>
      <c r="AL309" s="492"/>
      <c r="AM309" s="492"/>
      <c r="AN309" s="492"/>
      <c r="AO309" s="492"/>
      <c r="AP309" s="492"/>
      <c r="AQ309" s="492"/>
      <c r="AR309" s="492"/>
      <c r="AS309" s="492"/>
      <c r="AT309" s="492"/>
      <c r="AU309" s="492"/>
      <c r="AV309" s="492"/>
      <c r="AW309" s="492"/>
      <c r="AX309" s="492"/>
      <c r="AY309" s="492"/>
      <c r="AZ309" s="492"/>
      <c r="BA309" s="492"/>
      <c r="BB309" s="493">
        <v>32303</v>
      </c>
      <c r="BC309" s="494">
        <v>0.4375</v>
      </c>
      <c r="BD309" s="493">
        <v>47989</v>
      </c>
      <c r="BE309" s="494">
        <v>0.99998842592592596</v>
      </c>
      <c r="BF309" s="493">
        <v>32639</v>
      </c>
      <c r="BG309" s="494">
        <v>0</v>
      </c>
      <c r="BH309" s="492" t="s">
        <v>1344</v>
      </c>
      <c r="BI309" s="492">
        <v>749</v>
      </c>
      <c r="BJ309" s="492" t="s">
        <v>1304</v>
      </c>
      <c r="BK309" s="492"/>
      <c r="BL309" s="493">
        <v>45551</v>
      </c>
      <c r="BM309" s="492" t="s">
        <v>1305</v>
      </c>
      <c r="BN309" s="492" t="s">
        <v>1301</v>
      </c>
      <c r="BO309" s="492">
        <v>0.15434059947487599</v>
      </c>
      <c r="BP309" s="492">
        <v>6.3356001313399999E-4</v>
      </c>
    </row>
    <row r="310" spans="1:68" ht="75">
      <c r="A310" s="492" t="s">
        <v>1101</v>
      </c>
      <c r="B310" s="492">
        <v>390692</v>
      </c>
      <c r="C310" s="492">
        <v>8184927</v>
      </c>
      <c r="D310" s="492">
        <v>191</v>
      </c>
      <c r="E310" s="492">
        <v>109</v>
      </c>
      <c r="F310" s="492">
        <v>55</v>
      </c>
      <c r="G310" s="492" t="b">
        <v>0</v>
      </c>
      <c r="H310" s="492" t="b">
        <v>0</v>
      </c>
      <c r="I310" s="492">
        <v>10</v>
      </c>
      <c r="J310" s="492" t="b">
        <v>0</v>
      </c>
      <c r="K310" s="492">
        <v>90</v>
      </c>
      <c r="L310" s="492" t="s">
        <v>1013</v>
      </c>
      <c r="M310" s="492" t="s">
        <v>1308</v>
      </c>
      <c r="N310" s="492" t="s">
        <v>2</v>
      </c>
      <c r="O310" s="492">
        <v>90</v>
      </c>
      <c r="P310" s="492" t="s">
        <v>109</v>
      </c>
      <c r="Q310" s="492">
        <v>3</v>
      </c>
      <c r="R310" s="492"/>
      <c r="S310" s="492"/>
      <c r="T310" s="492"/>
      <c r="U310" s="492"/>
      <c r="V310" s="492"/>
      <c r="W310" s="492"/>
      <c r="X310" s="492"/>
      <c r="Y310" s="492">
        <v>390692</v>
      </c>
      <c r="Z310" s="492">
        <v>8184927</v>
      </c>
      <c r="AA310" s="492">
        <v>10063.247008460499</v>
      </c>
      <c r="AB310" s="492">
        <v>9839.6038575274797</v>
      </c>
      <c r="AC310" s="492">
        <v>7</v>
      </c>
      <c r="AD310" s="492">
        <v>23444</v>
      </c>
      <c r="AE310" s="492" t="s">
        <v>1343</v>
      </c>
      <c r="AF310" s="492" t="s">
        <v>1298</v>
      </c>
      <c r="AG310" s="492" t="s">
        <v>1299</v>
      </c>
      <c r="AH310" s="492" t="s">
        <v>1300</v>
      </c>
      <c r="AI310" s="492">
        <v>1</v>
      </c>
      <c r="AJ310" s="492" t="s">
        <v>1301</v>
      </c>
      <c r="AK310" s="492" t="s">
        <v>1302</v>
      </c>
      <c r="AL310" s="492"/>
      <c r="AM310" s="492"/>
      <c r="AN310" s="492"/>
      <c r="AO310" s="492"/>
      <c r="AP310" s="492"/>
      <c r="AQ310" s="492"/>
      <c r="AR310" s="492"/>
      <c r="AS310" s="492"/>
      <c r="AT310" s="492"/>
      <c r="AU310" s="492"/>
      <c r="AV310" s="492"/>
      <c r="AW310" s="492"/>
      <c r="AX310" s="492"/>
      <c r="AY310" s="492"/>
      <c r="AZ310" s="492"/>
      <c r="BA310" s="492"/>
      <c r="BB310" s="493">
        <v>32303</v>
      </c>
      <c r="BC310" s="494">
        <v>0.4375</v>
      </c>
      <c r="BD310" s="493">
        <v>47989</v>
      </c>
      <c r="BE310" s="494">
        <v>0.99998842592592596</v>
      </c>
      <c r="BF310" s="493">
        <v>32639</v>
      </c>
      <c r="BG310" s="494">
        <v>0</v>
      </c>
      <c r="BH310" s="492" t="s">
        <v>1344</v>
      </c>
      <c r="BI310" s="492">
        <v>749</v>
      </c>
      <c r="BJ310" s="492" t="s">
        <v>1304</v>
      </c>
      <c r="BK310" s="492"/>
      <c r="BL310" s="493">
        <v>45551</v>
      </c>
      <c r="BM310" s="492" t="s">
        <v>1305</v>
      </c>
      <c r="BN310" s="492" t="s">
        <v>1301</v>
      </c>
      <c r="BO310" s="492">
        <v>0.15434059947487599</v>
      </c>
      <c r="BP310" s="492">
        <v>6.3356001313399999E-4</v>
      </c>
    </row>
    <row r="311" spans="1:68" ht="75">
      <c r="A311" s="492" t="s">
        <v>1144</v>
      </c>
      <c r="B311" s="492">
        <v>390901</v>
      </c>
      <c r="C311" s="492">
        <v>8184940</v>
      </c>
      <c r="D311" s="492">
        <v>188</v>
      </c>
      <c r="E311" s="492">
        <v>289</v>
      </c>
      <c r="F311" s="492">
        <v>60</v>
      </c>
      <c r="G311" s="492" t="b">
        <v>0</v>
      </c>
      <c r="H311" s="492" t="b">
        <v>0</v>
      </c>
      <c r="I311" s="492">
        <v>10</v>
      </c>
      <c r="J311" s="492" t="b">
        <v>0</v>
      </c>
      <c r="K311" s="492">
        <v>50</v>
      </c>
      <c r="L311" s="492" t="s">
        <v>1013</v>
      </c>
      <c r="M311" s="492" t="s">
        <v>1308</v>
      </c>
      <c r="N311" s="492" t="s">
        <v>2</v>
      </c>
      <c r="O311" s="492">
        <v>50</v>
      </c>
      <c r="P311" s="492" t="s">
        <v>109</v>
      </c>
      <c r="Q311" s="492">
        <v>3</v>
      </c>
      <c r="R311" s="492"/>
      <c r="S311" s="492"/>
      <c r="T311" s="492"/>
      <c r="U311" s="492"/>
      <c r="V311" s="492"/>
      <c r="W311" s="492"/>
      <c r="X311" s="492"/>
      <c r="Y311" s="492">
        <v>390901</v>
      </c>
      <c r="Z311" s="492">
        <v>8184940</v>
      </c>
      <c r="AA311" s="492">
        <v>10256.839833128701</v>
      </c>
      <c r="AB311" s="492">
        <v>9919.5877467757091</v>
      </c>
      <c r="AC311" s="492">
        <v>7</v>
      </c>
      <c r="AD311" s="492">
        <v>23444</v>
      </c>
      <c r="AE311" s="492" t="s">
        <v>1343</v>
      </c>
      <c r="AF311" s="492" t="s">
        <v>1298</v>
      </c>
      <c r="AG311" s="492" t="s">
        <v>1299</v>
      </c>
      <c r="AH311" s="492" t="s">
        <v>1300</v>
      </c>
      <c r="AI311" s="492">
        <v>1</v>
      </c>
      <c r="AJ311" s="492" t="s">
        <v>1301</v>
      </c>
      <c r="AK311" s="492" t="s">
        <v>1302</v>
      </c>
      <c r="AL311" s="492"/>
      <c r="AM311" s="492"/>
      <c r="AN311" s="492"/>
      <c r="AO311" s="492"/>
      <c r="AP311" s="492"/>
      <c r="AQ311" s="492"/>
      <c r="AR311" s="492"/>
      <c r="AS311" s="492"/>
      <c r="AT311" s="492"/>
      <c r="AU311" s="492"/>
      <c r="AV311" s="492"/>
      <c r="AW311" s="492"/>
      <c r="AX311" s="492"/>
      <c r="AY311" s="492"/>
      <c r="AZ311" s="492"/>
      <c r="BA311" s="492"/>
      <c r="BB311" s="493">
        <v>32303</v>
      </c>
      <c r="BC311" s="494">
        <v>0.4375</v>
      </c>
      <c r="BD311" s="493">
        <v>47989</v>
      </c>
      <c r="BE311" s="494">
        <v>0.99998842592592596</v>
      </c>
      <c r="BF311" s="493">
        <v>32639</v>
      </c>
      <c r="BG311" s="494">
        <v>0</v>
      </c>
      <c r="BH311" s="492" t="s">
        <v>1344</v>
      </c>
      <c r="BI311" s="492">
        <v>749</v>
      </c>
      <c r="BJ311" s="492" t="s">
        <v>1304</v>
      </c>
      <c r="BK311" s="492"/>
      <c r="BL311" s="493">
        <v>45551</v>
      </c>
      <c r="BM311" s="492" t="s">
        <v>1305</v>
      </c>
      <c r="BN311" s="492" t="s">
        <v>1301</v>
      </c>
      <c r="BO311" s="492">
        <v>0.15434059947487599</v>
      </c>
      <c r="BP311" s="492">
        <v>6.3356001313399999E-4</v>
      </c>
    </row>
    <row r="312" spans="1:68" ht="75">
      <c r="A312" s="492" t="s">
        <v>1100</v>
      </c>
      <c r="B312" s="492">
        <v>390620</v>
      </c>
      <c r="C312" s="492">
        <v>8184952</v>
      </c>
      <c r="D312" s="492">
        <v>195</v>
      </c>
      <c r="E312" s="492">
        <v>289</v>
      </c>
      <c r="F312" s="492">
        <v>55</v>
      </c>
      <c r="G312" s="492" t="b">
        <v>0</v>
      </c>
      <c r="H312" s="492" t="b">
        <v>0</v>
      </c>
      <c r="I312" s="492">
        <v>10</v>
      </c>
      <c r="J312" s="492" t="b">
        <v>0</v>
      </c>
      <c r="K312" s="492">
        <v>40</v>
      </c>
      <c r="L312" s="492" t="s">
        <v>1013</v>
      </c>
      <c r="M312" s="492" t="s">
        <v>1312</v>
      </c>
      <c r="N312" s="492" t="s">
        <v>2</v>
      </c>
      <c r="O312" s="492">
        <v>40</v>
      </c>
      <c r="P312" s="492" t="s">
        <v>109</v>
      </c>
      <c r="Q312" s="492">
        <v>3</v>
      </c>
      <c r="R312" s="492"/>
      <c r="S312" s="492"/>
      <c r="T312" s="492"/>
      <c r="U312" s="492"/>
      <c r="V312" s="492"/>
      <c r="W312" s="492"/>
      <c r="X312" s="492"/>
      <c r="Y312" s="492">
        <v>390620</v>
      </c>
      <c r="Z312" s="492">
        <v>8184952</v>
      </c>
      <c r="AA312" s="492">
        <v>9987.0087439417803</v>
      </c>
      <c r="AB312" s="492">
        <v>9839.94872847851</v>
      </c>
      <c r="AC312" s="492">
        <v>7</v>
      </c>
      <c r="AD312" s="492">
        <v>23444</v>
      </c>
      <c r="AE312" s="492" t="s">
        <v>1343</v>
      </c>
      <c r="AF312" s="492" t="s">
        <v>1298</v>
      </c>
      <c r="AG312" s="492" t="s">
        <v>1299</v>
      </c>
      <c r="AH312" s="492" t="s">
        <v>1300</v>
      </c>
      <c r="AI312" s="492">
        <v>1</v>
      </c>
      <c r="AJ312" s="492" t="s">
        <v>1301</v>
      </c>
      <c r="AK312" s="492" t="s">
        <v>1302</v>
      </c>
      <c r="AL312" s="492"/>
      <c r="AM312" s="492"/>
      <c r="AN312" s="492"/>
      <c r="AO312" s="492"/>
      <c r="AP312" s="492"/>
      <c r="AQ312" s="492"/>
      <c r="AR312" s="492"/>
      <c r="AS312" s="492"/>
      <c r="AT312" s="492"/>
      <c r="AU312" s="492"/>
      <c r="AV312" s="492"/>
      <c r="AW312" s="492"/>
      <c r="AX312" s="492"/>
      <c r="AY312" s="492"/>
      <c r="AZ312" s="492"/>
      <c r="BA312" s="492"/>
      <c r="BB312" s="493">
        <v>32303</v>
      </c>
      <c r="BC312" s="494">
        <v>0.4375</v>
      </c>
      <c r="BD312" s="493">
        <v>47989</v>
      </c>
      <c r="BE312" s="494">
        <v>0.99998842592592596</v>
      </c>
      <c r="BF312" s="493">
        <v>32639</v>
      </c>
      <c r="BG312" s="494">
        <v>0</v>
      </c>
      <c r="BH312" s="492" t="s">
        <v>1344</v>
      </c>
      <c r="BI312" s="492">
        <v>749</v>
      </c>
      <c r="BJ312" s="492" t="s">
        <v>1304</v>
      </c>
      <c r="BK312" s="492"/>
      <c r="BL312" s="493">
        <v>45551</v>
      </c>
      <c r="BM312" s="492" t="s">
        <v>1305</v>
      </c>
      <c r="BN312" s="492" t="s">
        <v>1301</v>
      </c>
      <c r="BO312" s="492">
        <v>0.15434059947487599</v>
      </c>
      <c r="BP312" s="492">
        <v>6.3356001313399999E-4</v>
      </c>
    </row>
    <row r="313" spans="1:68" ht="75">
      <c r="A313" s="492" t="s">
        <v>1143</v>
      </c>
      <c r="B313" s="492">
        <v>390866</v>
      </c>
      <c r="C313" s="492">
        <v>8184952</v>
      </c>
      <c r="D313" s="492">
        <v>195</v>
      </c>
      <c r="E313" s="492">
        <v>289</v>
      </c>
      <c r="F313" s="492">
        <v>60</v>
      </c>
      <c r="G313" s="492" t="b">
        <v>0</v>
      </c>
      <c r="H313" s="492" t="b">
        <v>0</v>
      </c>
      <c r="I313" s="492">
        <v>10</v>
      </c>
      <c r="J313" s="492" t="b">
        <v>0</v>
      </c>
      <c r="K313" s="492">
        <v>90</v>
      </c>
      <c r="L313" s="492" t="s">
        <v>1013</v>
      </c>
      <c r="M313" s="492" t="s">
        <v>1308</v>
      </c>
      <c r="N313" s="492" t="s">
        <v>2</v>
      </c>
      <c r="O313" s="492">
        <v>90</v>
      </c>
      <c r="P313" s="492" t="s">
        <v>109</v>
      </c>
      <c r="Q313" s="492">
        <v>3</v>
      </c>
      <c r="R313" s="492" t="b">
        <v>1</v>
      </c>
      <c r="S313" s="492" t="b">
        <v>1</v>
      </c>
      <c r="T313" s="492"/>
      <c r="U313" s="492"/>
      <c r="V313" s="492"/>
      <c r="W313" s="492"/>
      <c r="X313" s="492"/>
      <c r="Y313" s="492">
        <v>390875.09376446297</v>
      </c>
      <c r="Z313" s="492">
        <v>8184959.1014596196</v>
      </c>
      <c r="AA313" s="492">
        <v>10226.1359337135</v>
      </c>
      <c r="AB313" s="492">
        <v>9929.2766211377402</v>
      </c>
      <c r="AC313" s="492">
        <v>7</v>
      </c>
      <c r="AD313" s="492">
        <v>23444</v>
      </c>
      <c r="AE313" s="492" t="s">
        <v>1343</v>
      </c>
      <c r="AF313" s="492" t="s">
        <v>1298</v>
      </c>
      <c r="AG313" s="492" t="s">
        <v>1299</v>
      </c>
      <c r="AH313" s="492" t="s">
        <v>1300</v>
      </c>
      <c r="AI313" s="492">
        <v>1</v>
      </c>
      <c r="AJ313" s="492" t="s">
        <v>1301</v>
      </c>
      <c r="AK313" s="492" t="s">
        <v>1302</v>
      </c>
      <c r="AL313" s="492"/>
      <c r="AM313" s="492"/>
      <c r="AN313" s="492"/>
      <c r="AO313" s="492"/>
      <c r="AP313" s="492"/>
      <c r="AQ313" s="492"/>
      <c r="AR313" s="492"/>
      <c r="AS313" s="492"/>
      <c r="AT313" s="492"/>
      <c r="AU313" s="492"/>
      <c r="AV313" s="492"/>
      <c r="AW313" s="492"/>
      <c r="AX313" s="492"/>
      <c r="AY313" s="492"/>
      <c r="AZ313" s="492"/>
      <c r="BA313" s="492"/>
      <c r="BB313" s="493">
        <v>32303</v>
      </c>
      <c r="BC313" s="494">
        <v>0.4375</v>
      </c>
      <c r="BD313" s="493">
        <v>47989</v>
      </c>
      <c r="BE313" s="494">
        <v>0.99998842592592596</v>
      </c>
      <c r="BF313" s="493">
        <v>32639</v>
      </c>
      <c r="BG313" s="494">
        <v>0</v>
      </c>
      <c r="BH313" s="492" t="s">
        <v>1344</v>
      </c>
      <c r="BI313" s="492">
        <v>749</v>
      </c>
      <c r="BJ313" s="492" t="s">
        <v>1304</v>
      </c>
      <c r="BK313" s="492"/>
      <c r="BL313" s="493">
        <v>45551</v>
      </c>
      <c r="BM313" s="492" t="s">
        <v>1305</v>
      </c>
      <c r="BN313" s="492" t="s">
        <v>1301</v>
      </c>
      <c r="BO313" s="492">
        <v>0.15434059947487599</v>
      </c>
      <c r="BP313" s="492">
        <v>6.3356001313399999E-4</v>
      </c>
    </row>
    <row r="314" spans="1:68" ht="75">
      <c r="A314" s="492" t="s">
        <v>838</v>
      </c>
      <c r="B314" s="492">
        <v>390951</v>
      </c>
      <c r="C314" s="492">
        <v>8184965</v>
      </c>
      <c r="D314" s="492">
        <v>184</v>
      </c>
      <c r="E314" s="492">
        <v>289</v>
      </c>
      <c r="F314" s="492">
        <v>55</v>
      </c>
      <c r="G314" s="492" t="b">
        <v>0</v>
      </c>
      <c r="H314" s="492" t="b">
        <v>0</v>
      </c>
      <c r="I314" s="492">
        <v>10</v>
      </c>
      <c r="J314" s="492" t="b">
        <v>0</v>
      </c>
      <c r="K314" s="492">
        <v>140</v>
      </c>
      <c r="L314" s="492" t="s">
        <v>1013</v>
      </c>
      <c r="M314" s="492" t="s">
        <v>1296</v>
      </c>
      <c r="N314" s="492" t="s">
        <v>2</v>
      </c>
      <c r="O314" s="492">
        <v>140</v>
      </c>
      <c r="P314" s="492" t="s">
        <v>109</v>
      </c>
      <c r="Q314" s="492">
        <v>3</v>
      </c>
      <c r="R314" s="492"/>
      <c r="S314" s="492"/>
      <c r="T314" s="492"/>
      <c r="U314" s="492"/>
      <c r="V314" s="492"/>
      <c r="W314" s="492" t="s">
        <v>1307</v>
      </c>
      <c r="X314" s="492"/>
      <c r="Y314" s="492">
        <v>390951</v>
      </c>
      <c r="Z314" s="492">
        <v>8184965</v>
      </c>
      <c r="AA314" s="492">
        <v>10296.065292474799</v>
      </c>
      <c r="AB314" s="492">
        <v>9959.4398238435297</v>
      </c>
      <c r="AC314" s="492">
        <v>7</v>
      </c>
      <c r="AD314" s="492">
        <v>23444</v>
      </c>
      <c r="AE314" s="492" t="s">
        <v>1343</v>
      </c>
      <c r="AF314" s="492" t="s">
        <v>1298</v>
      </c>
      <c r="AG314" s="492" t="s">
        <v>1299</v>
      </c>
      <c r="AH314" s="492" t="s">
        <v>1300</v>
      </c>
      <c r="AI314" s="492">
        <v>1</v>
      </c>
      <c r="AJ314" s="492" t="s">
        <v>1301</v>
      </c>
      <c r="AK314" s="492" t="s">
        <v>1302</v>
      </c>
      <c r="AL314" s="492"/>
      <c r="AM314" s="492"/>
      <c r="AN314" s="492"/>
      <c r="AO314" s="492"/>
      <c r="AP314" s="492"/>
      <c r="AQ314" s="492"/>
      <c r="AR314" s="492"/>
      <c r="AS314" s="492"/>
      <c r="AT314" s="492"/>
      <c r="AU314" s="492"/>
      <c r="AV314" s="492"/>
      <c r="AW314" s="492"/>
      <c r="AX314" s="492"/>
      <c r="AY314" s="492"/>
      <c r="AZ314" s="492"/>
      <c r="BA314" s="492"/>
      <c r="BB314" s="493">
        <v>32303</v>
      </c>
      <c r="BC314" s="494">
        <v>0.4375</v>
      </c>
      <c r="BD314" s="493">
        <v>47989</v>
      </c>
      <c r="BE314" s="494">
        <v>0.99998842592592596</v>
      </c>
      <c r="BF314" s="493">
        <v>32639</v>
      </c>
      <c r="BG314" s="494">
        <v>0</v>
      </c>
      <c r="BH314" s="492" t="s">
        <v>1344</v>
      </c>
      <c r="BI314" s="492">
        <v>749</v>
      </c>
      <c r="BJ314" s="492" t="s">
        <v>1304</v>
      </c>
      <c r="BK314" s="492"/>
      <c r="BL314" s="493">
        <v>45551</v>
      </c>
      <c r="BM314" s="492" t="s">
        <v>1305</v>
      </c>
      <c r="BN314" s="492" t="s">
        <v>1301</v>
      </c>
      <c r="BO314" s="492">
        <v>0.15434059947487599</v>
      </c>
      <c r="BP314" s="492">
        <v>6.3356001313399999E-4</v>
      </c>
    </row>
    <row r="315" spans="1:68" ht="75">
      <c r="A315" s="492" t="s">
        <v>179</v>
      </c>
      <c r="B315" s="492">
        <v>390666</v>
      </c>
      <c r="C315" s="492">
        <v>8184993</v>
      </c>
      <c r="D315" s="492">
        <v>185</v>
      </c>
      <c r="E315" s="492">
        <v>289</v>
      </c>
      <c r="F315" s="492">
        <v>55</v>
      </c>
      <c r="G315" s="492" t="b">
        <v>0</v>
      </c>
      <c r="H315" s="492" t="b">
        <v>0</v>
      </c>
      <c r="I315" s="492">
        <v>10</v>
      </c>
      <c r="J315" s="492" t="b">
        <v>0</v>
      </c>
      <c r="K315" s="492">
        <v>100</v>
      </c>
      <c r="L315" s="492" t="s">
        <v>1306</v>
      </c>
      <c r="M315" s="492" t="s">
        <v>1296</v>
      </c>
      <c r="N315" s="492" t="s">
        <v>1</v>
      </c>
      <c r="O315" s="492">
        <v>100</v>
      </c>
      <c r="P315" s="492" t="s">
        <v>11</v>
      </c>
      <c r="Q315" s="492">
        <v>1</v>
      </c>
      <c r="R315" s="492"/>
      <c r="S315" s="492"/>
      <c r="T315" s="492"/>
      <c r="U315" s="492"/>
      <c r="V315" s="492"/>
      <c r="W315" s="492"/>
      <c r="X315" s="492"/>
      <c r="Y315" s="492">
        <v>390666</v>
      </c>
      <c r="Z315" s="492">
        <v>8184993</v>
      </c>
      <c r="AA315" s="492">
        <v>10017.267234495301</v>
      </c>
      <c r="AB315" s="492">
        <v>9893.6482707709001</v>
      </c>
      <c r="AC315" s="492">
        <v>7</v>
      </c>
      <c r="AD315" s="492">
        <v>23444</v>
      </c>
      <c r="AE315" s="492" t="s">
        <v>1343</v>
      </c>
      <c r="AF315" s="492" t="s">
        <v>1298</v>
      </c>
      <c r="AG315" s="492" t="s">
        <v>1299</v>
      </c>
      <c r="AH315" s="492" t="s">
        <v>1300</v>
      </c>
      <c r="AI315" s="492">
        <v>1</v>
      </c>
      <c r="AJ315" s="492" t="s">
        <v>1301</v>
      </c>
      <c r="AK315" s="492" t="s">
        <v>1302</v>
      </c>
      <c r="AL315" s="492"/>
      <c r="AM315" s="492"/>
      <c r="AN315" s="492"/>
      <c r="AO315" s="492"/>
      <c r="AP315" s="492"/>
      <c r="AQ315" s="492"/>
      <c r="AR315" s="492"/>
      <c r="AS315" s="492"/>
      <c r="AT315" s="492"/>
      <c r="AU315" s="492"/>
      <c r="AV315" s="492"/>
      <c r="AW315" s="492"/>
      <c r="AX315" s="492"/>
      <c r="AY315" s="492"/>
      <c r="AZ315" s="492"/>
      <c r="BA315" s="492"/>
      <c r="BB315" s="493">
        <v>32303</v>
      </c>
      <c r="BC315" s="494">
        <v>0.4375</v>
      </c>
      <c r="BD315" s="493">
        <v>47989</v>
      </c>
      <c r="BE315" s="494">
        <v>0.99998842592592596</v>
      </c>
      <c r="BF315" s="493">
        <v>32639</v>
      </c>
      <c r="BG315" s="494">
        <v>0</v>
      </c>
      <c r="BH315" s="492" t="s">
        <v>1344</v>
      </c>
      <c r="BI315" s="492">
        <v>749</v>
      </c>
      <c r="BJ315" s="492" t="s">
        <v>1304</v>
      </c>
      <c r="BK315" s="492"/>
      <c r="BL315" s="493">
        <v>45551</v>
      </c>
      <c r="BM315" s="492" t="s">
        <v>1305</v>
      </c>
      <c r="BN315" s="492" t="s">
        <v>1301</v>
      </c>
      <c r="BO315" s="492">
        <v>0.15434059947487599</v>
      </c>
      <c r="BP315" s="492">
        <v>6.3356001313399999E-4</v>
      </c>
    </row>
    <row r="316" spans="1:68" ht="75">
      <c r="A316" s="492" t="s">
        <v>743</v>
      </c>
      <c r="B316" s="492">
        <v>390975</v>
      </c>
      <c r="C316" s="492">
        <v>8185759</v>
      </c>
      <c r="D316" s="492">
        <v>179</v>
      </c>
      <c r="E316" s="492">
        <v>289</v>
      </c>
      <c r="F316" s="492">
        <v>55</v>
      </c>
      <c r="G316" s="492" t="b">
        <v>0</v>
      </c>
      <c r="H316" s="492" t="b">
        <v>0</v>
      </c>
      <c r="I316" s="492">
        <v>10</v>
      </c>
      <c r="J316" s="492" t="b">
        <v>0</v>
      </c>
      <c r="K316" s="492">
        <v>160</v>
      </c>
      <c r="L316" s="492" t="s">
        <v>1013</v>
      </c>
      <c r="M316" s="492" t="s">
        <v>1296</v>
      </c>
      <c r="N316" s="492" t="s">
        <v>2</v>
      </c>
      <c r="O316" s="492">
        <v>160</v>
      </c>
      <c r="P316" s="492" t="s">
        <v>109</v>
      </c>
      <c r="Q316" s="492">
        <v>3</v>
      </c>
      <c r="R316" s="492"/>
      <c r="S316" s="492"/>
      <c r="T316" s="492"/>
      <c r="U316" s="492"/>
      <c r="V316" s="492"/>
      <c r="W316" s="492"/>
      <c r="X316" s="492"/>
      <c r="Y316" s="492">
        <v>390989.71645924001</v>
      </c>
      <c r="Z316" s="492">
        <v>8185755.0915228697</v>
      </c>
      <c r="AA316" s="492">
        <v>10076.8524885308</v>
      </c>
      <c r="AB316" s="492">
        <v>10719.7389103556</v>
      </c>
      <c r="AC316" s="492">
        <v>7</v>
      </c>
      <c r="AD316" s="492">
        <v>23444</v>
      </c>
      <c r="AE316" s="492" t="s">
        <v>1343</v>
      </c>
      <c r="AF316" s="492" t="s">
        <v>1298</v>
      </c>
      <c r="AG316" s="492" t="s">
        <v>1299</v>
      </c>
      <c r="AH316" s="492" t="s">
        <v>1300</v>
      </c>
      <c r="AI316" s="492">
        <v>1</v>
      </c>
      <c r="AJ316" s="492" t="s">
        <v>1301</v>
      </c>
      <c r="AK316" s="492" t="s">
        <v>1302</v>
      </c>
      <c r="AL316" s="492"/>
      <c r="AM316" s="492"/>
      <c r="AN316" s="492"/>
      <c r="AO316" s="492"/>
      <c r="AP316" s="492"/>
      <c r="AQ316" s="492"/>
      <c r="AR316" s="492"/>
      <c r="AS316" s="492"/>
      <c r="AT316" s="492"/>
      <c r="AU316" s="492"/>
      <c r="AV316" s="492"/>
      <c r="AW316" s="492"/>
      <c r="AX316" s="492"/>
      <c r="AY316" s="492"/>
      <c r="AZ316" s="492"/>
      <c r="BA316" s="492"/>
      <c r="BB316" s="493">
        <v>32303</v>
      </c>
      <c r="BC316" s="494">
        <v>0.4375</v>
      </c>
      <c r="BD316" s="493">
        <v>47989</v>
      </c>
      <c r="BE316" s="494">
        <v>0.99998842592592596</v>
      </c>
      <c r="BF316" s="493">
        <v>32639</v>
      </c>
      <c r="BG316" s="494">
        <v>0</v>
      </c>
      <c r="BH316" s="492" t="s">
        <v>1344</v>
      </c>
      <c r="BI316" s="492">
        <v>749</v>
      </c>
      <c r="BJ316" s="492" t="s">
        <v>1304</v>
      </c>
      <c r="BK316" s="492"/>
      <c r="BL316" s="493">
        <v>45551</v>
      </c>
      <c r="BM316" s="492" t="s">
        <v>1305</v>
      </c>
      <c r="BN316" s="492" t="s">
        <v>1301</v>
      </c>
      <c r="BO316" s="492">
        <v>0.15434059947487599</v>
      </c>
      <c r="BP316" s="492">
        <v>6.3356001313399999E-4</v>
      </c>
    </row>
    <row r="317" spans="1:68" ht="75">
      <c r="A317" s="492" t="s">
        <v>844</v>
      </c>
      <c r="B317" s="492">
        <v>391003</v>
      </c>
      <c r="C317" s="492">
        <v>8185793</v>
      </c>
      <c r="D317" s="492">
        <v>179</v>
      </c>
      <c r="E317" s="492">
        <v>289</v>
      </c>
      <c r="F317" s="492">
        <v>60</v>
      </c>
      <c r="G317" s="492" t="b">
        <v>0</v>
      </c>
      <c r="H317" s="492" t="b">
        <v>0</v>
      </c>
      <c r="I317" s="492">
        <v>10</v>
      </c>
      <c r="J317" s="492" t="b">
        <v>0</v>
      </c>
      <c r="K317" s="492">
        <v>180</v>
      </c>
      <c r="L317" s="492" t="s">
        <v>1013</v>
      </c>
      <c r="M317" s="492" t="s">
        <v>1296</v>
      </c>
      <c r="N317" s="492" t="s">
        <v>2</v>
      </c>
      <c r="O317" s="492">
        <v>180</v>
      </c>
      <c r="P317" s="492" t="s">
        <v>109</v>
      </c>
      <c r="Q317" s="492">
        <v>3</v>
      </c>
      <c r="R317" s="492"/>
      <c r="S317" s="492"/>
      <c r="T317" s="492"/>
      <c r="U317" s="492"/>
      <c r="V317" s="492"/>
      <c r="W317" s="492" t="s">
        <v>1307</v>
      </c>
      <c r="X317" s="492"/>
      <c r="Y317" s="492">
        <v>391003</v>
      </c>
      <c r="Z317" s="492">
        <v>8185793</v>
      </c>
      <c r="AA317" s="492">
        <v>10077.148464458</v>
      </c>
      <c r="AB317" s="492">
        <v>10759.918004762299</v>
      </c>
      <c r="AC317" s="492">
        <v>7</v>
      </c>
      <c r="AD317" s="492">
        <v>23444</v>
      </c>
      <c r="AE317" s="492" t="s">
        <v>1343</v>
      </c>
      <c r="AF317" s="492" t="s">
        <v>1298</v>
      </c>
      <c r="AG317" s="492" t="s">
        <v>1299</v>
      </c>
      <c r="AH317" s="492" t="s">
        <v>1300</v>
      </c>
      <c r="AI317" s="492">
        <v>1</v>
      </c>
      <c r="AJ317" s="492" t="s">
        <v>1301</v>
      </c>
      <c r="AK317" s="492" t="s">
        <v>1302</v>
      </c>
      <c r="AL317" s="492"/>
      <c r="AM317" s="492"/>
      <c r="AN317" s="492"/>
      <c r="AO317" s="492"/>
      <c r="AP317" s="492"/>
      <c r="AQ317" s="492"/>
      <c r="AR317" s="492"/>
      <c r="AS317" s="492"/>
      <c r="AT317" s="492"/>
      <c r="AU317" s="492"/>
      <c r="AV317" s="492"/>
      <c r="AW317" s="492"/>
      <c r="AX317" s="492"/>
      <c r="AY317" s="492"/>
      <c r="AZ317" s="492"/>
      <c r="BA317" s="492"/>
      <c r="BB317" s="493">
        <v>32303</v>
      </c>
      <c r="BC317" s="494">
        <v>0.4375</v>
      </c>
      <c r="BD317" s="493">
        <v>47989</v>
      </c>
      <c r="BE317" s="494">
        <v>0.99998842592592596</v>
      </c>
      <c r="BF317" s="493">
        <v>32639</v>
      </c>
      <c r="BG317" s="494">
        <v>0</v>
      </c>
      <c r="BH317" s="492" t="s">
        <v>1344</v>
      </c>
      <c r="BI317" s="492">
        <v>749</v>
      </c>
      <c r="BJ317" s="492" t="s">
        <v>1304</v>
      </c>
      <c r="BK317" s="492"/>
      <c r="BL317" s="493">
        <v>45551</v>
      </c>
      <c r="BM317" s="492" t="s">
        <v>1305</v>
      </c>
      <c r="BN317" s="492" t="s">
        <v>1301</v>
      </c>
      <c r="BO317" s="492">
        <v>0.15434059947487599</v>
      </c>
      <c r="BP317" s="492">
        <v>6.3356001313399999E-4</v>
      </c>
    </row>
    <row r="318" spans="1:68" ht="75">
      <c r="A318" s="492" t="s">
        <v>177</v>
      </c>
      <c r="B318" s="492">
        <v>390948</v>
      </c>
      <c r="C318" s="492">
        <v>8185778</v>
      </c>
      <c r="D318" s="492">
        <v>179</v>
      </c>
      <c r="E318" s="492">
        <v>289</v>
      </c>
      <c r="F318" s="492">
        <v>55</v>
      </c>
      <c r="G318" s="492" t="b">
        <v>0</v>
      </c>
      <c r="H318" s="492" t="b">
        <v>0</v>
      </c>
      <c r="I318" s="492">
        <v>10</v>
      </c>
      <c r="J318" s="492" t="b">
        <v>0</v>
      </c>
      <c r="K318" s="492">
        <v>80</v>
      </c>
      <c r="L318" s="492" t="s">
        <v>1306</v>
      </c>
      <c r="M318" s="492" t="s">
        <v>1296</v>
      </c>
      <c r="N318" s="492" t="s">
        <v>1</v>
      </c>
      <c r="O318" s="492">
        <v>100</v>
      </c>
      <c r="P318" s="492" t="s">
        <v>11</v>
      </c>
      <c r="Q318" s="492">
        <v>1</v>
      </c>
      <c r="R318" s="492"/>
      <c r="S318" s="492"/>
      <c r="T318" s="492"/>
      <c r="U318" s="492"/>
      <c r="V318" s="492"/>
      <c r="W318" s="492"/>
      <c r="X318" s="492"/>
      <c r="Y318" s="492">
        <v>390992.47276382003</v>
      </c>
      <c r="Z318" s="492">
        <v>8185796.9611019604</v>
      </c>
      <c r="AA318" s="492">
        <v>10065.9025139408</v>
      </c>
      <c r="AB318" s="492">
        <v>10760.257856353101</v>
      </c>
      <c r="AC318" s="492">
        <v>7</v>
      </c>
      <c r="AD318" s="492">
        <v>23444</v>
      </c>
      <c r="AE318" s="492" t="s">
        <v>1343</v>
      </c>
      <c r="AF318" s="492" t="s">
        <v>1298</v>
      </c>
      <c r="AG318" s="492" t="s">
        <v>1299</v>
      </c>
      <c r="AH318" s="492" t="s">
        <v>1300</v>
      </c>
      <c r="AI318" s="492">
        <v>1</v>
      </c>
      <c r="AJ318" s="492" t="s">
        <v>1301</v>
      </c>
      <c r="AK318" s="492" t="s">
        <v>1302</v>
      </c>
      <c r="AL318" s="492"/>
      <c r="AM318" s="492"/>
      <c r="AN318" s="492"/>
      <c r="AO318" s="492"/>
      <c r="AP318" s="492"/>
      <c r="AQ318" s="492"/>
      <c r="AR318" s="492"/>
      <c r="AS318" s="492"/>
      <c r="AT318" s="492"/>
      <c r="AU318" s="492"/>
      <c r="AV318" s="492"/>
      <c r="AW318" s="492"/>
      <c r="AX318" s="492"/>
      <c r="AY318" s="492"/>
      <c r="AZ318" s="492"/>
      <c r="BA318" s="492"/>
      <c r="BB318" s="493">
        <v>32303</v>
      </c>
      <c r="BC318" s="494">
        <v>0.4375</v>
      </c>
      <c r="BD318" s="493">
        <v>47989</v>
      </c>
      <c r="BE318" s="494">
        <v>0.99998842592592596</v>
      </c>
      <c r="BF318" s="493">
        <v>32639</v>
      </c>
      <c r="BG318" s="494">
        <v>0</v>
      </c>
      <c r="BH318" s="492" t="s">
        <v>1344</v>
      </c>
      <c r="BI318" s="492">
        <v>749</v>
      </c>
      <c r="BJ318" s="492" t="s">
        <v>1304</v>
      </c>
      <c r="BK318" s="492"/>
      <c r="BL318" s="493">
        <v>45551</v>
      </c>
      <c r="BM318" s="492" t="s">
        <v>1305</v>
      </c>
      <c r="BN318" s="492" t="s">
        <v>1301</v>
      </c>
      <c r="BO318" s="492">
        <v>0.15434059947487599</v>
      </c>
      <c r="BP318" s="492">
        <v>6.3356001313399999E-4</v>
      </c>
    </row>
    <row r="319" spans="1:68" ht="75">
      <c r="A319" s="492" t="s">
        <v>1078</v>
      </c>
      <c r="B319" s="492">
        <v>391058</v>
      </c>
      <c r="C319" s="492">
        <v>8185858</v>
      </c>
      <c r="D319" s="492">
        <v>180</v>
      </c>
      <c r="E319" s="492">
        <v>289</v>
      </c>
      <c r="F319" s="492">
        <v>55</v>
      </c>
      <c r="G319" s="492" t="b">
        <v>0</v>
      </c>
      <c r="H319" s="492" t="b">
        <v>0</v>
      </c>
      <c r="I319" s="492">
        <v>10</v>
      </c>
      <c r="J319" s="492" t="b">
        <v>0</v>
      </c>
      <c r="K319" s="492">
        <v>180</v>
      </c>
      <c r="L319" s="492" t="s">
        <v>1013</v>
      </c>
      <c r="M319" s="492" t="s">
        <v>1308</v>
      </c>
      <c r="N319" s="492" t="s">
        <v>2</v>
      </c>
      <c r="O319" s="492">
        <v>180</v>
      </c>
      <c r="P319" s="492" t="s">
        <v>109</v>
      </c>
      <c r="Q319" s="492">
        <v>3</v>
      </c>
      <c r="R319" s="492"/>
      <c r="S319" s="492"/>
      <c r="T319" s="492"/>
      <c r="U319" s="492"/>
      <c r="V319" s="492"/>
      <c r="W319" s="492"/>
      <c r="X319" s="492"/>
      <c r="Y319" s="492">
        <v>391058</v>
      </c>
      <c r="Z319" s="492">
        <v>8185858</v>
      </c>
      <c r="AA319" s="492">
        <v>10108.1528613092</v>
      </c>
      <c r="AB319" s="492">
        <v>10839.2461882634</v>
      </c>
      <c r="AC319" s="492">
        <v>7</v>
      </c>
      <c r="AD319" s="492">
        <v>23444</v>
      </c>
      <c r="AE319" s="492" t="s">
        <v>1343</v>
      </c>
      <c r="AF319" s="492" t="s">
        <v>1298</v>
      </c>
      <c r="AG319" s="492" t="s">
        <v>1299</v>
      </c>
      <c r="AH319" s="492" t="s">
        <v>1300</v>
      </c>
      <c r="AI319" s="492">
        <v>1</v>
      </c>
      <c r="AJ319" s="492" t="s">
        <v>1301</v>
      </c>
      <c r="AK319" s="492" t="s">
        <v>1302</v>
      </c>
      <c r="AL319" s="492"/>
      <c r="AM319" s="492"/>
      <c r="AN319" s="492"/>
      <c r="AO319" s="492"/>
      <c r="AP319" s="492"/>
      <c r="AQ319" s="492"/>
      <c r="AR319" s="492"/>
      <c r="AS319" s="492"/>
      <c r="AT319" s="492"/>
      <c r="AU319" s="492"/>
      <c r="AV319" s="492"/>
      <c r="AW319" s="492"/>
      <c r="AX319" s="492"/>
      <c r="AY319" s="492"/>
      <c r="AZ319" s="492"/>
      <c r="BA319" s="492"/>
      <c r="BB319" s="493">
        <v>32303</v>
      </c>
      <c r="BC319" s="494">
        <v>0.4375</v>
      </c>
      <c r="BD319" s="493">
        <v>47989</v>
      </c>
      <c r="BE319" s="494">
        <v>0.99998842592592596</v>
      </c>
      <c r="BF319" s="493">
        <v>32639</v>
      </c>
      <c r="BG319" s="494">
        <v>0</v>
      </c>
      <c r="BH319" s="492" t="s">
        <v>1344</v>
      </c>
      <c r="BI319" s="492">
        <v>749</v>
      </c>
      <c r="BJ319" s="492" t="s">
        <v>1304</v>
      </c>
      <c r="BK319" s="492"/>
      <c r="BL319" s="493">
        <v>45551</v>
      </c>
      <c r="BM319" s="492" t="s">
        <v>1305</v>
      </c>
      <c r="BN319" s="492" t="s">
        <v>1301</v>
      </c>
      <c r="BO319" s="492">
        <v>0.15434059947487599</v>
      </c>
      <c r="BP319" s="492">
        <v>6.3356001313399999E-4</v>
      </c>
    </row>
    <row r="320" spans="1:68" ht="75">
      <c r="A320" s="492" t="s">
        <v>1079</v>
      </c>
      <c r="B320" s="492">
        <v>390941</v>
      </c>
      <c r="C320" s="492">
        <v>8185856</v>
      </c>
      <c r="D320" s="492">
        <v>195</v>
      </c>
      <c r="E320" s="492">
        <v>289</v>
      </c>
      <c r="F320" s="492">
        <v>60</v>
      </c>
      <c r="G320" s="492" t="b">
        <v>0</v>
      </c>
      <c r="H320" s="492" t="b">
        <v>0</v>
      </c>
      <c r="I320" s="492">
        <v>10</v>
      </c>
      <c r="J320" s="492" t="b">
        <v>0</v>
      </c>
      <c r="K320" s="492">
        <v>70</v>
      </c>
      <c r="L320" s="492" t="s">
        <v>1013</v>
      </c>
      <c r="M320" s="492" t="s">
        <v>1308</v>
      </c>
      <c r="N320" s="492" t="s">
        <v>2</v>
      </c>
      <c r="O320" s="492">
        <v>70</v>
      </c>
      <c r="P320" s="492" t="s">
        <v>109</v>
      </c>
      <c r="Q320" s="492">
        <v>3</v>
      </c>
      <c r="R320" s="492"/>
      <c r="S320" s="492"/>
      <c r="T320" s="492"/>
      <c r="U320" s="492"/>
      <c r="V320" s="492"/>
      <c r="W320" s="492"/>
      <c r="X320" s="492"/>
      <c r="Y320" s="492">
        <v>390945.81010240101</v>
      </c>
      <c r="Z320" s="492">
        <v>8185862.6138907997</v>
      </c>
      <c r="AA320" s="492">
        <v>10000.479539243001</v>
      </c>
      <c r="AB320" s="492">
        <v>10807.2824801113</v>
      </c>
      <c r="AC320" s="492">
        <v>7</v>
      </c>
      <c r="AD320" s="492">
        <v>23444</v>
      </c>
      <c r="AE320" s="492" t="s">
        <v>1343</v>
      </c>
      <c r="AF320" s="492" t="s">
        <v>1298</v>
      </c>
      <c r="AG320" s="492" t="s">
        <v>1299</v>
      </c>
      <c r="AH320" s="492" t="s">
        <v>1300</v>
      </c>
      <c r="AI320" s="492">
        <v>1</v>
      </c>
      <c r="AJ320" s="492" t="s">
        <v>1301</v>
      </c>
      <c r="AK320" s="492" t="s">
        <v>1302</v>
      </c>
      <c r="AL320" s="492"/>
      <c r="AM320" s="492"/>
      <c r="AN320" s="492"/>
      <c r="AO320" s="492"/>
      <c r="AP320" s="492"/>
      <c r="AQ320" s="492"/>
      <c r="AR320" s="492"/>
      <c r="AS320" s="492"/>
      <c r="AT320" s="492"/>
      <c r="AU320" s="492"/>
      <c r="AV320" s="492"/>
      <c r="AW320" s="492"/>
      <c r="AX320" s="492"/>
      <c r="AY320" s="492"/>
      <c r="AZ320" s="492"/>
      <c r="BA320" s="492"/>
      <c r="BB320" s="493">
        <v>32303</v>
      </c>
      <c r="BC320" s="494">
        <v>0.4375</v>
      </c>
      <c r="BD320" s="493">
        <v>47989</v>
      </c>
      <c r="BE320" s="494">
        <v>0.99998842592592596</v>
      </c>
      <c r="BF320" s="493">
        <v>32639</v>
      </c>
      <c r="BG320" s="494">
        <v>0</v>
      </c>
      <c r="BH320" s="492" t="s">
        <v>1344</v>
      </c>
      <c r="BI320" s="492">
        <v>749</v>
      </c>
      <c r="BJ320" s="492" t="s">
        <v>1304</v>
      </c>
      <c r="BK320" s="492"/>
      <c r="BL320" s="493">
        <v>45551</v>
      </c>
      <c r="BM320" s="492" t="s">
        <v>1305</v>
      </c>
      <c r="BN320" s="492" t="s">
        <v>1301</v>
      </c>
      <c r="BO320" s="492">
        <v>0.15434059947487599</v>
      </c>
      <c r="BP320" s="492">
        <v>6.3356001313399999E-4</v>
      </c>
    </row>
    <row r="321" spans="1:68" ht="75">
      <c r="A321" s="492" t="s">
        <v>430</v>
      </c>
      <c r="B321" s="492">
        <v>390945</v>
      </c>
      <c r="C321" s="492">
        <v>8185870</v>
      </c>
      <c r="D321" s="492">
        <v>186</v>
      </c>
      <c r="E321" s="492">
        <v>290</v>
      </c>
      <c r="F321" s="492">
        <v>70</v>
      </c>
      <c r="G321" s="492" t="b">
        <v>0</v>
      </c>
      <c r="H321" s="492" t="b">
        <v>0</v>
      </c>
      <c r="I321" s="492">
        <v>10</v>
      </c>
      <c r="J321" s="492" t="b">
        <v>0</v>
      </c>
      <c r="K321" s="492">
        <v>130</v>
      </c>
      <c r="L321" s="492" t="s">
        <v>1313</v>
      </c>
      <c r="M321" s="492" t="s">
        <v>1296</v>
      </c>
      <c r="N321" s="492" t="s">
        <v>1</v>
      </c>
      <c r="O321" s="492">
        <v>130</v>
      </c>
      <c r="P321" s="492" t="s">
        <v>9</v>
      </c>
      <c r="Q321" s="492">
        <v>1</v>
      </c>
      <c r="R321" s="492"/>
      <c r="S321" s="492"/>
      <c r="T321" s="492"/>
      <c r="U321" s="492"/>
      <c r="V321" s="492"/>
      <c r="W321" s="492"/>
      <c r="X321" s="492"/>
      <c r="Y321" s="492">
        <v>390951.36026707903</v>
      </c>
      <c r="Z321" s="492">
        <v>8185865.9035567902</v>
      </c>
      <c r="AA321" s="492">
        <v>10004.6670570243</v>
      </c>
      <c r="AB321" s="492">
        <v>10812.1932062245</v>
      </c>
      <c r="AC321" s="492">
        <v>7</v>
      </c>
      <c r="AD321" s="492">
        <v>23444</v>
      </c>
      <c r="AE321" s="492" t="s">
        <v>1343</v>
      </c>
      <c r="AF321" s="492" t="s">
        <v>1298</v>
      </c>
      <c r="AG321" s="492" t="s">
        <v>1299</v>
      </c>
      <c r="AH321" s="492" t="s">
        <v>1300</v>
      </c>
      <c r="AI321" s="492">
        <v>1</v>
      </c>
      <c r="AJ321" s="492" t="s">
        <v>1301</v>
      </c>
      <c r="AK321" s="492" t="s">
        <v>1302</v>
      </c>
      <c r="AL321" s="492"/>
      <c r="AM321" s="492"/>
      <c r="AN321" s="492"/>
      <c r="AO321" s="492"/>
      <c r="AP321" s="492"/>
      <c r="AQ321" s="492"/>
      <c r="AR321" s="492"/>
      <c r="AS321" s="492"/>
      <c r="AT321" s="492"/>
      <c r="AU321" s="492"/>
      <c r="AV321" s="492"/>
      <c r="AW321" s="492"/>
      <c r="AX321" s="492"/>
      <c r="AY321" s="492"/>
      <c r="AZ321" s="492"/>
      <c r="BA321" s="492"/>
      <c r="BB321" s="493">
        <v>32303</v>
      </c>
      <c r="BC321" s="494">
        <v>0.4375</v>
      </c>
      <c r="BD321" s="493">
        <v>47989</v>
      </c>
      <c r="BE321" s="494">
        <v>0.99998842592592596</v>
      </c>
      <c r="BF321" s="493">
        <v>32639</v>
      </c>
      <c r="BG321" s="494">
        <v>0</v>
      </c>
      <c r="BH321" s="492" t="s">
        <v>1344</v>
      </c>
      <c r="BI321" s="492">
        <v>749</v>
      </c>
      <c r="BJ321" s="492" t="s">
        <v>1304</v>
      </c>
      <c r="BK321" s="492"/>
      <c r="BL321" s="493">
        <v>45551</v>
      </c>
      <c r="BM321" s="492" t="s">
        <v>1305</v>
      </c>
      <c r="BN321" s="492" t="s">
        <v>1301</v>
      </c>
      <c r="BO321" s="492">
        <v>0.15434059947487599</v>
      </c>
      <c r="BP321" s="492">
        <v>6.3356001313399999E-4</v>
      </c>
    </row>
    <row r="322" spans="1:68" ht="75">
      <c r="A322" s="492" t="s">
        <v>1077</v>
      </c>
      <c r="B322" s="492">
        <v>390992</v>
      </c>
      <c r="C322" s="492">
        <v>8185881</v>
      </c>
      <c r="D322" s="492">
        <v>188</v>
      </c>
      <c r="E322" s="492">
        <v>289</v>
      </c>
      <c r="F322" s="492">
        <v>55</v>
      </c>
      <c r="G322" s="492" t="b">
        <v>0</v>
      </c>
      <c r="H322" s="492" t="b">
        <v>0</v>
      </c>
      <c r="I322" s="492">
        <v>10</v>
      </c>
      <c r="J322" s="492" t="b">
        <v>0</v>
      </c>
      <c r="K322" s="492">
        <v>150</v>
      </c>
      <c r="L322" s="492" t="s">
        <v>1013</v>
      </c>
      <c r="M322" s="492" t="s">
        <v>1308</v>
      </c>
      <c r="N322" s="492" t="s">
        <v>2</v>
      </c>
      <c r="O322" s="492">
        <v>150</v>
      </c>
      <c r="P322" s="492" t="s">
        <v>109</v>
      </c>
      <c r="Q322" s="492">
        <v>3</v>
      </c>
      <c r="R322" s="492"/>
      <c r="S322" s="492"/>
      <c r="T322" s="492"/>
      <c r="U322" s="492"/>
      <c r="V322" s="492"/>
      <c r="W322" s="492" t="s">
        <v>1342</v>
      </c>
      <c r="X322" s="492"/>
      <c r="Y322" s="492">
        <v>390992</v>
      </c>
      <c r="Z322" s="492">
        <v>8185881</v>
      </c>
      <c r="AA322" s="492">
        <v>10038.2407997022</v>
      </c>
      <c r="AB322" s="492">
        <v>10839.641188634499</v>
      </c>
      <c r="AC322" s="492">
        <v>7</v>
      </c>
      <c r="AD322" s="492">
        <v>23444</v>
      </c>
      <c r="AE322" s="492" t="s">
        <v>1343</v>
      </c>
      <c r="AF322" s="492" t="s">
        <v>1298</v>
      </c>
      <c r="AG322" s="492" t="s">
        <v>1299</v>
      </c>
      <c r="AH322" s="492" t="s">
        <v>1300</v>
      </c>
      <c r="AI322" s="492">
        <v>1</v>
      </c>
      <c r="AJ322" s="492" t="s">
        <v>1301</v>
      </c>
      <c r="AK322" s="492" t="s">
        <v>1302</v>
      </c>
      <c r="AL322" s="492"/>
      <c r="AM322" s="492"/>
      <c r="AN322" s="492"/>
      <c r="AO322" s="492"/>
      <c r="AP322" s="492"/>
      <c r="AQ322" s="492"/>
      <c r="AR322" s="492"/>
      <c r="AS322" s="492"/>
      <c r="AT322" s="492"/>
      <c r="AU322" s="492"/>
      <c r="AV322" s="492"/>
      <c r="AW322" s="492"/>
      <c r="AX322" s="492"/>
      <c r="AY322" s="492"/>
      <c r="AZ322" s="492"/>
      <c r="BA322" s="492"/>
      <c r="BB322" s="493">
        <v>32303</v>
      </c>
      <c r="BC322" s="494">
        <v>0.4375</v>
      </c>
      <c r="BD322" s="493">
        <v>47989</v>
      </c>
      <c r="BE322" s="494">
        <v>0.99998842592592596</v>
      </c>
      <c r="BF322" s="493">
        <v>32639</v>
      </c>
      <c r="BG322" s="494">
        <v>0</v>
      </c>
      <c r="BH322" s="492" t="s">
        <v>1344</v>
      </c>
      <c r="BI322" s="492">
        <v>749</v>
      </c>
      <c r="BJ322" s="492" t="s">
        <v>1304</v>
      </c>
      <c r="BK322" s="492"/>
      <c r="BL322" s="493">
        <v>45551</v>
      </c>
      <c r="BM322" s="492" t="s">
        <v>1305</v>
      </c>
      <c r="BN322" s="492" t="s">
        <v>1301</v>
      </c>
      <c r="BO322" s="492">
        <v>0.15434059947487599</v>
      </c>
      <c r="BP322" s="492">
        <v>6.3356001313399999E-4</v>
      </c>
    </row>
    <row r="323" spans="1:68" ht="75">
      <c r="A323" s="492" t="s">
        <v>1076</v>
      </c>
      <c r="B323" s="492">
        <v>390955</v>
      </c>
      <c r="C323" s="492">
        <v>8185893</v>
      </c>
      <c r="D323" s="492">
        <v>198</v>
      </c>
      <c r="E323" s="492">
        <v>289</v>
      </c>
      <c r="F323" s="492">
        <v>55</v>
      </c>
      <c r="G323" s="492" t="b">
        <v>0</v>
      </c>
      <c r="H323" s="492" t="b">
        <v>0</v>
      </c>
      <c r="I323" s="492">
        <v>10</v>
      </c>
      <c r="J323" s="492" t="b">
        <v>0</v>
      </c>
      <c r="K323" s="492">
        <v>80</v>
      </c>
      <c r="L323" s="492" t="s">
        <v>1013</v>
      </c>
      <c r="M323" s="492" t="s">
        <v>1312</v>
      </c>
      <c r="N323" s="492" t="s">
        <v>2</v>
      </c>
      <c r="O323" s="492">
        <v>80</v>
      </c>
      <c r="P323" s="492" t="s">
        <v>109</v>
      </c>
      <c r="Q323" s="492">
        <v>3</v>
      </c>
      <c r="R323" s="492"/>
      <c r="S323" s="492"/>
      <c r="T323" s="492"/>
      <c r="U323" s="492"/>
      <c r="V323" s="492"/>
      <c r="W323" s="492"/>
      <c r="X323" s="492"/>
      <c r="Y323" s="492">
        <v>390955</v>
      </c>
      <c r="Z323" s="492">
        <v>8185893</v>
      </c>
      <c r="AA323" s="492">
        <v>9999.3371582566706</v>
      </c>
      <c r="AB323" s="492">
        <v>10839.016582570001</v>
      </c>
      <c r="AC323" s="492">
        <v>7</v>
      </c>
      <c r="AD323" s="492">
        <v>23444</v>
      </c>
      <c r="AE323" s="492" t="s">
        <v>1343</v>
      </c>
      <c r="AF323" s="492" t="s">
        <v>1298</v>
      </c>
      <c r="AG323" s="492" t="s">
        <v>1299</v>
      </c>
      <c r="AH323" s="492" t="s">
        <v>1300</v>
      </c>
      <c r="AI323" s="492">
        <v>1</v>
      </c>
      <c r="AJ323" s="492" t="s">
        <v>1301</v>
      </c>
      <c r="AK323" s="492" t="s">
        <v>1302</v>
      </c>
      <c r="AL323" s="492"/>
      <c r="AM323" s="492"/>
      <c r="AN323" s="492"/>
      <c r="AO323" s="492"/>
      <c r="AP323" s="492"/>
      <c r="AQ323" s="492"/>
      <c r="AR323" s="492"/>
      <c r="AS323" s="492"/>
      <c r="AT323" s="492"/>
      <c r="AU323" s="492"/>
      <c r="AV323" s="492"/>
      <c r="AW323" s="492"/>
      <c r="AX323" s="492"/>
      <c r="AY323" s="492"/>
      <c r="AZ323" s="492"/>
      <c r="BA323" s="492"/>
      <c r="BB323" s="493">
        <v>32303</v>
      </c>
      <c r="BC323" s="494">
        <v>0.4375</v>
      </c>
      <c r="BD323" s="493">
        <v>47989</v>
      </c>
      <c r="BE323" s="494">
        <v>0.99998842592592596</v>
      </c>
      <c r="BF323" s="493">
        <v>32639</v>
      </c>
      <c r="BG323" s="494">
        <v>0</v>
      </c>
      <c r="BH323" s="492" t="s">
        <v>1344</v>
      </c>
      <c r="BI323" s="492">
        <v>749</v>
      </c>
      <c r="BJ323" s="492" t="s">
        <v>1304</v>
      </c>
      <c r="BK323" s="492"/>
      <c r="BL323" s="493">
        <v>45551</v>
      </c>
      <c r="BM323" s="492" t="s">
        <v>1305</v>
      </c>
      <c r="BN323" s="492" t="s">
        <v>1301</v>
      </c>
      <c r="BO323" s="492">
        <v>0.15434059947487599</v>
      </c>
      <c r="BP323" s="492">
        <v>6.3356001313399999E-4</v>
      </c>
    </row>
    <row r="324" spans="1:68" ht="75">
      <c r="A324" s="492" t="s">
        <v>1142</v>
      </c>
      <c r="B324" s="492">
        <v>390927</v>
      </c>
      <c r="C324" s="492">
        <v>8185058</v>
      </c>
      <c r="D324" s="492">
        <v>187</v>
      </c>
      <c r="E324" s="492">
        <v>279</v>
      </c>
      <c r="F324" s="492">
        <v>50</v>
      </c>
      <c r="G324" s="492" t="b">
        <v>0</v>
      </c>
      <c r="H324" s="492" t="b">
        <v>0</v>
      </c>
      <c r="I324" s="492">
        <v>10</v>
      </c>
      <c r="J324" s="492" t="b">
        <v>0</v>
      </c>
      <c r="K324" s="492">
        <v>100</v>
      </c>
      <c r="L324" s="492" t="s">
        <v>1013</v>
      </c>
      <c r="M324" s="492" t="s">
        <v>1308</v>
      </c>
      <c r="N324" s="492" t="s">
        <v>2</v>
      </c>
      <c r="O324" s="492">
        <v>100</v>
      </c>
      <c r="P324" s="492" t="s">
        <v>109</v>
      </c>
      <c r="Q324" s="492">
        <v>3</v>
      </c>
      <c r="R324" s="492" t="b">
        <v>1</v>
      </c>
      <c r="S324" s="492" t="b">
        <v>0</v>
      </c>
      <c r="T324" s="492"/>
      <c r="U324" s="492"/>
      <c r="V324" s="492"/>
      <c r="W324" s="492" t="s">
        <v>1342</v>
      </c>
      <c r="X324" s="492"/>
      <c r="Y324" s="492">
        <v>390934.98099403997</v>
      </c>
      <c r="Z324" s="492">
        <v>8185065.3952330099</v>
      </c>
      <c r="AA324" s="492">
        <v>10248.3935773619</v>
      </c>
      <c r="AB324" s="492">
        <v>10049.268850815401</v>
      </c>
      <c r="AC324" s="492">
        <v>7</v>
      </c>
      <c r="AD324" s="492">
        <v>23444</v>
      </c>
      <c r="AE324" s="492" t="s">
        <v>1343</v>
      </c>
      <c r="AF324" s="492" t="s">
        <v>1298</v>
      </c>
      <c r="AG324" s="492" t="s">
        <v>1299</v>
      </c>
      <c r="AH324" s="492" t="s">
        <v>1300</v>
      </c>
      <c r="AI324" s="492">
        <v>1</v>
      </c>
      <c r="AJ324" s="492" t="s">
        <v>1301</v>
      </c>
      <c r="AK324" s="492" t="s">
        <v>1302</v>
      </c>
      <c r="AL324" s="492"/>
      <c r="AM324" s="492"/>
      <c r="AN324" s="492"/>
      <c r="AO324" s="492"/>
      <c r="AP324" s="492"/>
      <c r="AQ324" s="492"/>
      <c r="AR324" s="492"/>
      <c r="AS324" s="492"/>
      <c r="AT324" s="492"/>
      <c r="AU324" s="492"/>
      <c r="AV324" s="492"/>
      <c r="AW324" s="492"/>
      <c r="AX324" s="492"/>
      <c r="AY324" s="492"/>
      <c r="AZ324" s="492"/>
      <c r="BA324" s="492"/>
      <c r="BB324" s="493">
        <v>32303</v>
      </c>
      <c r="BC324" s="494">
        <v>0.4375</v>
      </c>
      <c r="BD324" s="493">
        <v>47989</v>
      </c>
      <c r="BE324" s="494">
        <v>0.99998842592592596</v>
      </c>
      <c r="BF324" s="493">
        <v>32639</v>
      </c>
      <c r="BG324" s="494">
        <v>0</v>
      </c>
      <c r="BH324" s="492" t="s">
        <v>1344</v>
      </c>
      <c r="BI324" s="492">
        <v>749</v>
      </c>
      <c r="BJ324" s="492" t="s">
        <v>1304</v>
      </c>
      <c r="BK324" s="492"/>
      <c r="BL324" s="493">
        <v>45551</v>
      </c>
      <c r="BM324" s="492" t="s">
        <v>1305</v>
      </c>
      <c r="BN324" s="492" t="s">
        <v>1301</v>
      </c>
      <c r="BO324" s="492">
        <v>0.15434059947487599</v>
      </c>
      <c r="BP324" s="492">
        <v>6.3356001313399999E-4</v>
      </c>
    </row>
    <row r="325" spans="1:68" ht="75">
      <c r="A325" s="492" t="s">
        <v>186</v>
      </c>
      <c r="B325" s="492">
        <v>390903</v>
      </c>
      <c r="C325" s="492">
        <v>8185065</v>
      </c>
      <c r="D325" s="492">
        <v>187</v>
      </c>
      <c r="E325" s="492">
        <v>289</v>
      </c>
      <c r="F325" s="492">
        <v>60</v>
      </c>
      <c r="G325" s="492" t="b">
        <v>0</v>
      </c>
      <c r="H325" s="492" t="b">
        <v>0</v>
      </c>
      <c r="I325" s="492">
        <v>10</v>
      </c>
      <c r="J325" s="492" t="b">
        <v>0</v>
      </c>
      <c r="K325" s="492">
        <v>50</v>
      </c>
      <c r="L325" s="492" t="s">
        <v>1306</v>
      </c>
      <c r="M325" s="492" t="s">
        <v>1296</v>
      </c>
      <c r="N325" s="492" t="s">
        <v>1</v>
      </c>
      <c r="O325" s="492">
        <v>50</v>
      </c>
      <c r="P325" s="492" t="s">
        <v>11</v>
      </c>
      <c r="Q325" s="492">
        <v>1</v>
      </c>
      <c r="R325" s="492"/>
      <c r="S325" s="492"/>
      <c r="T325" s="492"/>
      <c r="U325" s="492"/>
      <c r="V325" s="495">
        <v>45875</v>
      </c>
      <c r="W325" s="492"/>
      <c r="X325" s="492"/>
      <c r="Y325" s="492">
        <v>390903</v>
      </c>
      <c r="Z325" s="492">
        <v>8185065</v>
      </c>
      <c r="AA325" s="492">
        <v>10218.253986271</v>
      </c>
      <c r="AB325" s="492">
        <v>10038.5384016484</v>
      </c>
      <c r="AC325" s="492">
        <v>7</v>
      </c>
      <c r="AD325" s="492">
        <v>23444</v>
      </c>
      <c r="AE325" s="492" t="s">
        <v>1343</v>
      </c>
      <c r="AF325" s="492" t="s">
        <v>1298</v>
      </c>
      <c r="AG325" s="492" t="s">
        <v>1299</v>
      </c>
      <c r="AH325" s="492" t="s">
        <v>1300</v>
      </c>
      <c r="AI325" s="492">
        <v>1</v>
      </c>
      <c r="AJ325" s="492" t="s">
        <v>1301</v>
      </c>
      <c r="AK325" s="492" t="s">
        <v>1302</v>
      </c>
      <c r="AL325" s="492"/>
      <c r="AM325" s="492"/>
      <c r="AN325" s="492"/>
      <c r="AO325" s="492"/>
      <c r="AP325" s="492"/>
      <c r="AQ325" s="492"/>
      <c r="AR325" s="492"/>
      <c r="AS325" s="492"/>
      <c r="AT325" s="492"/>
      <c r="AU325" s="492"/>
      <c r="AV325" s="492"/>
      <c r="AW325" s="492"/>
      <c r="AX325" s="492"/>
      <c r="AY325" s="492"/>
      <c r="AZ325" s="492"/>
      <c r="BA325" s="492"/>
      <c r="BB325" s="493">
        <v>32303</v>
      </c>
      <c r="BC325" s="494">
        <v>0.4375</v>
      </c>
      <c r="BD325" s="493">
        <v>47989</v>
      </c>
      <c r="BE325" s="494">
        <v>0.99998842592592596</v>
      </c>
      <c r="BF325" s="493">
        <v>32639</v>
      </c>
      <c r="BG325" s="494">
        <v>0</v>
      </c>
      <c r="BH325" s="492" t="s">
        <v>1344</v>
      </c>
      <c r="BI325" s="492">
        <v>749</v>
      </c>
      <c r="BJ325" s="492" t="s">
        <v>1304</v>
      </c>
      <c r="BK325" s="492"/>
      <c r="BL325" s="493">
        <v>45551</v>
      </c>
      <c r="BM325" s="492" t="s">
        <v>1305</v>
      </c>
      <c r="BN325" s="492" t="s">
        <v>1301</v>
      </c>
      <c r="BO325" s="492">
        <v>0.15434059947487599</v>
      </c>
      <c r="BP325" s="492">
        <v>6.3356001313399999E-4</v>
      </c>
    </row>
    <row r="326" spans="1:68" ht="75">
      <c r="A326" s="492" t="s">
        <v>182</v>
      </c>
      <c r="B326" s="492">
        <v>390633</v>
      </c>
      <c r="C326" s="492">
        <v>8185075</v>
      </c>
      <c r="D326" s="492">
        <v>183</v>
      </c>
      <c r="E326" s="492">
        <v>310</v>
      </c>
      <c r="F326" s="492">
        <v>60</v>
      </c>
      <c r="G326" s="492" t="b">
        <v>0</v>
      </c>
      <c r="H326" s="492" t="b">
        <v>0</v>
      </c>
      <c r="I326" s="492">
        <v>10</v>
      </c>
      <c r="J326" s="492" t="b">
        <v>0</v>
      </c>
      <c r="K326" s="492">
        <v>130</v>
      </c>
      <c r="L326" s="492" t="s">
        <v>1313</v>
      </c>
      <c r="M326" s="492" t="s">
        <v>1296</v>
      </c>
      <c r="N326" s="492" t="s">
        <v>1</v>
      </c>
      <c r="O326" s="492">
        <v>130</v>
      </c>
      <c r="P326" s="492" t="s">
        <v>9</v>
      </c>
      <c r="Q326" s="492">
        <v>1</v>
      </c>
      <c r="R326" s="492"/>
      <c r="S326" s="492"/>
      <c r="T326" s="492"/>
      <c r="U326" s="492"/>
      <c r="V326" s="492"/>
      <c r="W326" s="492"/>
      <c r="X326" s="492"/>
      <c r="Y326" s="492">
        <v>390625.538935091</v>
      </c>
      <c r="Z326" s="492">
        <v>8185068.0335532697</v>
      </c>
      <c r="AA326" s="492">
        <v>9954.6758305537496</v>
      </c>
      <c r="AB326" s="492">
        <v>9951.5593350669296</v>
      </c>
      <c r="AC326" s="492">
        <v>7</v>
      </c>
      <c r="AD326" s="492">
        <v>23444</v>
      </c>
      <c r="AE326" s="492" t="s">
        <v>1343</v>
      </c>
      <c r="AF326" s="492" t="s">
        <v>1298</v>
      </c>
      <c r="AG326" s="492" t="s">
        <v>1299</v>
      </c>
      <c r="AH326" s="492" t="s">
        <v>1300</v>
      </c>
      <c r="AI326" s="492">
        <v>1</v>
      </c>
      <c r="AJ326" s="492" t="s">
        <v>1301</v>
      </c>
      <c r="AK326" s="492" t="s">
        <v>1302</v>
      </c>
      <c r="AL326" s="492"/>
      <c r="AM326" s="492"/>
      <c r="AN326" s="492"/>
      <c r="AO326" s="492"/>
      <c r="AP326" s="492"/>
      <c r="AQ326" s="492"/>
      <c r="AR326" s="492"/>
      <c r="AS326" s="492"/>
      <c r="AT326" s="492"/>
      <c r="AU326" s="492"/>
      <c r="AV326" s="492"/>
      <c r="AW326" s="492"/>
      <c r="AX326" s="492"/>
      <c r="AY326" s="492"/>
      <c r="AZ326" s="492"/>
      <c r="BA326" s="492"/>
      <c r="BB326" s="493">
        <v>32303</v>
      </c>
      <c r="BC326" s="494">
        <v>0.4375</v>
      </c>
      <c r="BD326" s="493">
        <v>47989</v>
      </c>
      <c r="BE326" s="494">
        <v>0.99998842592592596</v>
      </c>
      <c r="BF326" s="493">
        <v>32639</v>
      </c>
      <c r="BG326" s="494">
        <v>0</v>
      </c>
      <c r="BH326" s="492" t="s">
        <v>1344</v>
      </c>
      <c r="BI326" s="492">
        <v>749</v>
      </c>
      <c r="BJ326" s="492" t="s">
        <v>1304</v>
      </c>
      <c r="BK326" s="492"/>
      <c r="BL326" s="493">
        <v>45551</v>
      </c>
      <c r="BM326" s="492" t="s">
        <v>1305</v>
      </c>
      <c r="BN326" s="492" t="s">
        <v>1301</v>
      </c>
      <c r="BO326" s="492">
        <v>0.15434059947487599</v>
      </c>
      <c r="BP326" s="492">
        <v>6.3356001313399999E-4</v>
      </c>
    </row>
    <row r="327" spans="1:68" ht="75">
      <c r="A327" s="492" t="s">
        <v>1141</v>
      </c>
      <c r="B327" s="492">
        <v>390987</v>
      </c>
      <c r="C327" s="492">
        <v>8185080</v>
      </c>
      <c r="D327" s="492">
        <v>183</v>
      </c>
      <c r="E327" s="492">
        <v>289</v>
      </c>
      <c r="F327" s="492">
        <v>60</v>
      </c>
      <c r="G327" s="492" t="b">
        <v>0</v>
      </c>
      <c r="H327" s="492" t="b">
        <v>0</v>
      </c>
      <c r="I327" s="492">
        <v>10</v>
      </c>
      <c r="J327" s="492" t="b">
        <v>0</v>
      </c>
      <c r="K327" s="492">
        <v>125</v>
      </c>
      <c r="L327" s="492" t="s">
        <v>1013</v>
      </c>
      <c r="M327" s="492" t="s">
        <v>1308</v>
      </c>
      <c r="N327" s="492" t="s">
        <v>2</v>
      </c>
      <c r="O327" s="492">
        <v>125</v>
      </c>
      <c r="P327" s="492" t="s">
        <v>109</v>
      </c>
      <c r="Q327" s="492">
        <v>3</v>
      </c>
      <c r="R327" s="492"/>
      <c r="S327" s="492"/>
      <c r="T327" s="492"/>
      <c r="U327" s="492"/>
      <c r="V327" s="492"/>
      <c r="W327" s="492"/>
      <c r="X327" s="492"/>
      <c r="Y327" s="492">
        <v>390987</v>
      </c>
      <c r="Z327" s="492">
        <v>8185080</v>
      </c>
      <c r="AA327" s="492">
        <v>10292.896156053501</v>
      </c>
      <c r="AB327" s="492">
        <v>10079.936444037499</v>
      </c>
      <c r="AC327" s="492">
        <v>7</v>
      </c>
      <c r="AD327" s="492">
        <v>23444</v>
      </c>
      <c r="AE327" s="492" t="s">
        <v>1343</v>
      </c>
      <c r="AF327" s="492" t="s">
        <v>1298</v>
      </c>
      <c r="AG327" s="492" t="s">
        <v>1299</v>
      </c>
      <c r="AH327" s="492" t="s">
        <v>1300</v>
      </c>
      <c r="AI327" s="492">
        <v>1</v>
      </c>
      <c r="AJ327" s="492" t="s">
        <v>1301</v>
      </c>
      <c r="AK327" s="492" t="s">
        <v>1302</v>
      </c>
      <c r="AL327" s="492"/>
      <c r="AM327" s="492"/>
      <c r="AN327" s="492"/>
      <c r="AO327" s="492"/>
      <c r="AP327" s="492"/>
      <c r="AQ327" s="492"/>
      <c r="AR327" s="492"/>
      <c r="AS327" s="492"/>
      <c r="AT327" s="492"/>
      <c r="AU327" s="492"/>
      <c r="AV327" s="492"/>
      <c r="AW327" s="492"/>
      <c r="AX327" s="492"/>
      <c r="AY327" s="492"/>
      <c r="AZ327" s="492"/>
      <c r="BA327" s="492"/>
      <c r="BB327" s="493">
        <v>32303</v>
      </c>
      <c r="BC327" s="494">
        <v>0.4375</v>
      </c>
      <c r="BD327" s="493">
        <v>47989</v>
      </c>
      <c r="BE327" s="494">
        <v>0.99998842592592596</v>
      </c>
      <c r="BF327" s="493">
        <v>32639</v>
      </c>
      <c r="BG327" s="494">
        <v>0</v>
      </c>
      <c r="BH327" s="492" t="s">
        <v>1344</v>
      </c>
      <c r="BI327" s="492">
        <v>749</v>
      </c>
      <c r="BJ327" s="492" t="s">
        <v>1304</v>
      </c>
      <c r="BK327" s="492"/>
      <c r="BL327" s="493">
        <v>45551</v>
      </c>
      <c r="BM327" s="492" t="s">
        <v>1305</v>
      </c>
      <c r="BN327" s="492" t="s">
        <v>1301</v>
      </c>
      <c r="BO327" s="492">
        <v>0.15434059947487599</v>
      </c>
      <c r="BP327" s="492">
        <v>6.3356001313399999E-4</v>
      </c>
    </row>
    <row r="328" spans="1:68" ht="75">
      <c r="A328" s="492" t="s">
        <v>840</v>
      </c>
      <c r="B328" s="492">
        <v>390718</v>
      </c>
      <c r="C328" s="492">
        <v>8185088</v>
      </c>
      <c r="D328" s="492">
        <v>183</v>
      </c>
      <c r="E328" s="492">
        <v>289</v>
      </c>
      <c r="F328" s="492">
        <v>55</v>
      </c>
      <c r="G328" s="492" t="b">
        <v>0</v>
      </c>
      <c r="H328" s="492" t="b">
        <v>0</v>
      </c>
      <c r="I328" s="492">
        <v>10</v>
      </c>
      <c r="J328" s="492" t="b">
        <v>0</v>
      </c>
      <c r="K328" s="492">
        <v>200</v>
      </c>
      <c r="L328" s="492" t="s">
        <v>1013</v>
      </c>
      <c r="M328" s="492" t="s">
        <v>1296</v>
      </c>
      <c r="N328" s="492" t="s">
        <v>2</v>
      </c>
      <c r="O328" s="492">
        <v>200</v>
      </c>
      <c r="P328" s="492" t="s">
        <v>109</v>
      </c>
      <c r="Q328" s="492">
        <v>3</v>
      </c>
      <c r="R328" s="492" t="b">
        <v>1</v>
      </c>
      <c r="S328" s="492" t="b">
        <v>1</v>
      </c>
      <c r="T328" s="492"/>
      <c r="U328" s="492"/>
      <c r="V328" s="492"/>
      <c r="W328" s="492" t="s">
        <v>1307</v>
      </c>
      <c r="X328" s="492"/>
      <c r="Y328" s="492">
        <v>390734.53218629502</v>
      </c>
      <c r="Z328" s="492">
        <v>8185089.9075599499</v>
      </c>
      <c r="AA328" s="492">
        <v>10050.746205720499</v>
      </c>
      <c r="AB328" s="492">
        <v>10007.5566556248</v>
      </c>
      <c r="AC328" s="492">
        <v>7</v>
      </c>
      <c r="AD328" s="492">
        <v>23444</v>
      </c>
      <c r="AE328" s="492" t="s">
        <v>1343</v>
      </c>
      <c r="AF328" s="492" t="s">
        <v>1298</v>
      </c>
      <c r="AG328" s="492" t="s">
        <v>1299</v>
      </c>
      <c r="AH328" s="492" t="s">
        <v>1300</v>
      </c>
      <c r="AI328" s="492">
        <v>1</v>
      </c>
      <c r="AJ328" s="492" t="s">
        <v>1301</v>
      </c>
      <c r="AK328" s="492" t="s">
        <v>1302</v>
      </c>
      <c r="AL328" s="492"/>
      <c r="AM328" s="492"/>
      <c r="AN328" s="492"/>
      <c r="AO328" s="492"/>
      <c r="AP328" s="492"/>
      <c r="AQ328" s="492"/>
      <c r="AR328" s="492"/>
      <c r="AS328" s="492"/>
      <c r="AT328" s="492"/>
      <c r="AU328" s="492"/>
      <c r="AV328" s="492"/>
      <c r="AW328" s="492"/>
      <c r="AX328" s="492"/>
      <c r="AY328" s="492"/>
      <c r="AZ328" s="492"/>
      <c r="BA328" s="492"/>
      <c r="BB328" s="493">
        <v>32303</v>
      </c>
      <c r="BC328" s="494">
        <v>0.4375</v>
      </c>
      <c r="BD328" s="493">
        <v>47989</v>
      </c>
      <c r="BE328" s="494">
        <v>0.99998842592592596</v>
      </c>
      <c r="BF328" s="493">
        <v>32639</v>
      </c>
      <c r="BG328" s="494">
        <v>0</v>
      </c>
      <c r="BH328" s="492" t="s">
        <v>1344</v>
      </c>
      <c r="BI328" s="492">
        <v>749</v>
      </c>
      <c r="BJ328" s="492" t="s">
        <v>1304</v>
      </c>
      <c r="BK328" s="492"/>
      <c r="BL328" s="493">
        <v>45551</v>
      </c>
      <c r="BM328" s="492" t="s">
        <v>1305</v>
      </c>
      <c r="BN328" s="492" t="s">
        <v>1301</v>
      </c>
      <c r="BO328" s="492">
        <v>0.15434059947487599</v>
      </c>
      <c r="BP328" s="492">
        <v>6.3356001313399999E-4</v>
      </c>
    </row>
    <row r="329" spans="1:68" ht="75">
      <c r="A329" s="492" t="s">
        <v>1140</v>
      </c>
      <c r="B329" s="492">
        <v>390926</v>
      </c>
      <c r="C329" s="492">
        <v>8185101</v>
      </c>
      <c r="D329" s="492">
        <v>185</v>
      </c>
      <c r="E329" s="492">
        <v>289</v>
      </c>
      <c r="F329" s="492">
        <v>60</v>
      </c>
      <c r="G329" s="492" t="b">
        <v>0</v>
      </c>
      <c r="H329" s="492" t="b">
        <v>0</v>
      </c>
      <c r="I329" s="492">
        <v>10</v>
      </c>
      <c r="J329" s="492" t="b">
        <v>0</v>
      </c>
      <c r="K329" s="492">
        <v>90</v>
      </c>
      <c r="L329" s="492" t="s">
        <v>1013</v>
      </c>
      <c r="M329" s="492" t="s">
        <v>1308</v>
      </c>
      <c r="N329" s="492" t="s">
        <v>2</v>
      </c>
      <c r="O329" s="492">
        <v>90</v>
      </c>
      <c r="P329" s="492" t="s">
        <v>109</v>
      </c>
      <c r="Q329" s="492">
        <v>3</v>
      </c>
      <c r="R329" s="492"/>
      <c r="S329" s="492"/>
      <c r="T329" s="492"/>
      <c r="U329" s="492"/>
      <c r="V329" s="492"/>
      <c r="W329" s="492"/>
      <c r="X329" s="492"/>
      <c r="Y329" s="492">
        <v>390926</v>
      </c>
      <c r="Z329" s="492">
        <v>8185101</v>
      </c>
      <c r="AA329" s="492">
        <v>10228.3638733974</v>
      </c>
      <c r="AB329" s="492">
        <v>10080.0577442664</v>
      </c>
      <c r="AC329" s="492">
        <v>7</v>
      </c>
      <c r="AD329" s="492">
        <v>23444</v>
      </c>
      <c r="AE329" s="492" t="s">
        <v>1343</v>
      </c>
      <c r="AF329" s="492" t="s">
        <v>1298</v>
      </c>
      <c r="AG329" s="492" t="s">
        <v>1299</v>
      </c>
      <c r="AH329" s="492" t="s">
        <v>1300</v>
      </c>
      <c r="AI329" s="492">
        <v>1</v>
      </c>
      <c r="AJ329" s="492" t="s">
        <v>1301</v>
      </c>
      <c r="AK329" s="492" t="s">
        <v>1302</v>
      </c>
      <c r="AL329" s="492"/>
      <c r="AM329" s="492"/>
      <c r="AN329" s="492"/>
      <c r="AO329" s="492"/>
      <c r="AP329" s="492"/>
      <c r="AQ329" s="492"/>
      <c r="AR329" s="492"/>
      <c r="AS329" s="492"/>
      <c r="AT329" s="492"/>
      <c r="AU329" s="492"/>
      <c r="AV329" s="492"/>
      <c r="AW329" s="492"/>
      <c r="AX329" s="492"/>
      <c r="AY329" s="492"/>
      <c r="AZ329" s="492"/>
      <c r="BA329" s="492"/>
      <c r="BB329" s="493">
        <v>32303</v>
      </c>
      <c r="BC329" s="494">
        <v>0.4375</v>
      </c>
      <c r="BD329" s="493">
        <v>47989</v>
      </c>
      <c r="BE329" s="494">
        <v>0.99998842592592596</v>
      </c>
      <c r="BF329" s="493">
        <v>32639</v>
      </c>
      <c r="BG329" s="494">
        <v>0</v>
      </c>
      <c r="BH329" s="492" t="s">
        <v>1344</v>
      </c>
      <c r="BI329" s="492">
        <v>749</v>
      </c>
      <c r="BJ329" s="492" t="s">
        <v>1304</v>
      </c>
      <c r="BK329" s="492"/>
      <c r="BL329" s="493">
        <v>45551</v>
      </c>
      <c r="BM329" s="492" t="s">
        <v>1305</v>
      </c>
      <c r="BN329" s="492" t="s">
        <v>1301</v>
      </c>
      <c r="BO329" s="492">
        <v>0.15434059947487599</v>
      </c>
      <c r="BP329" s="492">
        <v>6.3356001313399999E-4</v>
      </c>
    </row>
    <row r="330" spans="1:68" ht="75">
      <c r="A330" s="492" t="s">
        <v>839</v>
      </c>
      <c r="B330" s="492">
        <v>390997</v>
      </c>
      <c r="C330" s="492">
        <v>8185161</v>
      </c>
      <c r="D330" s="492">
        <v>185</v>
      </c>
      <c r="E330" s="492">
        <v>289</v>
      </c>
      <c r="F330" s="492">
        <v>60</v>
      </c>
      <c r="G330" s="492" t="b">
        <v>0</v>
      </c>
      <c r="H330" s="492" t="b">
        <v>0</v>
      </c>
      <c r="I330" s="492">
        <v>10</v>
      </c>
      <c r="J330" s="492" t="b">
        <v>0</v>
      </c>
      <c r="K330" s="492">
        <v>150</v>
      </c>
      <c r="L330" s="492" t="s">
        <v>1013</v>
      </c>
      <c r="M330" s="492" t="s">
        <v>1296</v>
      </c>
      <c r="N330" s="492" t="s">
        <v>2</v>
      </c>
      <c r="O330" s="492">
        <v>150</v>
      </c>
      <c r="P330" s="492" t="s">
        <v>109</v>
      </c>
      <c r="Q330" s="492">
        <v>3</v>
      </c>
      <c r="R330" s="492"/>
      <c r="S330" s="492"/>
      <c r="T330" s="492"/>
      <c r="U330" s="492"/>
      <c r="V330" s="492"/>
      <c r="W330" s="492" t="s">
        <v>1307</v>
      </c>
      <c r="X330" s="492"/>
      <c r="Y330" s="492">
        <v>390997</v>
      </c>
      <c r="Z330" s="492">
        <v>8185161</v>
      </c>
      <c r="AA330" s="492">
        <v>10276.1302014924</v>
      </c>
      <c r="AB330" s="492">
        <v>10159.8350808713</v>
      </c>
      <c r="AC330" s="492">
        <v>7</v>
      </c>
      <c r="AD330" s="492">
        <v>23444</v>
      </c>
      <c r="AE330" s="492" t="s">
        <v>1343</v>
      </c>
      <c r="AF330" s="492" t="s">
        <v>1298</v>
      </c>
      <c r="AG330" s="492" t="s">
        <v>1299</v>
      </c>
      <c r="AH330" s="492" t="s">
        <v>1300</v>
      </c>
      <c r="AI330" s="492">
        <v>1</v>
      </c>
      <c r="AJ330" s="492" t="s">
        <v>1301</v>
      </c>
      <c r="AK330" s="492" t="s">
        <v>1302</v>
      </c>
      <c r="AL330" s="492"/>
      <c r="AM330" s="492"/>
      <c r="AN330" s="492"/>
      <c r="AO330" s="492"/>
      <c r="AP330" s="492"/>
      <c r="AQ330" s="492"/>
      <c r="AR330" s="492"/>
      <c r="AS330" s="492"/>
      <c r="AT330" s="492"/>
      <c r="AU330" s="492"/>
      <c r="AV330" s="492"/>
      <c r="AW330" s="492"/>
      <c r="AX330" s="492"/>
      <c r="AY330" s="492"/>
      <c r="AZ330" s="492"/>
      <c r="BA330" s="492"/>
      <c r="BB330" s="493">
        <v>32303</v>
      </c>
      <c r="BC330" s="494">
        <v>0.4375</v>
      </c>
      <c r="BD330" s="493">
        <v>47989</v>
      </c>
      <c r="BE330" s="494">
        <v>0.99998842592592596</v>
      </c>
      <c r="BF330" s="493">
        <v>32639</v>
      </c>
      <c r="BG330" s="494">
        <v>0</v>
      </c>
      <c r="BH330" s="492" t="s">
        <v>1344</v>
      </c>
      <c r="BI330" s="492">
        <v>749</v>
      </c>
      <c r="BJ330" s="492" t="s">
        <v>1304</v>
      </c>
      <c r="BK330" s="492"/>
      <c r="BL330" s="493">
        <v>45551</v>
      </c>
      <c r="BM330" s="492" t="s">
        <v>1305</v>
      </c>
      <c r="BN330" s="492" t="s">
        <v>1301</v>
      </c>
      <c r="BO330" s="492">
        <v>0.15434059947487599</v>
      </c>
      <c r="BP330" s="492">
        <v>6.3356001313399999E-4</v>
      </c>
    </row>
    <row r="331" spans="1:68" ht="75">
      <c r="A331" s="492" t="s">
        <v>1099</v>
      </c>
      <c r="B331" s="492">
        <v>390621</v>
      </c>
      <c r="C331" s="492">
        <v>8185163</v>
      </c>
      <c r="D331" s="492">
        <v>200</v>
      </c>
      <c r="E331" s="492">
        <v>109</v>
      </c>
      <c r="F331" s="492">
        <v>55</v>
      </c>
      <c r="G331" s="492" t="b">
        <v>0</v>
      </c>
      <c r="H331" s="492" t="b">
        <v>0</v>
      </c>
      <c r="I331" s="492">
        <v>10</v>
      </c>
      <c r="J331" s="492" t="b">
        <v>0</v>
      </c>
      <c r="K331" s="492">
        <v>80</v>
      </c>
      <c r="L331" s="492" t="s">
        <v>1013</v>
      </c>
      <c r="M331" s="492" t="s">
        <v>1308</v>
      </c>
      <c r="N331" s="492" t="s">
        <v>2</v>
      </c>
      <c r="O331" s="492">
        <v>80</v>
      </c>
      <c r="P331" s="492" t="s">
        <v>109</v>
      </c>
      <c r="Q331" s="492">
        <v>3</v>
      </c>
      <c r="R331" s="492"/>
      <c r="S331" s="492"/>
      <c r="T331" s="492"/>
      <c r="U331" s="492"/>
      <c r="V331" s="492"/>
      <c r="W331" s="492"/>
      <c r="X331" s="492"/>
      <c r="Y331" s="492">
        <v>390621</v>
      </c>
      <c r="Z331" s="492">
        <v>8185163</v>
      </c>
      <c r="AA331" s="492">
        <v>9919.6271311067903</v>
      </c>
      <c r="AB331" s="492">
        <v>10039.968014874399</v>
      </c>
      <c r="AC331" s="492">
        <v>7</v>
      </c>
      <c r="AD331" s="492">
        <v>23444</v>
      </c>
      <c r="AE331" s="492" t="s">
        <v>1343</v>
      </c>
      <c r="AF331" s="492" t="s">
        <v>1298</v>
      </c>
      <c r="AG331" s="492" t="s">
        <v>1299</v>
      </c>
      <c r="AH331" s="492" t="s">
        <v>1300</v>
      </c>
      <c r="AI331" s="492">
        <v>1</v>
      </c>
      <c r="AJ331" s="492" t="s">
        <v>1301</v>
      </c>
      <c r="AK331" s="492" t="s">
        <v>1302</v>
      </c>
      <c r="AL331" s="492"/>
      <c r="AM331" s="492"/>
      <c r="AN331" s="492"/>
      <c r="AO331" s="492"/>
      <c r="AP331" s="492"/>
      <c r="AQ331" s="492"/>
      <c r="AR331" s="492"/>
      <c r="AS331" s="492"/>
      <c r="AT331" s="492"/>
      <c r="AU331" s="492"/>
      <c r="AV331" s="492"/>
      <c r="AW331" s="492"/>
      <c r="AX331" s="492"/>
      <c r="AY331" s="492"/>
      <c r="AZ331" s="492"/>
      <c r="BA331" s="492"/>
      <c r="BB331" s="493">
        <v>32303</v>
      </c>
      <c r="BC331" s="494">
        <v>0.4375</v>
      </c>
      <c r="BD331" s="493">
        <v>47989</v>
      </c>
      <c r="BE331" s="494">
        <v>0.99998842592592596</v>
      </c>
      <c r="BF331" s="493">
        <v>32639</v>
      </c>
      <c r="BG331" s="494">
        <v>0</v>
      </c>
      <c r="BH331" s="492" t="s">
        <v>1344</v>
      </c>
      <c r="BI331" s="492">
        <v>749</v>
      </c>
      <c r="BJ331" s="492" t="s">
        <v>1304</v>
      </c>
      <c r="BK331" s="492"/>
      <c r="BL331" s="493">
        <v>45551</v>
      </c>
      <c r="BM331" s="492" t="s">
        <v>1305</v>
      </c>
      <c r="BN331" s="492" t="s">
        <v>1301</v>
      </c>
      <c r="BO331" s="492">
        <v>0.15434059947487599</v>
      </c>
      <c r="BP331" s="492">
        <v>6.3356001313399999E-4</v>
      </c>
    </row>
    <row r="332" spans="1:68" ht="75">
      <c r="A332" s="492" t="s">
        <v>1023</v>
      </c>
      <c r="B332" s="492">
        <v>390709</v>
      </c>
      <c r="C332" s="492">
        <v>8185004</v>
      </c>
      <c r="D332" s="492">
        <v>185</v>
      </c>
      <c r="E332" s="492">
        <v>289</v>
      </c>
      <c r="F332" s="492">
        <v>60</v>
      </c>
      <c r="G332" s="492" t="b">
        <v>0</v>
      </c>
      <c r="H332" s="492" t="b">
        <v>0</v>
      </c>
      <c r="I332" s="492">
        <v>10</v>
      </c>
      <c r="J332" s="492" t="b">
        <v>0</v>
      </c>
      <c r="K332" s="492">
        <v>180</v>
      </c>
      <c r="L332" s="492" t="s">
        <v>1013</v>
      </c>
      <c r="M332" s="492" t="s">
        <v>1359</v>
      </c>
      <c r="N332" s="492" t="s">
        <v>1</v>
      </c>
      <c r="O332" s="492">
        <v>180</v>
      </c>
      <c r="P332" s="492" t="s">
        <v>109</v>
      </c>
      <c r="Q332" s="492">
        <v>3</v>
      </c>
      <c r="R332" s="492"/>
      <c r="S332" s="492"/>
      <c r="T332" s="492"/>
      <c r="U332" s="492"/>
      <c r="V332" s="495">
        <v>45876</v>
      </c>
      <c r="W332" s="492"/>
      <c r="X332" s="492"/>
      <c r="Y332" s="492">
        <v>390709</v>
      </c>
      <c r="Z332" s="492">
        <v>8185004</v>
      </c>
      <c r="AA332" s="492">
        <v>10054.4013398969</v>
      </c>
      <c r="AB332" s="492">
        <v>9917.9836054043808</v>
      </c>
      <c r="AC332" s="492">
        <v>7</v>
      </c>
      <c r="AD332" s="492">
        <v>23444</v>
      </c>
      <c r="AE332" s="492" t="s">
        <v>1343</v>
      </c>
      <c r="AF332" s="492" t="s">
        <v>1298</v>
      </c>
      <c r="AG332" s="492" t="s">
        <v>1299</v>
      </c>
      <c r="AH332" s="492" t="s">
        <v>1300</v>
      </c>
      <c r="AI332" s="492">
        <v>1</v>
      </c>
      <c r="AJ332" s="492" t="s">
        <v>1301</v>
      </c>
      <c r="AK332" s="492" t="s">
        <v>1302</v>
      </c>
      <c r="AL332" s="492"/>
      <c r="AM332" s="492"/>
      <c r="AN332" s="492"/>
      <c r="AO332" s="492"/>
      <c r="AP332" s="492"/>
      <c r="AQ332" s="492"/>
      <c r="AR332" s="492"/>
      <c r="AS332" s="492"/>
      <c r="AT332" s="492"/>
      <c r="AU332" s="492"/>
      <c r="AV332" s="492"/>
      <c r="AW332" s="492"/>
      <c r="AX332" s="492"/>
      <c r="AY332" s="492"/>
      <c r="AZ332" s="492"/>
      <c r="BA332" s="492"/>
      <c r="BB332" s="493">
        <v>32303</v>
      </c>
      <c r="BC332" s="494">
        <v>0.4375</v>
      </c>
      <c r="BD332" s="493">
        <v>47989</v>
      </c>
      <c r="BE332" s="494">
        <v>0.99998842592592596</v>
      </c>
      <c r="BF332" s="493">
        <v>32639</v>
      </c>
      <c r="BG332" s="494">
        <v>0</v>
      </c>
      <c r="BH332" s="492" t="s">
        <v>1344</v>
      </c>
      <c r="BI332" s="492">
        <v>749</v>
      </c>
      <c r="BJ332" s="492" t="s">
        <v>1304</v>
      </c>
      <c r="BK332" s="492"/>
      <c r="BL332" s="493">
        <v>45551</v>
      </c>
      <c r="BM332" s="492" t="s">
        <v>1305</v>
      </c>
      <c r="BN332" s="492" t="s">
        <v>1301</v>
      </c>
      <c r="BO332" s="492">
        <v>0.15434059947487599</v>
      </c>
      <c r="BP332" s="492">
        <v>6.3356001313399999E-4</v>
      </c>
    </row>
    <row r="333" spans="1:68" ht="75">
      <c r="A333" s="492" t="s">
        <v>173</v>
      </c>
      <c r="B333" s="492">
        <v>390676</v>
      </c>
      <c r="C333" s="492">
        <v>8185037</v>
      </c>
      <c r="D333" s="492">
        <v>183</v>
      </c>
      <c r="E333" s="492">
        <v>289</v>
      </c>
      <c r="F333" s="492">
        <v>60</v>
      </c>
      <c r="G333" s="492" t="b">
        <v>0</v>
      </c>
      <c r="H333" s="492" t="b">
        <v>0</v>
      </c>
      <c r="I333" s="492">
        <v>9</v>
      </c>
      <c r="J333" s="492" t="b">
        <v>0</v>
      </c>
      <c r="K333" s="492">
        <v>120</v>
      </c>
      <c r="L333" s="492" t="s">
        <v>1306</v>
      </c>
      <c r="M333" s="492" t="s">
        <v>1296</v>
      </c>
      <c r="N333" s="492" t="s">
        <v>1</v>
      </c>
      <c r="O333" s="492">
        <v>120</v>
      </c>
      <c r="P333" s="492" t="s">
        <v>11</v>
      </c>
      <c r="Q333" s="492">
        <v>1</v>
      </c>
      <c r="R333" s="492"/>
      <c r="S333" s="492"/>
      <c r="T333" s="492"/>
      <c r="U333" s="492"/>
      <c r="V333" s="492"/>
      <c r="W333" s="492"/>
      <c r="X333" s="492"/>
      <c r="Y333" s="492">
        <v>390676</v>
      </c>
      <c r="Z333" s="492">
        <v>8185037</v>
      </c>
      <c r="AA333" s="492">
        <v>10012.4829735928</v>
      </c>
      <c r="AB333" s="492">
        <v>9938.5292208595201</v>
      </c>
      <c r="AC333" s="492">
        <v>7</v>
      </c>
      <c r="AD333" s="492">
        <v>23444</v>
      </c>
      <c r="AE333" s="492" t="s">
        <v>1343</v>
      </c>
      <c r="AF333" s="492" t="s">
        <v>1298</v>
      </c>
      <c r="AG333" s="492" t="s">
        <v>1299</v>
      </c>
      <c r="AH333" s="492" t="s">
        <v>1300</v>
      </c>
      <c r="AI333" s="492">
        <v>1</v>
      </c>
      <c r="AJ333" s="492" t="s">
        <v>1301</v>
      </c>
      <c r="AK333" s="492" t="s">
        <v>1302</v>
      </c>
      <c r="AL333" s="492"/>
      <c r="AM333" s="492"/>
      <c r="AN333" s="492"/>
      <c r="AO333" s="492"/>
      <c r="AP333" s="492"/>
      <c r="AQ333" s="492"/>
      <c r="AR333" s="492"/>
      <c r="AS333" s="492"/>
      <c r="AT333" s="492"/>
      <c r="AU333" s="492"/>
      <c r="AV333" s="492"/>
      <c r="AW333" s="492"/>
      <c r="AX333" s="492"/>
      <c r="AY333" s="492"/>
      <c r="AZ333" s="492"/>
      <c r="BA333" s="492"/>
      <c r="BB333" s="493">
        <v>32303</v>
      </c>
      <c r="BC333" s="494">
        <v>0.4375</v>
      </c>
      <c r="BD333" s="493">
        <v>47989</v>
      </c>
      <c r="BE333" s="494">
        <v>0.99998842592592596</v>
      </c>
      <c r="BF333" s="493">
        <v>32639</v>
      </c>
      <c r="BG333" s="494">
        <v>0</v>
      </c>
      <c r="BH333" s="492" t="s">
        <v>1344</v>
      </c>
      <c r="BI333" s="492">
        <v>749</v>
      </c>
      <c r="BJ333" s="492" t="s">
        <v>1304</v>
      </c>
      <c r="BK333" s="492"/>
      <c r="BL333" s="493">
        <v>45551</v>
      </c>
      <c r="BM333" s="492" t="s">
        <v>1305</v>
      </c>
      <c r="BN333" s="492" t="s">
        <v>1301</v>
      </c>
      <c r="BO333" s="492">
        <v>0.15434059947487599</v>
      </c>
      <c r="BP333" s="492">
        <v>6.3356001313399999E-4</v>
      </c>
    </row>
    <row r="334" spans="1:68" ht="75">
      <c r="A334" s="492" t="s">
        <v>174</v>
      </c>
      <c r="B334" s="492">
        <v>390673</v>
      </c>
      <c r="C334" s="492">
        <v>8185038</v>
      </c>
      <c r="D334" s="492">
        <v>183</v>
      </c>
      <c r="E334" s="492">
        <v>289</v>
      </c>
      <c r="F334" s="492">
        <v>60</v>
      </c>
      <c r="G334" s="492" t="b">
        <v>0</v>
      </c>
      <c r="H334" s="492" t="b">
        <v>0</v>
      </c>
      <c r="I334" s="492">
        <v>10</v>
      </c>
      <c r="J334" s="492" t="b">
        <v>0</v>
      </c>
      <c r="K334" s="492">
        <v>115</v>
      </c>
      <c r="L334" s="492" t="s">
        <v>1306</v>
      </c>
      <c r="M334" s="492" t="s">
        <v>1296</v>
      </c>
      <c r="N334" s="492" t="s">
        <v>1</v>
      </c>
      <c r="O334" s="492">
        <v>115</v>
      </c>
      <c r="P334" s="492" t="s">
        <v>11</v>
      </c>
      <c r="Q334" s="492">
        <v>1</v>
      </c>
      <c r="R334" s="492"/>
      <c r="S334" s="492"/>
      <c r="T334" s="492"/>
      <c r="U334" s="492"/>
      <c r="V334" s="492"/>
      <c r="W334" s="492"/>
      <c r="X334" s="492"/>
      <c r="Y334" s="492">
        <v>390673</v>
      </c>
      <c r="Z334" s="492">
        <v>8185038</v>
      </c>
      <c r="AA334" s="492">
        <v>10009.319872133899</v>
      </c>
      <c r="AB334" s="492">
        <v>9938.5041561508497</v>
      </c>
      <c r="AC334" s="492">
        <v>7</v>
      </c>
      <c r="AD334" s="492">
        <v>23444</v>
      </c>
      <c r="AE334" s="492" t="s">
        <v>1343</v>
      </c>
      <c r="AF334" s="492" t="s">
        <v>1298</v>
      </c>
      <c r="AG334" s="492" t="s">
        <v>1299</v>
      </c>
      <c r="AH334" s="492" t="s">
        <v>1300</v>
      </c>
      <c r="AI334" s="492">
        <v>1</v>
      </c>
      <c r="AJ334" s="492" t="s">
        <v>1301</v>
      </c>
      <c r="AK334" s="492" t="s">
        <v>1302</v>
      </c>
      <c r="AL334" s="492"/>
      <c r="AM334" s="492"/>
      <c r="AN334" s="492"/>
      <c r="AO334" s="492"/>
      <c r="AP334" s="492"/>
      <c r="AQ334" s="492"/>
      <c r="AR334" s="492"/>
      <c r="AS334" s="492"/>
      <c r="AT334" s="492"/>
      <c r="AU334" s="492"/>
      <c r="AV334" s="492"/>
      <c r="AW334" s="492"/>
      <c r="AX334" s="492"/>
      <c r="AY334" s="492"/>
      <c r="AZ334" s="492"/>
      <c r="BA334" s="492"/>
      <c r="BB334" s="493">
        <v>32303</v>
      </c>
      <c r="BC334" s="494">
        <v>0.4375</v>
      </c>
      <c r="BD334" s="493">
        <v>47989</v>
      </c>
      <c r="BE334" s="494">
        <v>0.99998842592592596</v>
      </c>
      <c r="BF334" s="493">
        <v>32639</v>
      </c>
      <c r="BG334" s="494">
        <v>0</v>
      </c>
      <c r="BH334" s="492" t="s">
        <v>1344</v>
      </c>
      <c r="BI334" s="492">
        <v>749</v>
      </c>
      <c r="BJ334" s="492" t="s">
        <v>1304</v>
      </c>
      <c r="BK334" s="492"/>
      <c r="BL334" s="493">
        <v>45551</v>
      </c>
      <c r="BM334" s="492" t="s">
        <v>1305</v>
      </c>
      <c r="BN334" s="492" t="s">
        <v>1301</v>
      </c>
      <c r="BO334" s="492">
        <v>0.15434059947487599</v>
      </c>
      <c r="BP334" s="492">
        <v>6.3356001313399999E-4</v>
      </c>
    </row>
    <row r="335" spans="1:68" ht="75">
      <c r="A335" s="492" t="s">
        <v>176</v>
      </c>
      <c r="B335" s="492">
        <v>390654</v>
      </c>
      <c r="C335" s="492">
        <v>8185044</v>
      </c>
      <c r="D335" s="492">
        <v>183</v>
      </c>
      <c r="E335" s="492">
        <v>289</v>
      </c>
      <c r="F335" s="492">
        <v>60</v>
      </c>
      <c r="G335" s="492" t="b">
        <v>0</v>
      </c>
      <c r="H335" s="492" t="b">
        <v>0</v>
      </c>
      <c r="I335" s="492">
        <v>10</v>
      </c>
      <c r="J335" s="492" t="b">
        <v>0</v>
      </c>
      <c r="K335" s="492">
        <v>90</v>
      </c>
      <c r="L335" s="492" t="s">
        <v>1306</v>
      </c>
      <c r="M335" s="492" t="s">
        <v>1296</v>
      </c>
      <c r="N335" s="492" t="s">
        <v>1</v>
      </c>
      <c r="O335" s="492">
        <v>90</v>
      </c>
      <c r="P335" s="492" t="s">
        <v>11</v>
      </c>
      <c r="Q335" s="492">
        <v>1</v>
      </c>
      <c r="R335" s="492"/>
      <c r="S335" s="492"/>
      <c r="T335" s="492"/>
      <c r="U335" s="492"/>
      <c r="V335" s="492"/>
      <c r="W335" s="492"/>
      <c r="X335" s="492"/>
      <c r="Y335" s="492">
        <v>390654</v>
      </c>
      <c r="Z335" s="492">
        <v>8185044</v>
      </c>
      <c r="AA335" s="492">
        <v>9989.3948394241706</v>
      </c>
      <c r="AB335" s="492">
        <v>9938.0299383383208</v>
      </c>
      <c r="AC335" s="492">
        <v>7</v>
      </c>
      <c r="AD335" s="492">
        <v>23444</v>
      </c>
      <c r="AE335" s="492" t="s">
        <v>1343</v>
      </c>
      <c r="AF335" s="492" t="s">
        <v>1298</v>
      </c>
      <c r="AG335" s="492" t="s">
        <v>1299</v>
      </c>
      <c r="AH335" s="492" t="s">
        <v>1300</v>
      </c>
      <c r="AI335" s="492">
        <v>1</v>
      </c>
      <c r="AJ335" s="492" t="s">
        <v>1301</v>
      </c>
      <c r="AK335" s="492" t="s">
        <v>1302</v>
      </c>
      <c r="AL335" s="492"/>
      <c r="AM335" s="492"/>
      <c r="AN335" s="492"/>
      <c r="AO335" s="492"/>
      <c r="AP335" s="492"/>
      <c r="AQ335" s="492"/>
      <c r="AR335" s="492"/>
      <c r="AS335" s="492"/>
      <c r="AT335" s="492"/>
      <c r="AU335" s="492"/>
      <c r="AV335" s="492"/>
      <c r="AW335" s="492"/>
      <c r="AX335" s="492"/>
      <c r="AY335" s="492"/>
      <c r="AZ335" s="492"/>
      <c r="BA335" s="492"/>
      <c r="BB335" s="493">
        <v>32303</v>
      </c>
      <c r="BC335" s="494">
        <v>0.4375</v>
      </c>
      <c r="BD335" s="493">
        <v>47989</v>
      </c>
      <c r="BE335" s="494">
        <v>0.99998842592592596</v>
      </c>
      <c r="BF335" s="493">
        <v>32639</v>
      </c>
      <c r="BG335" s="494">
        <v>0</v>
      </c>
      <c r="BH335" s="492" t="s">
        <v>1344</v>
      </c>
      <c r="BI335" s="492">
        <v>749</v>
      </c>
      <c r="BJ335" s="492" t="s">
        <v>1304</v>
      </c>
      <c r="BK335" s="492"/>
      <c r="BL335" s="493">
        <v>45551</v>
      </c>
      <c r="BM335" s="492" t="s">
        <v>1305</v>
      </c>
      <c r="BN335" s="492" t="s">
        <v>1301</v>
      </c>
      <c r="BO335" s="492">
        <v>0.15434059947487599</v>
      </c>
      <c r="BP335" s="492">
        <v>6.3356001313399999E-4</v>
      </c>
    </row>
    <row r="336" spans="1:68" ht="75">
      <c r="A336" s="492" t="s">
        <v>175</v>
      </c>
      <c r="B336" s="492">
        <v>390656</v>
      </c>
      <c r="C336" s="492">
        <v>8185044</v>
      </c>
      <c r="D336" s="492">
        <v>183</v>
      </c>
      <c r="E336" s="492">
        <v>289</v>
      </c>
      <c r="F336" s="492">
        <v>60</v>
      </c>
      <c r="G336" s="492" t="b">
        <v>0</v>
      </c>
      <c r="H336" s="492" t="b">
        <v>0</v>
      </c>
      <c r="I336" s="492">
        <v>10</v>
      </c>
      <c r="J336" s="492" t="b">
        <v>0</v>
      </c>
      <c r="K336" s="492">
        <v>90</v>
      </c>
      <c r="L336" s="492" t="s">
        <v>1306</v>
      </c>
      <c r="M336" s="492" t="s">
        <v>1296</v>
      </c>
      <c r="N336" s="492" t="s">
        <v>1</v>
      </c>
      <c r="O336" s="492">
        <v>90</v>
      </c>
      <c r="P336" s="492" t="s">
        <v>11</v>
      </c>
      <c r="Q336" s="492">
        <v>1</v>
      </c>
      <c r="R336" s="492"/>
      <c r="S336" s="492"/>
      <c r="T336" s="492"/>
      <c r="U336" s="492"/>
      <c r="V336" s="492"/>
      <c r="W336" s="492"/>
      <c r="X336" s="492"/>
      <c r="Y336" s="492">
        <v>390656</v>
      </c>
      <c r="Z336" s="492">
        <v>8185044</v>
      </c>
      <c r="AA336" s="492">
        <v>9991.2876873607693</v>
      </c>
      <c r="AB336" s="492">
        <v>9938.6775974566099</v>
      </c>
      <c r="AC336" s="492">
        <v>7</v>
      </c>
      <c r="AD336" s="492">
        <v>23444</v>
      </c>
      <c r="AE336" s="492" t="s">
        <v>1343</v>
      </c>
      <c r="AF336" s="492" t="s">
        <v>1298</v>
      </c>
      <c r="AG336" s="492" t="s">
        <v>1299</v>
      </c>
      <c r="AH336" s="492" t="s">
        <v>1300</v>
      </c>
      <c r="AI336" s="492">
        <v>1</v>
      </c>
      <c r="AJ336" s="492" t="s">
        <v>1301</v>
      </c>
      <c r="AK336" s="492" t="s">
        <v>1302</v>
      </c>
      <c r="AL336" s="492"/>
      <c r="AM336" s="492"/>
      <c r="AN336" s="492"/>
      <c r="AO336" s="492"/>
      <c r="AP336" s="492"/>
      <c r="AQ336" s="492"/>
      <c r="AR336" s="492"/>
      <c r="AS336" s="492"/>
      <c r="AT336" s="492"/>
      <c r="AU336" s="492"/>
      <c r="AV336" s="492"/>
      <c r="AW336" s="492"/>
      <c r="AX336" s="492"/>
      <c r="AY336" s="492"/>
      <c r="AZ336" s="492"/>
      <c r="BA336" s="492"/>
      <c r="BB336" s="493">
        <v>32303</v>
      </c>
      <c r="BC336" s="494">
        <v>0.4375</v>
      </c>
      <c r="BD336" s="493">
        <v>47989</v>
      </c>
      <c r="BE336" s="494">
        <v>0.99998842592592596</v>
      </c>
      <c r="BF336" s="493">
        <v>32639</v>
      </c>
      <c r="BG336" s="494">
        <v>0</v>
      </c>
      <c r="BH336" s="492" t="s">
        <v>1344</v>
      </c>
      <c r="BI336" s="492">
        <v>749</v>
      </c>
      <c r="BJ336" s="492" t="s">
        <v>1304</v>
      </c>
      <c r="BK336" s="492"/>
      <c r="BL336" s="493">
        <v>45551</v>
      </c>
      <c r="BM336" s="492" t="s">
        <v>1305</v>
      </c>
      <c r="BN336" s="492" t="s">
        <v>1301</v>
      </c>
      <c r="BO336" s="492">
        <v>0.15434059947487599</v>
      </c>
      <c r="BP336" s="492">
        <v>6.3356001313399999E-4</v>
      </c>
    </row>
    <row r="337" spans="1:68" ht="75">
      <c r="A337" s="492" t="s">
        <v>178</v>
      </c>
      <c r="B337" s="492">
        <v>390654</v>
      </c>
      <c r="C337" s="492">
        <v>8185045</v>
      </c>
      <c r="D337" s="492">
        <v>183</v>
      </c>
      <c r="E337" s="492">
        <v>150</v>
      </c>
      <c r="F337" s="492">
        <v>60</v>
      </c>
      <c r="G337" s="492" t="b">
        <v>0</v>
      </c>
      <c r="H337" s="492" t="b">
        <v>0</v>
      </c>
      <c r="I337" s="492">
        <v>10</v>
      </c>
      <c r="J337" s="492" t="b">
        <v>0</v>
      </c>
      <c r="K337" s="492">
        <v>70</v>
      </c>
      <c r="L337" s="492" t="s">
        <v>1313</v>
      </c>
      <c r="M337" s="492" t="s">
        <v>1296</v>
      </c>
      <c r="N337" s="492" t="s">
        <v>1</v>
      </c>
      <c r="O337" s="492">
        <v>70</v>
      </c>
      <c r="P337" s="492" t="s">
        <v>9</v>
      </c>
      <c r="Q337" s="492">
        <v>1</v>
      </c>
      <c r="R337" s="492"/>
      <c r="S337" s="492"/>
      <c r="T337" s="492"/>
      <c r="U337" s="492"/>
      <c r="V337" s="492"/>
      <c r="W337" s="492"/>
      <c r="X337" s="492"/>
      <c r="Y337" s="492">
        <v>390654</v>
      </c>
      <c r="Z337" s="492">
        <v>8185045</v>
      </c>
      <c r="AA337" s="492">
        <v>9989.0710098692198</v>
      </c>
      <c r="AB337" s="492">
        <v>9938.9763623056897</v>
      </c>
      <c r="AC337" s="492">
        <v>7</v>
      </c>
      <c r="AD337" s="492">
        <v>23444</v>
      </c>
      <c r="AE337" s="492" t="s">
        <v>1343</v>
      </c>
      <c r="AF337" s="492" t="s">
        <v>1298</v>
      </c>
      <c r="AG337" s="492" t="s">
        <v>1299</v>
      </c>
      <c r="AH337" s="492" t="s">
        <v>1300</v>
      </c>
      <c r="AI337" s="492">
        <v>1</v>
      </c>
      <c r="AJ337" s="492" t="s">
        <v>1301</v>
      </c>
      <c r="AK337" s="492" t="s">
        <v>1302</v>
      </c>
      <c r="AL337" s="492"/>
      <c r="AM337" s="492"/>
      <c r="AN337" s="492"/>
      <c r="AO337" s="492"/>
      <c r="AP337" s="492"/>
      <c r="AQ337" s="492"/>
      <c r="AR337" s="492"/>
      <c r="AS337" s="492"/>
      <c r="AT337" s="492"/>
      <c r="AU337" s="492"/>
      <c r="AV337" s="492"/>
      <c r="AW337" s="492"/>
      <c r="AX337" s="492"/>
      <c r="AY337" s="492"/>
      <c r="AZ337" s="492"/>
      <c r="BA337" s="492"/>
      <c r="BB337" s="493">
        <v>32303</v>
      </c>
      <c r="BC337" s="494">
        <v>0.4375</v>
      </c>
      <c r="BD337" s="493">
        <v>47989</v>
      </c>
      <c r="BE337" s="494">
        <v>0.99998842592592596</v>
      </c>
      <c r="BF337" s="493">
        <v>32639</v>
      </c>
      <c r="BG337" s="494">
        <v>0</v>
      </c>
      <c r="BH337" s="492" t="s">
        <v>1344</v>
      </c>
      <c r="BI337" s="492">
        <v>749</v>
      </c>
      <c r="BJ337" s="492" t="s">
        <v>1304</v>
      </c>
      <c r="BK337" s="492"/>
      <c r="BL337" s="493">
        <v>45551</v>
      </c>
      <c r="BM337" s="492" t="s">
        <v>1305</v>
      </c>
      <c r="BN337" s="492" t="s">
        <v>1301</v>
      </c>
      <c r="BO337" s="492">
        <v>0.15434059947487599</v>
      </c>
      <c r="BP337" s="492">
        <v>6.3356001313399999E-4</v>
      </c>
    </row>
    <row r="338" spans="1:68" ht="75">
      <c r="A338" s="492" t="s">
        <v>187</v>
      </c>
      <c r="B338" s="492">
        <v>390950</v>
      </c>
      <c r="C338" s="492">
        <v>8185049</v>
      </c>
      <c r="D338" s="492">
        <v>184</v>
      </c>
      <c r="E338" s="492">
        <v>289</v>
      </c>
      <c r="F338" s="492">
        <v>60</v>
      </c>
      <c r="G338" s="492" t="b">
        <v>0</v>
      </c>
      <c r="H338" s="492" t="b">
        <v>0</v>
      </c>
      <c r="I338" s="492">
        <v>10</v>
      </c>
      <c r="J338" s="492" t="b">
        <v>0</v>
      </c>
      <c r="K338" s="492">
        <v>50</v>
      </c>
      <c r="L338" s="492" t="s">
        <v>1306</v>
      </c>
      <c r="M338" s="492" t="s">
        <v>1296</v>
      </c>
      <c r="N338" s="492" t="s">
        <v>1</v>
      </c>
      <c r="O338" s="492">
        <v>50</v>
      </c>
      <c r="P338" s="492" t="s">
        <v>11</v>
      </c>
      <c r="Q338" s="492">
        <v>1</v>
      </c>
      <c r="R338" s="492"/>
      <c r="S338" s="492"/>
      <c r="T338" s="492"/>
      <c r="U338" s="492"/>
      <c r="V338" s="495">
        <v>45875</v>
      </c>
      <c r="W338" s="492"/>
      <c r="X338" s="492"/>
      <c r="Y338" s="492">
        <v>390950</v>
      </c>
      <c r="Z338" s="492">
        <v>8185049</v>
      </c>
      <c r="AA338" s="492">
        <v>10267.9171856138</v>
      </c>
      <c r="AB338" s="492">
        <v>10038.6156074339</v>
      </c>
      <c r="AC338" s="492">
        <v>7</v>
      </c>
      <c r="AD338" s="492">
        <v>23444</v>
      </c>
      <c r="AE338" s="492" t="s">
        <v>1343</v>
      </c>
      <c r="AF338" s="492" t="s">
        <v>1298</v>
      </c>
      <c r="AG338" s="492" t="s">
        <v>1299</v>
      </c>
      <c r="AH338" s="492" t="s">
        <v>1300</v>
      </c>
      <c r="AI338" s="492">
        <v>1</v>
      </c>
      <c r="AJ338" s="492" t="s">
        <v>1301</v>
      </c>
      <c r="AK338" s="492" t="s">
        <v>1302</v>
      </c>
      <c r="AL338" s="492"/>
      <c r="AM338" s="492"/>
      <c r="AN338" s="492"/>
      <c r="AO338" s="492"/>
      <c r="AP338" s="492"/>
      <c r="AQ338" s="492"/>
      <c r="AR338" s="492"/>
      <c r="AS338" s="492"/>
      <c r="AT338" s="492"/>
      <c r="AU338" s="492"/>
      <c r="AV338" s="492"/>
      <c r="AW338" s="492"/>
      <c r="AX338" s="492"/>
      <c r="AY338" s="492"/>
      <c r="AZ338" s="492"/>
      <c r="BA338" s="492"/>
      <c r="BB338" s="493">
        <v>32303</v>
      </c>
      <c r="BC338" s="494">
        <v>0.4375</v>
      </c>
      <c r="BD338" s="493">
        <v>47989</v>
      </c>
      <c r="BE338" s="494">
        <v>0.99998842592592596</v>
      </c>
      <c r="BF338" s="493">
        <v>32639</v>
      </c>
      <c r="BG338" s="494">
        <v>0</v>
      </c>
      <c r="BH338" s="492" t="s">
        <v>1344</v>
      </c>
      <c r="BI338" s="492">
        <v>749</v>
      </c>
      <c r="BJ338" s="492" t="s">
        <v>1304</v>
      </c>
      <c r="BK338" s="492"/>
      <c r="BL338" s="493">
        <v>45551</v>
      </c>
      <c r="BM338" s="492" t="s">
        <v>1305</v>
      </c>
      <c r="BN338" s="492" t="s">
        <v>1301</v>
      </c>
      <c r="BO338" s="492">
        <v>0.15434059947487599</v>
      </c>
      <c r="BP338" s="492">
        <v>6.3356001313399999E-4</v>
      </c>
    </row>
    <row r="339" spans="1:68" ht="75">
      <c r="A339" s="492" t="s">
        <v>184</v>
      </c>
      <c r="B339" s="492">
        <v>390638</v>
      </c>
      <c r="C339" s="492">
        <v>8185050</v>
      </c>
      <c r="D339" s="492">
        <v>183</v>
      </c>
      <c r="E339" s="492">
        <v>289</v>
      </c>
      <c r="F339" s="492">
        <v>60</v>
      </c>
      <c r="G339" s="492" t="b">
        <v>0</v>
      </c>
      <c r="H339" s="492" t="b">
        <v>0</v>
      </c>
      <c r="I339" s="492">
        <v>10</v>
      </c>
      <c r="J339" s="492" t="b">
        <v>0</v>
      </c>
      <c r="K339" s="492">
        <v>50</v>
      </c>
      <c r="L339" s="492" t="s">
        <v>1306</v>
      </c>
      <c r="M339" s="492" t="s">
        <v>1296</v>
      </c>
      <c r="N339" s="492" t="s">
        <v>1</v>
      </c>
      <c r="O339" s="492">
        <v>50</v>
      </c>
      <c r="P339" s="492" t="s">
        <v>11</v>
      </c>
      <c r="Q339" s="492">
        <v>1</v>
      </c>
      <c r="R339" s="492"/>
      <c r="S339" s="492"/>
      <c r="T339" s="492"/>
      <c r="U339" s="492"/>
      <c r="V339" s="492"/>
      <c r="W339" s="492"/>
      <c r="X339" s="492"/>
      <c r="Y339" s="492">
        <v>390638</v>
      </c>
      <c r="Z339" s="492">
        <v>8185050</v>
      </c>
      <c r="AA339" s="492">
        <v>9972.30907861981</v>
      </c>
      <c r="AB339" s="492">
        <v>9938.5272092027499</v>
      </c>
      <c r="AC339" s="492">
        <v>7</v>
      </c>
      <c r="AD339" s="492">
        <v>23444</v>
      </c>
      <c r="AE339" s="492" t="s">
        <v>1343</v>
      </c>
      <c r="AF339" s="492" t="s">
        <v>1298</v>
      </c>
      <c r="AG339" s="492" t="s">
        <v>1299</v>
      </c>
      <c r="AH339" s="492" t="s">
        <v>1300</v>
      </c>
      <c r="AI339" s="492">
        <v>1</v>
      </c>
      <c r="AJ339" s="492" t="s">
        <v>1301</v>
      </c>
      <c r="AK339" s="492" t="s">
        <v>1302</v>
      </c>
      <c r="AL339" s="492"/>
      <c r="AM339" s="492"/>
      <c r="AN339" s="492"/>
      <c r="AO339" s="492"/>
      <c r="AP339" s="492"/>
      <c r="AQ339" s="492"/>
      <c r="AR339" s="492"/>
      <c r="AS339" s="492"/>
      <c r="AT339" s="492"/>
      <c r="AU339" s="492"/>
      <c r="AV339" s="492"/>
      <c r="AW339" s="492"/>
      <c r="AX339" s="492"/>
      <c r="AY339" s="492"/>
      <c r="AZ339" s="492"/>
      <c r="BA339" s="492"/>
      <c r="BB339" s="493">
        <v>32303</v>
      </c>
      <c r="BC339" s="494">
        <v>0.4375</v>
      </c>
      <c r="BD339" s="493">
        <v>47989</v>
      </c>
      <c r="BE339" s="494">
        <v>0.99998842592592596</v>
      </c>
      <c r="BF339" s="493">
        <v>32639</v>
      </c>
      <c r="BG339" s="494">
        <v>0</v>
      </c>
      <c r="BH339" s="492" t="s">
        <v>1344</v>
      </c>
      <c r="BI339" s="492">
        <v>749</v>
      </c>
      <c r="BJ339" s="492" t="s">
        <v>1304</v>
      </c>
      <c r="BK339" s="492"/>
      <c r="BL339" s="493">
        <v>45551</v>
      </c>
      <c r="BM339" s="492" t="s">
        <v>1305</v>
      </c>
      <c r="BN339" s="492" t="s">
        <v>1301</v>
      </c>
      <c r="BO339" s="492">
        <v>0.15434059947487599</v>
      </c>
      <c r="BP339" s="492">
        <v>6.3356001313399999E-4</v>
      </c>
    </row>
    <row r="340" spans="1:68" ht="135">
      <c r="A340" s="492" t="s">
        <v>509</v>
      </c>
      <c r="B340" s="492">
        <v>189.2</v>
      </c>
      <c r="C340" s="492">
        <v>50</v>
      </c>
      <c r="D340" s="492">
        <v>60</v>
      </c>
      <c r="E340" s="492">
        <v>288.5</v>
      </c>
      <c r="F340" s="492" t="s">
        <v>1365</v>
      </c>
      <c r="G340" s="492" t="s">
        <v>1366</v>
      </c>
      <c r="H340" s="492" t="s">
        <v>1367</v>
      </c>
      <c r="I340" s="492" t="s">
        <v>1368</v>
      </c>
      <c r="J340" s="492" t="s">
        <v>1369</v>
      </c>
      <c r="K340" s="492">
        <v>391068.40500000003</v>
      </c>
      <c r="L340" s="492">
        <v>8186059.7879999997</v>
      </c>
      <c r="M340" s="492" t="s">
        <v>1370</v>
      </c>
      <c r="N340" s="492">
        <v>6</v>
      </c>
      <c r="O340" s="492">
        <v>23443</v>
      </c>
      <c r="P340" s="492" t="s">
        <v>1297</v>
      </c>
      <c r="Q340" s="492" t="s">
        <v>1298</v>
      </c>
      <c r="R340" s="492" t="s">
        <v>1299</v>
      </c>
      <c r="S340" s="492" t="s">
        <v>1300</v>
      </c>
      <c r="T340" s="492">
        <v>1</v>
      </c>
      <c r="U340" s="492" t="s">
        <v>1301</v>
      </c>
      <c r="V340" s="492" t="s">
        <v>1302</v>
      </c>
      <c r="W340" s="492"/>
      <c r="X340" s="492"/>
      <c r="Y340" s="492"/>
      <c r="Z340" s="492"/>
      <c r="AA340" s="492"/>
      <c r="AB340" s="492"/>
      <c r="AC340" s="492"/>
      <c r="AD340" s="492"/>
      <c r="AE340" s="492"/>
      <c r="AF340" s="492"/>
      <c r="AG340" s="492"/>
      <c r="AH340" s="492"/>
      <c r="AI340" s="492"/>
      <c r="AJ340" s="492"/>
      <c r="AK340" s="492"/>
      <c r="AL340" s="492"/>
      <c r="AM340" s="493">
        <v>32303</v>
      </c>
      <c r="AN340" s="494">
        <v>0.375</v>
      </c>
      <c r="AO340" s="493">
        <v>47989</v>
      </c>
      <c r="AP340" s="494">
        <v>0.99998842592592596</v>
      </c>
      <c r="AQ340" s="493">
        <v>32639</v>
      </c>
      <c r="AR340" s="494">
        <v>0</v>
      </c>
      <c r="AS340" s="492" t="s">
        <v>1303</v>
      </c>
      <c r="AT340" s="492">
        <v>597.20000000000005</v>
      </c>
      <c r="AU340" s="492" t="s">
        <v>1304</v>
      </c>
      <c r="AV340" s="492"/>
      <c r="AW340" s="493">
        <v>45551</v>
      </c>
      <c r="AX340" s="492" t="s">
        <v>1305</v>
      </c>
      <c r="AY340" s="492" t="s">
        <v>1301</v>
      </c>
      <c r="AZ340" s="492">
        <v>0.16432140619605901</v>
      </c>
      <c r="BA340" s="492">
        <v>5.0513892581900005E-4</v>
      </c>
      <c r="BH340" s="492" t="s">
        <v>1303</v>
      </c>
    </row>
    <row r="341" spans="1:68" ht="135">
      <c r="A341" s="492" t="s">
        <v>521</v>
      </c>
      <c r="B341" s="492">
        <v>190.4</v>
      </c>
      <c r="C341" s="492">
        <v>35</v>
      </c>
      <c r="D341" s="492">
        <v>55</v>
      </c>
      <c r="E341" s="492">
        <v>288.5</v>
      </c>
      <c r="F341" s="492" t="s">
        <v>1365</v>
      </c>
      <c r="G341" s="492" t="s">
        <v>1366</v>
      </c>
      <c r="H341" s="492" t="s">
        <v>1367</v>
      </c>
      <c r="I341" s="492" t="s">
        <v>1368</v>
      </c>
      <c r="J341" s="492" t="s">
        <v>1369</v>
      </c>
      <c r="K341" s="492">
        <v>391069.2</v>
      </c>
      <c r="L341" s="492">
        <v>8186106.7000000002</v>
      </c>
      <c r="M341" s="492" t="s">
        <v>1370</v>
      </c>
      <c r="N341" s="492">
        <v>6</v>
      </c>
      <c r="O341" s="492">
        <v>23443</v>
      </c>
      <c r="P341" s="492" t="s">
        <v>1297</v>
      </c>
      <c r="Q341" s="492" t="s">
        <v>1298</v>
      </c>
      <c r="R341" s="492" t="s">
        <v>1299</v>
      </c>
      <c r="S341" s="492" t="s">
        <v>1300</v>
      </c>
      <c r="T341" s="492">
        <v>1</v>
      </c>
      <c r="U341" s="492" t="s">
        <v>1301</v>
      </c>
      <c r="V341" s="492" t="s">
        <v>1302</v>
      </c>
      <c r="W341" s="492"/>
      <c r="X341" s="492"/>
      <c r="Y341" s="492"/>
      <c r="Z341" s="492"/>
      <c r="AA341" s="492"/>
      <c r="AB341" s="492"/>
      <c r="AC341" s="492"/>
      <c r="AD341" s="492"/>
      <c r="AE341" s="492"/>
      <c r="AF341" s="492"/>
      <c r="AG341" s="492"/>
      <c r="AH341" s="492"/>
      <c r="AI341" s="492"/>
      <c r="AJ341" s="492"/>
      <c r="AK341" s="492"/>
      <c r="AL341" s="492"/>
      <c r="AM341" s="493">
        <v>32303</v>
      </c>
      <c r="AN341" s="494">
        <v>0.375</v>
      </c>
      <c r="AO341" s="493">
        <v>47989</v>
      </c>
      <c r="AP341" s="494">
        <v>0.99998842592592596</v>
      </c>
      <c r="AQ341" s="493">
        <v>32639</v>
      </c>
      <c r="AR341" s="494">
        <v>0</v>
      </c>
      <c r="AS341" s="492" t="s">
        <v>1303</v>
      </c>
      <c r="AT341" s="492">
        <v>597.20000000000005</v>
      </c>
      <c r="AU341" s="492" t="s">
        <v>1304</v>
      </c>
      <c r="AV341" s="492"/>
      <c r="AW341" s="493">
        <v>45551</v>
      </c>
      <c r="AX341" s="492" t="s">
        <v>1305</v>
      </c>
      <c r="AY341" s="492" t="s">
        <v>1301</v>
      </c>
      <c r="AZ341" s="492">
        <v>0.16432140619605901</v>
      </c>
      <c r="BA341" s="492">
        <v>5.0513892581900005E-4</v>
      </c>
      <c r="BH341" s="492" t="s">
        <v>1303</v>
      </c>
    </row>
    <row r="342" spans="1:68" ht="135">
      <c r="A342" s="492" t="s">
        <v>1198</v>
      </c>
      <c r="B342" s="492">
        <v>192.3</v>
      </c>
      <c r="C342" s="492">
        <v>30</v>
      </c>
      <c r="D342" s="492">
        <v>60</v>
      </c>
      <c r="E342" s="492">
        <v>288.5</v>
      </c>
      <c r="F342" s="492" t="s">
        <v>1365</v>
      </c>
      <c r="G342" s="492" t="s">
        <v>1366</v>
      </c>
      <c r="H342" s="492" t="s">
        <v>1371</v>
      </c>
      <c r="I342" s="492" t="s">
        <v>1368</v>
      </c>
      <c r="J342" s="492" t="s">
        <v>1372</v>
      </c>
      <c r="K342" s="492">
        <v>391008.7</v>
      </c>
      <c r="L342" s="492">
        <v>8185916.0999999996</v>
      </c>
      <c r="M342" s="492"/>
      <c r="N342" s="492">
        <v>6</v>
      </c>
      <c r="O342" s="492">
        <v>23443</v>
      </c>
      <c r="P342" s="492" t="s">
        <v>1297</v>
      </c>
      <c r="Q342" s="492" t="s">
        <v>1298</v>
      </c>
      <c r="R342" s="492" t="s">
        <v>1299</v>
      </c>
      <c r="S342" s="492" t="s">
        <v>1300</v>
      </c>
      <c r="T342" s="492">
        <v>1</v>
      </c>
      <c r="U342" s="492" t="s">
        <v>1301</v>
      </c>
      <c r="V342" s="492" t="s">
        <v>1302</v>
      </c>
      <c r="W342" s="492"/>
      <c r="X342" s="492"/>
      <c r="Y342" s="492"/>
      <c r="Z342" s="492"/>
      <c r="AA342" s="492"/>
      <c r="AB342" s="492"/>
      <c r="AC342" s="492"/>
      <c r="AD342" s="492"/>
      <c r="AE342" s="492"/>
      <c r="AF342" s="492"/>
      <c r="AG342" s="492"/>
      <c r="AH342" s="492"/>
      <c r="AI342" s="492"/>
      <c r="AJ342" s="492"/>
      <c r="AK342" s="492"/>
      <c r="AL342" s="492"/>
      <c r="AM342" s="493">
        <v>32303</v>
      </c>
      <c r="AN342" s="494">
        <v>0.375</v>
      </c>
      <c r="AO342" s="493">
        <v>47989</v>
      </c>
      <c r="AP342" s="494">
        <v>0.99998842592592596</v>
      </c>
      <c r="AQ342" s="493">
        <v>32639</v>
      </c>
      <c r="AR342" s="494">
        <v>0</v>
      </c>
      <c r="AS342" s="492" t="s">
        <v>1303</v>
      </c>
      <c r="AT342" s="492">
        <v>597.20000000000005</v>
      </c>
      <c r="AU342" s="492" t="s">
        <v>1304</v>
      </c>
      <c r="AV342" s="492"/>
      <c r="AW342" s="493">
        <v>45551</v>
      </c>
      <c r="AX342" s="492" t="s">
        <v>1305</v>
      </c>
      <c r="AY342" s="492" t="s">
        <v>1301</v>
      </c>
      <c r="AZ342" s="492">
        <v>0.16432140619605901</v>
      </c>
      <c r="BA342" s="492">
        <v>5.0513892581900005E-4</v>
      </c>
      <c r="BH342" s="492" t="s">
        <v>1303</v>
      </c>
    </row>
    <row r="343" spans="1:68" ht="135">
      <c r="A343" s="492" t="s">
        <v>1384</v>
      </c>
      <c r="B343" s="492">
        <v>206.4</v>
      </c>
      <c r="C343" s="492">
        <v>35</v>
      </c>
      <c r="D343" s="492">
        <v>60</v>
      </c>
      <c r="E343" s="492">
        <v>288.5</v>
      </c>
      <c r="F343" s="492" t="s">
        <v>1365</v>
      </c>
      <c r="G343" s="492" t="s">
        <v>1366</v>
      </c>
      <c r="H343" s="492" t="s">
        <v>1371</v>
      </c>
      <c r="I343" s="492" t="s">
        <v>1368</v>
      </c>
      <c r="J343" s="492" t="s">
        <v>1369</v>
      </c>
      <c r="K343" s="492">
        <v>391281.4</v>
      </c>
      <c r="L343" s="492">
        <v>8186710.2999999998</v>
      </c>
      <c r="M343" s="492"/>
      <c r="N343" s="492">
        <v>6</v>
      </c>
      <c r="O343" s="492">
        <v>23443</v>
      </c>
      <c r="P343" s="492" t="s">
        <v>1297</v>
      </c>
      <c r="Q343" s="492" t="s">
        <v>1298</v>
      </c>
      <c r="R343" s="492" t="s">
        <v>1299</v>
      </c>
      <c r="S343" s="492" t="s">
        <v>1300</v>
      </c>
      <c r="T343" s="492">
        <v>1</v>
      </c>
      <c r="U343" s="492" t="s">
        <v>1301</v>
      </c>
      <c r="V343" s="492" t="s">
        <v>1302</v>
      </c>
      <c r="W343" s="492"/>
      <c r="X343" s="492"/>
      <c r="Y343" s="492"/>
      <c r="Z343" s="492"/>
      <c r="AA343" s="492"/>
      <c r="AB343" s="492"/>
      <c r="AC343" s="492"/>
      <c r="AD343" s="492"/>
      <c r="AE343" s="492"/>
      <c r="AF343" s="492"/>
      <c r="AG343" s="492"/>
      <c r="AH343" s="492"/>
      <c r="AI343" s="492"/>
      <c r="AJ343" s="492"/>
      <c r="AK343" s="492"/>
      <c r="AL343" s="492"/>
      <c r="AM343" s="493">
        <v>32303</v>
      </c>
      <c r="AN343" s="494">
        <v>0.375</v>
      </c>
      <c r="AO343" s="493">
        <v>47989</v>
      </c>
      <c r="AP343" s="494">
        <v>0.99998842592592596</v>
      </c>
      <c r="AQ343" s="493">
        <v>32639</v>
      </c>
      <c r="AR343" s="494">
        <v>0</v>
      </c>
      <c r="AS343" s="492" t="s">
        <v>1303</v>
      </c>
      <c r="AT343" s="492">
        <v>597.20000000000005</v>
      </c>
      <c r="AU343" s="492" t="s">
        <v>1304</v>
      </c>
      <c r="AV343" s="492"/>
      <c r="AW343" s="493">
        <v>45551</v>
      </c>
      <c r="AX343" s="492" t="s">
        <v>1305</v>
      </c>
      <c r="AY343" s="492" t="s">
        <v>1301</v>
      </c>
      <c r="AZ343" s="492">
        <v>0.16432140619605901</v>
      </c>
      <c r="BA343" s="492">
        <v>5.0513892581900005E-4</v>
      </c>
      <c r="BH343" s="492" t="s">
        <v>1303</v>
      </c>
    </row>
    <row r="344" spans="1:68" ht="135">
      <c r="A344" s="492" t="s">
        <v>537</v>
      </c>
      <c r="B344" s="492">
        <v>205.4</v>
      </c>
      <c r="C344" s="492">
        <v>35</v>
      </c>
      <c r="D344" s="492">
        <v>60</v>
      </c>
      <c r="E344" s="492">
        <v>288.5</v>
      </c>
      <c r="F344" s="492" t="s">
        <v>1365</v>
      </c>
      <c r="G344" s="492" t="s">
        <v>1366</v>
      </c>
      <c r="H344" s="492" t="s">
        <v>1367</v>
      </c>
      <c r="I344" s="492" t="s">
        <v>1368</v>
      </c>
      <c r="J344" s="492" t="s">
        <v>1369</v>
      </c>
      <c r="K344" s="492">
        <v>391274.8</v>
      </c>
      <c r="L344" s="492">
        <v>8186670.4000000004</v>
      </c>
      <c r="M344" s="492" t="s">
        <v>1370</v>
      </c>
      <c r="N344" s="492">
        <v>6</v>
      </c>
      <c r="O344" s="492">
        <v>23443</v>
      </c>
      <c r="P344" s="492" t="s">
        <v>1297</v>
      </c>
      <c r="Q344" s="492" t="s">
        <v>1298</v>
      </c>
      <c r="R344" s="492" t="s">
        <v>1299</v>
      </c>
      <c r="S344" s="492" t="s">
        <v>1300</v>
      </c>
      <c r="T344" s="492">
        <v>1</v>
      </c>
      <c r="U344" s="492" t="s">
        <v>1301</v>
      </c>
      <c r="V344" s="492" t="s">
        <v>1302</v>
      </c>
      <c r="W344" s="492"/>
      <c r="X344" s="492"/>
      <c r="Y344" s="492"/>
      <c r="Z344" s="492"/>
      <c r="AA344" s="492"/>
      <c r="AB344" s="492"/>
      <c r="AC344" s="492"/>
      <c r="AD344" s="492"/>
      <c r="AE344" s="492"/>
      <c r="AF344" s="492"/>
      <c r="AG344" s="492"/>
      <c r="AH344" s="492"/>
      <c r="AI344" s="492"/>
      <c r="AJ344" s="492"/>
      <c r="AK344" s="492"/>
      <c r="AL344" s="492"/>
      <c r="AM344" s="493">
        <v>32303</v>
      </c>
      <c r="AN344" s="494">
        <v>0.375</v>
      </c>
      <c r="AO344" s="493">
        <v>47989</v>
      </c>
      <c r="AP344" s="494">
        <v>0.99998842592592596</v>
      </c>
      <c r="AQ344" s="493">
        <v>32639</v>
      </c>
      <c r="AR344" s="494">
        <v>0</v>
      </c>
      <c r="AS344" s="492" t="s">
        <v>1303</v>
      </c>
      <c r="AT344" s="492">
        <v>597.20000000000005</v>
      </c>
      <c r="AU344" s="492" t="s">
        <v>1304</v>
      </c>
      <c r="AV344" s="492"/>
      <c r="AW344" s="493">
        <v>45551</v>
      </c>
      <c r="AX344" s="492" t="s">
        <v>1305</v>
      </c>
      <c r="AY344" s="492" t="s">
        <v>1301</v>
      </c>
      <c r="AZ344" s="492">
        <v>0.16432140619605901</v>
      </c>
      <c r="BA344" s="492">
        <v>5.0513892581900005E-4</v>
      </c>
      <c r="BH344" s="492" t="s">
        <v>1303</v>
      </c>
    </row>
    <row r="345" spans="1:68" ht="135">
      <c r="A345" s="492" t="s">
        <v>1385</v>
      </c>
      <c r="B345" s="492">
        <v>199.6</v>
      </c>
      <c r="C345" s="492">
        <v>35</v>
      </c>
      <c r="D345" s="492">
        <v>60</v>
      </c>
      <c r="E345" s="492">
        <v>288.5</v>
      </c>
      <c r="F345" s="492" t="s">
        <v>1365</v>
      </c>
      <c r="G345" s="492" t="s">
        <v>1366</v>
      </c>
      <c r="H345" s="492" t="s">
        <v>1371</v>
      </c>
      <c r="I345" s="492" t="s">
        <v>1368</v>
      </c>
      <c r="J345" s="492" t="s">
        <v>1369</v>
      </c>
      <c r="K345" s="492">
        <v>391265.9</v>
      </c>
      <c r="L345" s="492">
        <v>8186631.2999999998</v>
      </c>
      <c r="M345" s="492"/>
      <c r="N345" s="492">
        <v>6</v>
      </c>
      <c r="O345" s="492">
        <v>23443</v>
      </c>
      <c r="P345" s="492" t="s">
        <v>1297</v>
      </c>
      <c r="Q345" s="492" t="s">
        <v>1298</v>
      </c>
      <c r="R345" s="492" t="s">
        <v>1299</v>
      </c>
      <c r="S345" s="492" t="s">
        <v>1300</v>
      </c>
      <c r="T345" s="492">
        <v>1</v>
      </c>
      <c r="U345" s="492" t="s">
        <v>1301</v>
      </c>
      <c r="V345" s="492" t="s">
        <v>1302</v>
      </c>
      <c r="W345" s="492"/>
      <c r="X345" s="492"/>
      <c r="Y345" s="492"/>
      <c r="Z345" s="492"/>
      <c r="AA345" s="492"/>
      <c r="AB345" s="492"/>
      <c r="AC345" s="492"/>
      <c r="AD345" s="492"/>
      <c r="AE345" s="492"/>
      <c r="AF345" s="492"/>
      <c r="AG345" s="492"/>
      <c r="AH345" s="492"/>
      <c r="AI345" s="492"/>
      <c r="AJ345" s="492"/>
      <c r="AK345" s="492"/>
      <c r="AL345" s="492"/>
      <c r="AM345" s="493">
        <v>32303</v>
      </c>
      <c r="AN345" s="494">
        <v>0.375</v>
      </c>
      <c r="AO345" s="493">
        <v>47989</v>
      </c>
      <c r="AP345" s="494">
        <v>0.99998842592592596</v>
      </c>
      <c r="AQ345" s="493">
        <v>32639</v>
      </c>
      <c r="AR345" s="494">
        <v>0</v>
      </c>
      <c r="AS345" s="492" t="s">
        <v>1303</v>
      </c>
      <c r="AT345" s="492">
        <v>597.20000000000005</v>
      </c>
      <c r="AU345" s="492" t="s">
        <v>1304</v>
      </c>
      <c r="AV345" s="492"/>
      <c r="AW345" s="493">
        <v>45551</v>
      </c>
      <c r="AX345" s="492" t="s">
        <v>1305</v>
      </c>
      <c r="AY345" s="492" t="s">
        <v>1301</v>
      </c>
      <c r="AZ345" s="492">
        <v>0.16432140619605901</v>
      </c>
      <c r="BA345" s="492">
        <v>5.0513892581900005E-4</v>
      </c>
      <c r="BH345" s="492" t="s">
        <v>1303</v>
      </c>
    </row>
    <row r="346" spans="1:68" ht="135">
      <c r="A346" s="492" t="s">
        <v>1386</v>
      </c>
      <c r="B346" s="492">
        <v>197.9</v>
      </c>
      <c r="C346" s="492">
        <v>35</v>
      </c>
      <c r="D346" s="492">
        <v>60</v>
      </c>
      <c r="E346" s="492">
        <v>288.5</v>
      </c>
      <c r="F346" s="492" t="s">
        <v>1365</v>
      </c>
      <c r="G346" s="492" t="s">
        <v>1366</v>
      </c>
      <c r="H346" s="492" t="s">
        <v>1373</v>
      </c>
      <c r="I346" s="492" t="s">
        <v>1368</v>
      </c>
      <c r="J346" s="492" t="s">
        <v>1369</v>
      </c>
      <c r="K346" s="492">
        <v>391231.7</v>
      </c>
      <c r="L346" s="492">
        <v>8186558.2999999998</v>
      </c>
      <c r="M346" s="492"/>
      <c r="N346" s="492">
        <v>6</v>
      </c>
      <c r="O346" s="492">
        <v>23443</v>
      </c>
      <c r="P346" s="492" t="s">
        <v>1297</v>
      </c>
      <c r="Q346" s="492" t="s">
        <v>1298</v>
      </c>
      <c r="R346" s="492" t="s">
        <v>1299</v>
      </c>
      <c r="S346" s="492" t="s">
        <v>1300</v>
      </c>
      <c r="T346" s="492">
        <v>1</v>
      </c>
      <c r="U346" s="492" t="s">
        <v>1301</v>
      </c>
      <c r="V346" s="492" t="s">
        <v>1302</v>
      </c>
      <c r="W346" s="492"/>
      <c r="X346" s="492"/>
      <c r="Y346" s="492"/>
      <c r="Z346" s="492"/>
      <c r="AA346" s="492"/>
      <c r="AB346" s="492"/>
      <c r="AC346" s="492"/>
      <c r="AD346" s="492"/>
      <c r="AE346" s="492"/>
      <c r="AF346" s="492"/>
      <c r="AG346" s="492"/>
      <c r="AH346" s="492"/>
      <c r="AI346" s="492"/>
      <c r="AJ346" s="492"/>
      <c r="AK346" s="492"/>
      <c r="AL346" s="492"/>
      <c r="AM346" s="493">
        <v>32303</v>
      </c>
      <c r="AN346" s="494">
        <v>0.375</v>
      </c>
      <c r="AO346" s="493">
        <v>47989</v>
      </c>
      <c r="AP346" s="494">
        <v>0.99998842592592596</v>
      </c>
      <c r="AQ346" s="493">
        <v>32639</v>
      </c>
      <c r="AR346" s="494">
        <v>0</v>
      </c>
      <c r="AS346" s="492" t="s">
        <v>1303</v>
      </c>
      <c r="AT346" s="492">
        <v>597.20000000000005</v>
      </c>
      <c r="AU346" s="492" t="s">
        <v>1304</v>
      </c>
      <c r="AV346" s="492"/>
      <c r="AW346" s="493">
        <v>45551</v>
      </c>
      <c r="AX346" s="492" t="s">
        <v>1305</v>
      </c>
      <c r="AY346" s="492" t="s">
        <v>1301</v>
      </c>
      <c r="AZ346" s="492">
        <v>0.16432140619605901</v>
      </c>
      <c r="BA346" s="492">
        <v>5.0513892581900005E-4</v>
      </c>
      <c r="BH346" s="492" t="s">
        <v>1303</v>
      </c>
    </row>
    <row r="347" spans="1:68" ht="135">
      <c r="A347" s="492" t="s">
        <v>1387</v>
      </c>
      <c r="B347" s="492">
        <v>196.2</v>
      </c>
      <c r="C347" s="492">
        <v>35</v>
      </c>
      <c r="D347" s="492">
        <v>60</v>
      </c>
      <c r="E347" s="492">
        <v>288.5</v>
      </c>
      <c r="F347" s="492" t="s">
        <v>1365</v>
      </c>
      <c r="G347" s="492" t="s">
        <v>1366</v>
      </c>
      <c r="H347" s="492" t="s">
        <v>1373</v>
      </c>
      <c r="I347" s="492" t="s">
        <v>1368</v>
      </c>
      <c r="J347" s="492" t="s">
        <v>1369</v>
      </c>
      <c r="K347" s="492">
        <v>391212.2</v>
      </c>
      <c r="L347" s="492">
        <v>8186522.5999999996</v>
      </c>
      <c r="M347" s="492"/>
      <c r="N347" s="492">
        <v>6</v>
      </c>
      <c r="O347" s="492">
        <v>23443</v>
      </c>
      <c r="P347" s="492" t="s">
        <v>1297</v>
      </c>
      <c r="Q347" s="492" t="s">
        <v>1298</v>
      </c>
      <c r="R347" s="492" t="s">
        <v>1299</v>
      </c>
      <c r="S347" s="492" t="s">
        <v>1300</v>
      </c>
      <c r="T347" s="492">
        <v>1</v>
      </c>
      <c r="U347" s="492" t="s">
        <v>1301</v>
      </c>
      <c r="V347" s="492" t="s">
        <v>1302</v>
      </c>
      <c r="W347" s="492"/>
      <c r="X347" s="492"/>
      <c r="Y347" s="492"/>
      <c r="Z347" s="492"/>
      <c r="AA347" s="492"/>
      <c r="AB347" s="492"/>
      <c r="AC347" s="492"/>
      <c r="AD347" s="492"/>
      <c r="AE347" s="492"/>
      <c r="AF347" s="492"/>
      <c r="AG347" s="492"/>
      <c r="AH347" s="492"/>
      <c r="AI347" s="492"/>
      <c r="AJ347" s="492"/>
      <c r="AK347" s="492"/>
      <c r="AL347" s="492"/>
      <c r="AM347" s="493">
        <v>32303</v>
      </c>
      <c r="AN347" s="494">
        <v>0.375</v>
      </c>
      <c r="AO347" s="493">
        <v>47989</v>
      </c>
      <c r="AP347" s="494">
        <v>0.99998842592592596</v>
      </c>
      <c r="AQ347" s="493">
        <v>32639</v>
      </c>
      <c r="AR347" s="494">
        <v>0</v>
      </c>
      <c r="AS347" s="492" t="s">
        <v>1303</v>
      </c>
      <c r="AT347" s="492">
        <v>597.20000000000005</v>
      </c>
      <c r="AU347" s="492" t="s">
        <v>1304</v>
      </c>
      <c r="AV347" s="492"/>
      <c r="AW347" s="493">
        <v>45551</v>
      </c>
      <c r="AX347" s="492" t="s">
        <v>1305</v>
      </c>
      <c r="AY347" s="492" t="s">
        <v>1301</v>
      </c>
      <c r="AZ347" s="492">
        <v>0.16432140619605901</v>
      </c>
      <c r="BA347" s="492">
        <v>5.0513892581900005E-4</v>
      </c>
      <c r="BH347" s="492" t="s">
        <v>1303</v>
      </c>
    </row>
    <row r="348" spans="1:68" ht="135">
      <c r="A348" s="492" t="s">
        <v>1388</v>
      </c>
      <c r="B348" s="492">
        <v>189.9</v>
      </c>
      <c r="C348" s="492">
        <v>35</v>
      </c>
      <c r="D348" s="492">
        <v>60</v>
      </c>
      <c r="E348" s="492">
        <v>288.5</v>
      </c>
      <c r="F348" s="492" t="s">
        <v>1365</v>
      </c>
      <c r="G348" s="492" t="s">
        <v>1366</v>
      </c>
      <c r="H348" s="492" t="s">
        <v>1373</v>
      </c>
      <c r="I348" s="492" t="s">
        <v>1368</v>
      </c>
      <c r="J348" s="492" t="s">
        <v>1369</v>
      </c>
      <c r="K348" s="492">
        <v>391020.00799999997</v>
      </c>
      <c r="L348" s="492">
        <v>8185956.0310000004</v>
      </c>
      <c r="M348" s="492"/>
      <c r="N348" s="492">
        <v>6</v>
      </c>
      <c r="O348" s="492">
        <v>23443</v>
      </c>
      <c r="P348" s="492" t="s">
        <v>1297</v>
      </c>
      <c r="Q348" s="492" t="s">
        <v>1298</v>
      </c>
      <c r="R348" s="492" t="s">
        <v>1299</v>
      </c>
      <c r="S348" s="492" t="s">
        <v>1300</v>
      </c>
      <c r="T348" s="492">
        <v>1</v>
      </c>
      <c r="U348" s="492" t="s">
        <v>1301</v>
      </c>
      <c r="V348" s="492" t="s">
        <v>1302</v>
      </c>
      <c r="W348" s="492"/>
      <c r="X348" s="492"/>
      <c r="Y348" s="492"/>
      <c r="Z348" s="492"/>
      <c r="AA348" s="492"/>
      <c r="AB348" s="492"/>
      <c r="AC348" s="492"/>
      <c r="AD348" s="492"/>
      <c r="AE348" s="492"/>
      <c r="AF348" s="492"/>
      <c r="AG348" s="492"/>
      <c r="AH348" s="492"/>
      <c r="AI348" s="492"/>
      <c r="AJ348" s="492"/>
      <c r="AK348" s="492"/>
      <c r="AL348" s="492"/>
      <c r="AM348" s="493">
        <v>32303</v>
      </c>
      <c r="AN348" s="494">
        <v>0.375</v>
      </c>
      <c r="AO348" s="493">
        <v>47989</v>
      </c>
      <c r="AP348" s="494">
        <v>0.99998842592592596</v>
      </c>
      <c r="AQ348" s="493">
        <v>32639</v>
      </c>
      <c r="AR348" s="494">
        <v>0</v>
      </c>
      <c r="AS348" s="492" t="s">
        <v>1303</v>
      </c>
      <c r="AT348" s="492">
        <v>597.20000000000005</v>
      </c>
      <c r="AU348" s="492" t="s">
        <v>1304</v>
      </c>
      <c r="AV348" s="492"/>
      <c r="AW348" s="493">
        <v>45551</v>
      </c>
      <c r="AX348" s="492" t="s">
        <v>1305</v>
      </c>
      <c r="AY348" s="492" t="s">
        <v>1301</v>
      </c>
      <c r="AZ348" s="492">
        <v>0.16432140619605901</v>
      </c>
      <c r="BA348" s="492">
        <v>5.0513892581900005E-4</v>
      </c>
      <c r="BH348" s="492" t="s">
        <v>1303</v>
      </c>
    </row>
    <row r="349" spans="1:68" ht="75">
      <c r="A349" s="492" t="s">
        <v>1202</v>
      </c>
      <c r="B349" s="492">
        <v>191.9</v>
      </c>
      <c r="C349" s="492">
        <v>30</v>
      </c>
      <c r="D349" s="492">
        <v>60</v>
      </c>
      <c r="E349" s="492">
        <v>288.5</v>
      </c>
      <c r="F349" s="492" t="s">
        <v>1374</v>
      </c>
      <c r="G349" s="492"/>
      <c r="H349" s="492" t="s">
        <v>1371</v>
      </c>
      <c r="I349" s="492" t="s">
        <v>1375</v>
      </c>
      <c r="J349" s="492" t="s">
        <v>1376</v>
      </c>
      <c r="K349" s="492">
        <v>391011.5</v>
      </c>
      <c r="L349" s="492">
        <v>8185915.0999999996</v>
      </c>
      <c r="M349" s="492"/>
      <c r="N349" s="492">
        <v>6</v>
      </c>
      <c r="O349" s="492">
        <v>23443</v>
      </c>
      <c r="P349" s="492" t="s">
        <v>1297</v>
      </c>
      <c r="Q349" s="492" t="s">
        <v>1298</v>
      </c>
      <c r="R349" s="492" t="s">
        <v>1299</v>
      </c>
      <c r="S349" s="492" t="s">
        <v>1300</v>
      </c>
      <c r="T349" s="492">
        <v>1</v>
      </c>
      <c r="U349" s="492" t="s">
        <v>1301</v>
      </c>
      <c r="V349" s="492" t="s">
        <v>1302</v>
      </c>
      <c r="W349" s="492"/>
      <c r="X349" s="492"/>
      <c r="Y349" s="492"/>
      <c r="Z349" s="492"/>
      <c r="AA349" s="492"/>
      <c r="AB349" s="492"/>
      <c r="AC349" s="492"/>
      <c r="AD349" s="492"/>
      <c r="AE349" s="492"/>
      <c r="AF349" s="492"/>
      <c r="AG349" s="492"/>
      <c r="AH349" s="492"/>
      <c r="AI349" s="492"/>
      <c r="AJ349" s="492"/>
      <c r="AK349" s="492"/>
      <c r="AL349" s="492"/>
      <c r="AM349" s="493">
        <v>32303</v>
      </c>
      <c r="AN349" s="494">
        <v>0.375</v>
      </c>
      <c r="AO349" s="493">
        <v>47989</v>
      </c>
      <c r="AP349" s="494">
        <v>0.99998842592592596</v>
      </c>
      <c r="AQ349" s="493">
        <v>32639</v>
      </c>
      <c r="AR349" s="494">
        <v>0</v>
      </c>
      <c r="AS349" s="492" t="s">
        <v>1303</v>
      </c>
      <c r="AT349" s="492">
        <v>597.20000000000005</v>
      </c>
      <c r="AU349" s="492" t="s">
        <v>1304</v>
      </c>
      <c r="AV349" s="492"/>
      <c r="AW349" s="493">
        <v>45551</v>
      </c>
      <c r="AX349" s="492" t="s">
        <v>1305</v>
      </c>
      <c r="AY349" s="492" t="s">
        <v>1301</v>
      </c>
      <c r="AZ349" s="492">
        <v>0.16432140619605901</v>
      </c>
      <c r="BA349" s="492">
        <v>5.0513892581900005E-4</v>
      </c>
      <c r="BH349" s="492" t="s">
        <v>1303</v>
      </c>
    </row>
    <row r="350" spans="1:68" ht="75">
      <c r="A350" s="492" t="s">
        <v>535</v>
      </c>
      <c r="B350" s="492">
        <v>205.6</v>
      </c>
      <c r="C350" s="492">
        <v>50</v>
      </c>
      <c r="D350" s="492">
        <v>60</v>
      </c>
      <c r="E350" s="492">
        <v>288.5</v>
      </c>
      <c r="F350" s="492" t="s">
        <v>1377</v>
      </c>
      <c r="G350" s="492"/>
      <c r="H350" s="492" t="s">
        <v>1367</v>
      </c>
      <c r="I350" s="492" t="s">
        <v>1375</v>
      </c>
      <c r="J350" s="492" t="s">
        <v>1376</v>
      </c>
      <c r="K350" s="492">
        <v>391273.3</v>
      </c>
      <c r="L350" s="492">
        <v>8186670.7999999998</v>
      </c>
      <c r="M350" s="492" t="s">
        <v>1370</v>
      </c>
      <c r="N350" s="492">
        <v>6</v>
      </c>
      <c r="O350" s="492">
        <v>23443</v>
      </c>
      <c r="P350" s="492" t="s">
        <v>1297</v>
      </c>
      <c r="Q350" s="492" t="s">
        <v>1298</v>
      </c>
      <c r="R350" s="492" t="s">
        <v>1299</v>
      </c>
      <c r="S350" s="492" t="s">
        <v>1300</v>
      </c>
      <c r="T350" s="492">
        <v>1</v>
      </c>
      <c r="U350" s="492" t="s">
        <v>1301</v>
      </c>
      <c r="V350" s="492" t="s">
        <v>1302</v>
      </c>
      <c r="W350" s="492"/>
      <c r="X350" s="492"/>
      <c r="Y350" s="492"/>
      <c r="Z350" s="492"/>
      <c r="AA350" s="492"/>
      <c r="AB350" s="492"/>
      <c r="AC350" s="492"/>
      <c r="AD350" s="492"/>
      <c r="AE350" s="492"/>
      <c r="AF350" s="492"/>
      <c r="AG350" s="492"/>
      <c r="AH350" s="492"/>
      <c r="AI350" s="492"/>
      <c r="AJ350" s="492"/>
      <c r="AK350" s="492"/>
      <c r="AL350" s="492"/>
      <c r="AM350" s="493">
        <v>32303</v>
      </c>
      <c r="AN350" s="494">
        <v>0.375</v>
      </c>
      <c r="AO350" s="493">
        <v>47989</v>
      </c>
      <c r="AP350" s="494">
        <v>0.99998842592592596</v>
      </c>
      <c r="AQ350" s="493">
        <v>32639</v>
      </c>
      <c r="AR350" s="494">
        <v>0</v>
      </c>
      <c r="AS350" s="492" t="s">
        <v>1303</v>
      </c>
      <c r="AT350" s="492">
        <v>597.20000000000005</v>
      </c>
      <c r="AU350" s="492" t="s">
        <v>1304</v>
      </c>
      <c r="AV350" s="492"/>
      <c r="AW350" s="493">
        <v>45551</v>
      </c>
      <c r="AX350" s="492" t="s">
        <v>1305</v>
      </c>
      <c r="AY350" s="492" t="s">
        <v>1301</v>
      </c>
      <c r="AZ350" s="492">
        <v>0.16432140619605901</v>
      </c>
      <c r="BA350" s="492">
        <v>5.0513892581900005E-4</v>
      </c>
      <c r="BH350" s="492" t="s">
        <v>1303</v>
      </c>
    </row>
    <row r="351" spans="1:68" ht="75">
      <c r="A351" s="492" t="s">
        <v>526</v>
      </c>
      <c r="B351" s="492">
        <v>189.2</v>
      </c>
      <c r="C351" s="492">
        <v>85</v>
      </c>
      <c r="D351" s="492">
        <v>55</v>
      </c>
      <c r="E351" s="492">
        <v>288.5</v>
      </c>
      <c r="F351" s="492" t="s">
        <v>1378</v>
      </c>
      <c r="G351" s="492"/>
      <c r="H351" s="492" t="s">
        <v>1367</v>
      </c>
      <c r="I351" s="492" t="s">
        <v>1375</v>
      </c>
      <c r="J351" s="492">
        <v>2024</v>
      </c>
      <c r="K351" s="492">
        <v>391184.9</v>
      </c>
      <c r="L351" s="492">
        <v>8186326</v>
      </c>
      <c r="M351" s="492" t="s">
        <v>1370</v>
      </c>
      <c r="N351" s="492">
        <v>6</v>
      </c>
      <c r="O351" s="492">
        <v>23443</v>
      </c>
      <c r="P351" s="492" t="s">
        <v>1297</v>
      </c>
      <c r="Q351" s="492" t="s">
        <v>1298</v>
      </c>
      <c r="R351" s="492" t="s">
        <v>1299</v>
      </c>
      <c r="S351" s="492" t="s">
        <v>1300</v>
      </c>
      <c r="T351" s="492">
        <v>1</v>
      </c>
      <c r="U351" s="492" t="s">
        <v>1301</v>
      </c>
      <c r="V351" s="492" t="s">
        <v>1302</v>
      </c>
      <c r="W351" s="492"/>
      <c r="X351" s="492"/>
      <c r="Y351" s="492"/>
      <c r="Z351" s="492"/>
      <c r="AA351" s="492"/>
      <c r="AB351" s="492"/>
      <c r="AC351" s="492"/>
      <c r="AD351" s="492"/>
      <c r="AE351" s="492"/>
      <c r="AF351" s="492"/>
      <c r="AG351" s="492"/>
      <c r="AH351" s="492"/>
      <c r="AI351" s="492"/>
      <c r="AJ351" s="492"/>
      <c r="AK351" s="492"/>
      <c r="AL351" s="492"/>
      <c r="AM351" s="493">
        <v>32303</v>
      </c>
      <c r="AN351" s="494">
        <v>0.375</v>
      </c>
      <c r="AO351" s="493">
        <v>47989</v>
      </c>
      <c r="AP351" s="494">
        <v>0.99998842592592596</v>
      </c>
      <c r="AQ351" s="493">
        <v>32639</v>
      </c>
      <c r="AR351" s="494">
        <v>0</v>
      </c>
      <c r="AS351" s="492" t="s">
        <v>1303</v>
      </c>
      <c r="AT351" s="492">
        <v>597.20000000000005</v>
      </c>
      <c r="AU351" s="492" t="s">
        <v>1304</v>
      </c>
      <c r="AV351" s="492"/>
      <c r="AW351" s="493">
        <v>45551</v>
      </c>
      <c r="AX351" s="492" t="s">
        <v>1305</v>
      </c>
      <c r="AY351" s="492" t="s">
        <v>1301</v>
      </c>
      <c r="AZ351" s="492">
        <v>0.16432140619605901</v>
      </c>
      <c r="BA351" s="492">
        <v>5.0513892581900005E-4</v>
      </c>
      <c r="BH351" s="492" t="s">
        <v>1303</v>
      </c>
    </row>
    <row r="352" spans="1:68" ht="135">
      <c r="A352" s="492" t="s">
        <v>565</v>
      </c>
      <c r="B352" s="492">
        <v>176.6</v>
      </c>
      <c r="C352" s="492">
        <v>30</v>
      </c>
      <c r="D352" s="492">
        <v>55</v>
      </c>
      <c r="E352" s="492">
        <v>288.5</v>
      </c>
      <c r="F352" s="492" t="s">
        <v>1365</v>
      </c>
      <c r="G352" s="492" t="s">
        <v>1366</v>
      </c>
      <c r="H352" s="492" t="s">
        <v>1367</v>
      </c>
      <c r="I352" s="492" t="s">
        <v>1368</v>
      </c>
      <c r="J352" s="492" t="s">
        <v>1369</v>
      </c>
      <c r="K352" s="492">
        <v>390650.32900000003</v>
      </c>
      <c r="L352" s="492">
        <v>8185046.0650000004</v>
      </c>
      <c r="M352" s="492" t="s">
        <v>1379</v>
      </c>
      <c r="N352" s="492">
        <v>7</v>
      </c>
      <c r="O352" s="492">
        <v>23444</v>
      </c>
      <c r="P352" s="492" t="s">
        <v>1343</v>
      </c>
      <c r="Q352" s="492" t="s">
        <v>1298</v>
      </c>
      <c r="R352" s="492" t="s">
        <v>1299</v>
      </c>
      <c r="S352" s="492" t="s">
        <v>1300</v>
      </c>
      <c r="T352" s="492">
        <v>1</v>
      </c>
      <c r="U352" s="492" t="s">
        <v>1301</v>
      </c>
      <c r="V352" s="492" t="s">
        <v>1302</v>
      </c>
      <c r="W352" s="492"/>
      <c r="X352" s="492"/>
      <c r="Y352" s="492"/>
      <c r="Z352" s="492"/>
      <c r="AA352" s="492"/>
      <c r="AB352" s="492"/>
      <c r="AC352" s="492"/>
      <c r="AD352" s="492"/>
      <c r="AE352" s="492"/>
      <c r="AF352" s="492"/>
      <c r="AG352" s="492"/>
      <c r="AH352" s="492"/>
      <c r="AI352" s="492"/>
      <c r="AJ352" s="492"/>
      <c r="AK352" s="492"/>
      <c r="AL352" s="492"/>
      <c r="AM352" s="493">
        <v>32303</v>
      </c>
      <c r="AN352" s="494">
        <v>0.4375</v>
      </c>
      <c r="AO352" s="493">
        <v>47989</v>
      </c>
      <c r="AP352" s="494">
        <v>0.99998842592592596</v>
      </c>
      <c r="AQ352" s="493">
        <v>32639</v>
      </c>
      <c r="AR352" s="494">
        <v>0</v>
      </c>
      <c r="AS352" s="492" t="s">
        <v>1344</v>
      </c>
      <c r="AT352" s="492">
        <v>749</v>
      </c>
      <c r="AU352" s="492" t="s">
        <v>1304</v>
      </c>
      <c r="AV352" s="492"/>
      <c r="AW352" s="493">
        <v>45551</v>
      </c>
      <c r="AX352" s="492" t="s">
        <v>1305</v>
      </c>
      <c r="AY352" s="492" t="s">
        <v>1301</v>
      </c>
      <c r="AZ352" s="492">
        <v>0.15434059947487599</v>
      </c>
      <c r="BA352" s="492">
        <v>6.3356001313399999E-4</v>
      </c>
      <c r="BH352" s="492" t="s">
        <v>1344</v>
      </c>
    </row>
    <row r="353" spans="1:60" ht="135">
      <c r="A353" s="492" t="s">
        <v>516</v>
      </c>
      <c r="B353" s="492">
        <v>197.7</v>
      </c>
      <c r="C353" s="492">
        <v>35</v>
      </c>
      <c r="D353" s="492">
        <v>60</v>
      </c>
      <c r="E353" s="492">
        <v>288.5</v>
      </c>
      <c r="F353" s="492" t="s">
        <v>1365</v>
      </c>
      <c r="G353" s="492" t="s">
        <v>1366</v>
      </c>
      <c r="H353" s="492" t="s">
        <v>1367</v>
      </c>
      <c r="I353" s="492" t="s">
        <v>1368</v>
      </c>
      <c r="J353" s="492" t="s">
        <v>1369</v>
      </c>
      <c r="K353" s="492">
        <v>390951.19900000002</v>
      </c>
      <c r="L353" s="492">
        <v>8185864.7640000004</v>
      </c>
      <c r="M353" s="492" t="s">
        <v>1370</v>
      </c>
      <c r="N353" s="492">
        <v>7</v>
      </c>
      <c r="O353" s="492">
        <v>23444</v>
      </c>
      <c r="P353" s="492" t="s">
        <v>1343</v>
      </c>
      <c r="Q353" s="492" t="s">
        <v>1298</v>
      </c>
      <c r="R353" s="492" t="s">
        <v>1299</v>
      </c>
      <c r="S353" s="492" t="s">
        <v>1300</v>
      </c>
      <c r="T353" s="492">
        <v>1</v>
      </c>
      <c r="U353" s="492" t="s">
        <v>1301</v>
      </c>
      <c r="V353" s="492" t="s">
        <v>1302</v>
      </c>
      <c r="W353" s="492"/>
      <c r="X353" s="492"/>
      <c r="Y353" s="492"/>
      <c r="Z353" s="492"/>
      <c r="AA353" s="492"/>
      <c r="AB353" s="492"/>
      <c r="AC353" s="492"/>
      <c r="AD353" s="492"/>
      <c r="AE353" s="492"/>
      <c r="AF353" s="492"/>
      <c r="AG353" s="492"/>
      <c r="AH353" s="492"/>
      <c r="AI353" s="492"/>
      <c r="AJ353" s="492"/>
      <c r="AK353" s="492"/>
      <c r="AL353" s="492"/>
      <c r="AM353" s="493">
        <v>32303</v>
      </c>
      <c r="AN353" s="494">
        <v>0.4375</v>
      </c>
      <c r="AO353" s="493">
        <v>47989</v>
      </c>
      <c r="AP353" s="494">
        <v>0.99998842592592596</v>
      </c>
      <c r="AQ353" s="493">
        <v>32639</v>
      </c>
      <c r="AR353" s="494">
        <v>0</v>
      </c>
      <c r="AS353" s="492" t="s">
        <v>1344</v>
      </c>
      <c r="AT353" s="492">
        <v>749</v>
      </c>
      <c r="AU353" s="492" t="s">
        <v>1304</v>
      </c>
      <c r="AV353" s="492"/>
      <c r="AW353" s="493">
        <v>45551</v>
      </c>
      <c r="AX353" s="492" t="s">
        <v>1305</v>
      </c>
      <c r="AY353" s="492" t="s">
        <v>1301</v>
      </c>
      <c r="AZ353" s="492">
        <v>0.15434059947487599</v>
      </c>
      <c r="BA353" s="492">
        <v>6.3356001313399999E-4</v>
      </c>
      <c r="BH353" s="492" t="s">
        <v>1344</v>
      </c>
    </row>
    <row r="354" spans="1:60" ht="135">
      <c r="A354" s="492" t="s">
        <v>626</v>
      </c>
      <c r="B354" s="492">
        <v>189.6</v>
      </c>
      <c r="C354" s="492">
        <v>40</v>
      </c>
      <c r="D354" s="492">
        <v>55</v>
      </c>
      <c r="E354" s="492">
        <v>288.5</v>
      </c>
      <c r="F354" s="492" t="s">
        <v>1365</v>
      </c>
      <c r="G354" s="492" t="s">
        <v>1366</v>
      </c>
      <c r="H354" s="492" t="s">
        <v>1371</v>
      </c>
      <c r="I354" s="492" t="s">
        <v>1368</v>
      </c>
      <c r="J354" s="492" t="s">
        <v>1372</v>
      </c>
      <c r="K354" s="492">
        <v>390989.2</v>
      </c>
      <c r="L354" s="492">
        <v>8185880.2999999998</v>
      </c>
      <c r="M354" s="492"/>
      <c r="N354" s="492">
        <v>7</v>
      </c>
      <c r="O354" s="492">
        <v>23444</v>
      </c>
      <c r="P354" s="492" t="s">
        <v>1343</v>
      </c>
      <c r="Q354" s="492" t="s">
        <v>1298</v>
      </c>
      <c r="R354" s="492" t="s">
        <v>1299</v>
      </c>
      <c r="S354" s="492" t="s">
        <v>1300</v>
      </c>
      <c r="T354" s="492">
        <v>1</v>
      </c>
      <c r="U354" s="492" t="s">
        <v>1301</v>
      </c>
      <c r="V354" s="492" t="s">
        <v>1302</v>
      </c>
      <c r="W354" s="492"/>
      <c r="X354" s="492"/>
      <c r="Y354" s="492"/>
      <c r="Z354" s="492"/>
      <c r="AA354" s="492"/>
      <c r="AB354" s="492"/>
      <c r="AC354" s="492"/>
      <c r="AD354" s="492"/>
      <c r="AE354" s="492"/>
      <c r="AF354" s="492"/>
      <c r="AG354" s="492"/>
      <c r="AH354" s="492"/>
      <c r="AI354" s="492"/>
      <c r="AJ354" s="492"/>
      <c r="AK354" s="492"/>
      <c r="AL354" s="492"/>
      <c r="AM354" s="493">
        <v>32303</v>
      </c>
      <c r="AN354" s="494">
        <v>0.4375</v>
      </c>
      <c r="AO354" s="493">
        <v>47989</v>
      </c>
      <c r="AP354" s="494">
        <v>0.99998842592592596</v>
      </c>
      <c r="AQ354" s="493">
        <v>32639</v>
      </c>
      <c r="AR354" s="494">
        <v>0</v>
      </c>
      <c r="AS354" s="492" t="s">
        <v>1344</v>
      </c>
      <c r="AT354" s="492">
        <v>749</v>
      </c>
      <c r="AU354" s="492" t="s">
        <v>1304</v>
      </c>
      <c r="AV354" s="492"/>
      <c r="AW354" s="493">
        <v>45551</v>
      </c>
      <c r="AX354" s="492" t="s">
        <v>1305</v>
      </c>
      <c r="AY354" s="492" t="s">
        <v>1301</v>
      </c>
      <c r="AZ354" s="492">
        <v>0.15434059947487599</v>
      </c>
      <c r="BA354" s="492">
        <v>6.3356001313399999E-4</v>
      </c>
      <c r="BH354" s="492" t="s">
        <v>1344</v>
      </c>
    </row>
    <row r="355" spans="1:60" ht="135">
      <c r="A355" s="492" t="s">
        <v>1389</v>
      </c>
      <c r="B355" s="492">
        <v>175.9</v>
      </c>
      <c r="C355" s="492">
        <v>40</v>
      </c>
      <c r="D355" s="492">
        <v>60</v>
      </c>
      <c r="E355" s="492">
        <v>108.5</v>
      </c>
      <c r="F355" s="492" t="s">
        <v>1365</v>
      </c>
      <c r="G355" s="492" t="s">
        <v>1366</v>
      </c>
      <c r="H355" s="492" t="s">
        <v>1373</v>
      </c>
      <c r="I355" s="492" t="s">
        <v>1368</v>
      </c>
      <c r="J355" s="492" t="s">
        <v>1369</v>
      </c>
      <c r="K355" s="492">
        <v>391170.07299999997</v>
      </c>
      <c r="L355" s="492">
        <v>8185480.0700000003</v>
      </c>
      <c r="M355" s="492"/>
      <c r="N355" s="492">
        <v>7</v>
      </c>
      <c r="O355" s="492">
        <v>23444</v>
      </c>
      <c r="P355" s="492" t="s">
        <v>1343</v>
      </c>
      <c r="Q355" s="492" t="s">
        <v>1298</v>
      </c>
      <c r="R355" s="492" t="s">
        <v>1299</v>
      </c>
      <c r="S355" s="492" t="s">
        <v>1300</v>
      </c>
      <c r="T355" s="492">
        <v>1</v>
      </c>
      <c r="U355" s="492" t="s">
        <v>1301</v>
      </c>
      <c r="V355" s="492" t="s">
        <v>1302</v>
      </c>
      <c r="W355" s="492"/>
      <c r="X355" s="492"/>
      <c r="Y355" s="492"/>
      <c r="Z355" s="492"/>
      <c r="AA355" s="492"/>
      <c r="AB355" s="492"/>
      <c r="AC355" s="492"/>
      <c r="AD355" s="492"/>
      <c r="AE355" s="492"/>
      <c r="AF355" s="492"/>
      <c r="AG355" s="492"/>
      <c r="AH355" s="492"/>
      <c r="AI355" s="492"/>
      <c r="AJ355" s="492"/>
      <c r="AK355" s="492"/>
      <c r="AL355" s="492"/>
      <c r="AM355" s="493">
        <v>32303</v>
      </c>
      <c r="AN355" s="494">
        <v>0.4375</v>
      </c>
      <c r="AO355" s="493">
        <v>47989</v>
      </c>
      <c r="AP355" s="494">
        <v>0.99998842592592596</v>
      </c>
      <c r="AQ355" s="493">
        <v>32639</v>
      </c>
      <c r="AR355" s="494">
        <v>0</v>
      </c>
      <c r="AS355" s="492" t="s">
        <v>1344</v>
      </c>
      <c r="AT355" s="492">
        <v>749</v>
      </c>
      <c r="AU355" s="492" t="s">
        <v>1304</v>
      </c>
      <c r="AV355" s="492"/>
      <c r="AW355" s="493">
        <v>45551</v>
      </c>
      <c r="AX355" s="492" t="s">
        <v>1305</v>
      </c>
      <c r="AY355" s="492" t="s">
        <v>1301</v>
      </c>
      <c r="AZ355" s="492">
        <v>0.15434059947487599</v>
      </c>
      <c r="BA355" s="492">
        <v>6.3356001313399999E-4</v>
      </c>
      <c r="BH355" s="492" t="s">
        <v>1344</v>
      </c>
    </row>
    <row r="356" spans="1:60" ht="75">
      <c r="A356" s="492" t="s">
        <v>546</v>
      </c>
      <c r="B356" s="492">
        <v>185</v>
      </c>
      <c r="C356" s="492">
        <v>120</v>
      </c>
      <c r="D356" s="492">
        <v>55</v>
      </c>
      <c r="E356" s="492">
        <v>288.5</v>
      </c>
      <c r="F356" s="492" t="s">
        <v>1380</v>
      </c>
      <c r="G356" s="492"/>
      <c r="H356" s="492" t="s">
        <v>1367</v>
      </c>
      <c r="I356" s="492" t="s">
        <v>1368</v>
      </c>
      <c r="J356" s="492" t="s">
        <v>1369</v>
      </c>
      <c r="K356" s="492">
        <v>390939.05499999999</v>
      </c>
      <c r="L356" s="492">
        <v>8185059.7029999997</v>
      </c>
      <c r="M356" s="492" t="s">
        <v>1370</v>
      </c>
      <c r="N356" s="492">
        <v>7</v>
      </c>
      <c r="O356" s="492">
        <v>23444</v>
      </c>
      <c r="P356" s="492" t="s">
        <v>1343</v>
      </c>
      <c r="Q356" s="492" t="s">
        <v>1298</v>
      </c>
      <c r="R356" s="492" t="s">
        <v>1299</v>
      </c>
      <c r="S356" s="492" t="s">
        <v>1300</v>
      </c>
      <c r="T356" s="492">
        <v>1</v>
      </c>
      <c r="U356" s="492" t="s">
        <v>1301</v>
      </c>
      <c r="V356" s="492" t="s">
        <v>1302</v>
      </c>
      <c r="W356" s="492"/>
      <c r="X356" s="492"/>
      <c r="Y356" s="492"/>
      <c r="Z356" s="492"/>
      <c r="AA356" s="492"/>
      <c r="AB356" s="492"/>
      <c r="AC356" s="492"/>
      <c r="AD356" s="492"/>
      <c r="AE356" s="492"/>
      <c r="AF356" s="492"/>
      <c r="AG356" s="492"/>
      <c r="AH356" s="492"/>
      <c r="AI356" s="492"/>
      <c r="AJ356" s="492"/>
      <c r="AK356" s="492"/>
      <c r="AL356" s="492"/>
      <c r="AM356" s="493">
        <v>32303</v>
      </c>
      <c r="AN356" s="494">
        <v>0.4375</v>
      </c>
      <c r="AO356" s="493">
        <v>47989</v>
      </c>
      <c r="AP356" s="494">
        <v>0.99998842592592596</v>
      </c>
      <c r="AQ356" s="493">
        <v>32639</v>
      </c>
      <c r="AR356" s="494">
        <v>0</v>
      </c>
      <c r="AS356" s="492" t="s">
        <v>1344</v>
      </c>
      <c r="AT356" s="492">
        <v>749</v>
      </c>
      <c r="AU356" s="492" t="s">
        <v>1304</v>
      </c>
      <c r="AV356" s="492"/>
      <c r="AW356" s="493">
        <v>45551</v>
      </c>
      <c r="AX356" s="492" t="s">
        <v>1305</v>
      </c>
      <c r="AY356" s="492" t="s">
        <v>1301</v>
      </c>
      <c r="AZ356" s="492">
        <v>0.15434059947487599</v>
      </c>
      <c r="BA356" s="492">
        <v>6.3356001313399999E-4</v>
      </c>
      <c r="BH356" s="492" t="s">
        <v>1344</v>
      </c>
    </row>
    <row r="357" spans="1:60" ht="75">
      <c r="A357" s="492" t="s">
        <v>552</v>
      </c>
      <c r="B357" s="492">
        <v>184.8</v>
      </c>
      <c r="C357" s="492">
        <v>100</v>
      </c>
      <c r="D357" s="492">
        <v>60</v>
      </c>
      <c r="E357" s="492">
        <v>288.5</v>
      </c>
      <c r="F357" s="492" t="s">
        <v>1380</v>
      </c>
      <c r="G357" s="492"/>
      <c r="H357" s="492" t="s">
        <v>1367</v>
      </c>
      <c r="I357" s="492" t="s">
        <v>1368</v>
      </c>
      <c r="J357" s="492" t="s">
        <v>1372</v>
      </c>
      <c r="K357" s="492">
        <v>390929.3</v>
      </c>
      <c r="L357" s="492">
        <v>8185098</v>
      </c>
      <c r="M357" s="492" t="s">
        <v>1379</v>
      </c>
      <c r="N357" s="492">
        <v>7</v>
      </c>
      <c r="O357" s="492">
        <v>23444</v>
      </c>
      <c r="P357" s="492" t="s">
        <v>1343</v>
      </c>
      <c r="Q357" s="492" t="s">
        <v>1298</v>
      </c>
      <c r="R357" s="492" t="s">
        <v>1299</v>
      </c>
      <c r="S357" s="492" t="s">
        <v>1300</v>
      </c>
      <c r="T357" s="492">
        <v>1</v>
      </c>
      <c r="U357" s="492" t="s">
        <v>1301</v>
      </c>
      <c r="V357" s="492" t="s">
        <v>1302</v>
      </c>
      <c r="W357" s="492"/>
      <c r="X357" s="492"/>
      <c r="Y357" s="492"/>
      <c r="Z357" s="492"/>
      <c r="AA357" s="492"/>
      <c r="AB357" s="492"/>
      <c r="AC357" s="492"/>
      <c r="AD357" s="492"/>
      <c r="AE357" s="492"/>
      <c r="AF357" s="492"/>
      <c r="AG357" s="492"/>
      <c r="AH357" s="492"/>
      <c r="AI357" s="492"/>
      <c r="AJ357" s="492"/>
      <c r="AK357" s="492"/>
      <c r="AL357" s="492"/>
      <c r="AM357" s="493">
        <v>32303</v>
      </c>
      <c r="AN357" s="494">
        <v>0.4375</v>
      </c>
      <c r="AO357" s="493">
        <v>47989</v>
      </c>
      <c r="AP357" s="494">
        <v>0.99998842592592596</v>
      </c>
      <c r="AQ357" s="493">
        <v>32639</v>
      </c>
      <c r="AR357" s="494">
        <v>0</v>
      </c>
      <c r="AS357" s="492" t="s">
        <v>1344</v>
      </c>
      <c r="AT357" s="492">
        <v>749</v>
      </c>
      <c r="AU357" s="492" t="s">
        <v>1304</v>
      </c>
      <c r="AV357" s="492"/>
      <c r="AW357" s="493">
        <v>45551</v>
      </c>
      <c r="AX357" s="492" t="s">
        <v>1305</v>
      </c>
      <c r="AY357" s="492" t="s">
        <v>1301</v>
      </c>
      <c r="AZ357" s="492">
        <v>0.15434059947487599</v>
      </c>
      <c r="BA357" s="492">
        <v>6.3356001313399999E-4</v>
      </c>
      <c r="BH357" s="492" t="s">
        <v>1344</v>
      </c>
    </row>
    <row r="358" spans="1:60" ht="75">
      <c r="A358" s="492" t="s">
        <v>557</v>
      </c>
      <c r="B358" s="492">
        <v>185.4</v>
      </c>
      <c r="C358" s="492">
        <v>140</v>
      </c>
      <c r="D358" s="492">
        <v>60</v>
      </c>
      <c r="E358" s="492">
        <v>288.5</v>
      </c>
      <c r="F358" s="492" t="s">
        <v>1380</v>
      </c>
      <c r="G358" s="492"/>
      <c r="H358" s="492" t="s">
        <v>1367</v>
      </c>
      <c r="I358" s="492" t="s">
        <v>1368</v>
      </c>
      <c r="J358" s="492" t="s">
        <v>1372</v>
      </c>
      <c r="K358" s="492">
        <v>390993.6</v>
      </c>
      <c r="L358" s="492">
        <v>8185160.5</v>
      </c>
      <c r="M358" s="492" t="s">
        <v>1379</v>
      </c>
      <c r="N358" s="492">
        <v>7</v>
      </c>
      <c r="O358" s="492">
        <v>23444</v>
      </c>
      <c r="P358" s="492" t="s">
        <v>1343</v>
      </c>
      <c r="Q358" s="492" t="s">
        <v>1298</v>
      </c>
      <c r="R358" s="492" t="s">
        <v>1299</v>
      </c>
      <c r="S358" s="492" t="s">
        <v>1300</v>
      </c>
      <c r="T358" s="492">
        <v>1</v>
      </c>
      <c r="U358" s="492" t="s">
        <v>1301</v>
      </c>
      <c r="V358" s="492" t="s">
        <v>1302</v>
      </c>
      <c r="W358" s="492"/>
      <c r="X358" s="492"/>
      <c r="Y358" s="492"/>
      <c r="Z358" s="492"/>
      <c r="AA358" s="492"/>
      <c r="AB358" s="492"/>
      <c r="AC358" s="492"/>
      <c r="AD358" s="492"/>
      <c r="AE358" s="492"/>
      <c r="AF358" s="492"/>
      <c r="AG358" s="492"/>
      <c r="AH358" s="492"/>
      <c r="AI358" s="492"/>
      <c r="AJ358" s="492"/>
      <c r="AK358" s="492"/>
      <c r="AL358" s="492"/>
      <c r="AM358" s="493">
        <v>32303</v>
      </c>
      <c r="AN358" s="494">
        <v>0.4375</v>
      </c>
      <c r="AO358" s="493">
        <v>47989</v>
      </c>
      <c r="AP358" s="494">
        <v>0.99998842592592596</v>
      </c>
      <c r="AQ358" s="493">
        <v>32639</v>
      </c>
      <c r="AR358" s="494">
        <v>0</v>
      </c>
      <c r="AS358" s="492" t="s">
        <v>1344</v>
      </c>
      <c r="AT358" s="492">
        <v>749</v>
      </c>
      <c r="AU358" s="492" t="s">
        <v>1304</v>
      </c>
      <c r="AV358" s="492"/>
      <c r="AW358" s="493">
        <v>45551</v>
      </c>
      <c r="AX358" s="492" t="s">
        <v>1305</v>
      </c>
      <c r="AY358" s="492" t="s">
        <v>1301</v>
      </c>
      <c r="AZ358" s="492">
        <v>0.15434059947487599</v>
      </c>
      <c r="BA358" s="492">
        <v>6.3356001313399999E-4</v>
      </c>
      <c r="BH358" s="492" t="s">
        <v>1344</v>
      </c>
    </row>
    <row r="359" spans="1:60" ht="75">
      <c r="A359" s="492" t="s">
        <v>587</v>
      </c>
      <c r="B359" s="492">
        <v>191.4</v>
      </c>
      <c r="C359" s="492">
        <v>155</v>
      </c>
      <c r="D359" s="492">
        <v>60</v>
      </c>
      <c r="E359" s="492">
        <v>288.5</v>
      </c>
      <c r="F359" s="492" t="s">
        <v>1380</v>
      </c>
      <c r="G359" s="492"/>
      <c r="H359" s="492" t="s">
        <v>1367</v>
      </c>
      <c r="I359" s="492" t="s">
        <v>1368</v>
      </c>
      <c r="J359" s="492" t="s">
        <v>1372</v>
      </c>
      <c r="K359" s="492">
        <v>390738.3</v>
      </c>
      <c r="L359" s="492">
        <v>8185205.5999999996</v>
      </c>
      <c r="M359" s="492" t="s">
        <v>1379</v>
      </c>
      <c r="N359" s="492">
        <v>7</v>
      </c>
      <c r="O359" s="492">
        <v>23444</v>
      </c>
      <c r="P359" s="492" t="s">
        <v>1343</v>
      </c>
      <c r="Q359" s="492" t="s">
        <v>1298</v>
      </c>
      <c r="R359" s="492" t="s">
        <v>1299</v>
      </c>
      <c r="S359" s="492" t="s">
        <v>1300</v>
      </c>
      <c r="T359" s="492">
        <v>1</v>
      </c>
      <c r="U359" s="492" t="s">
        <v>1301</v>
      </c>
      <c r="V359" s="492" t="s">
        <v>1302</v>
      </c>
      <c r="W359" s="492"/>
      <c r="X359" s="492"/>
      <c r="Y359" s="492"/>
      <c r="Z359" s="492"/>
      <c r="AA359" s="492"/>
      <c r="AB359" s="492"/>
      <c r="AC359" s="492"/>
      <c r="AD359" s="492"/>
      <c r="AE359" s="492"/>
      <c r="AF359" s="492"/>
      <c r="AG359" s="492"/>
      <c r="AH359" s="492"/>
      <c r="AI359" s="492"/>
      <c r="AJ359" s="492"/>
      <c r="AK359" s="492"/>
      <c r="AL359" s="492"/>
      <c r="AM359" s="493">
        <v>32303</v>
      </c>
      <c r="AN359" s="494">
        <v>0.4375</v>
      </c>
      <c r="AO359" s="493">
        <v>47989</v>
      </c>
      <c r="AP359" s="494">
        <v>0.99998842592592596</v>
      </c>
      <c r="AQ359" s="493">
        <v>32639</v>
      </c>
      <c r="AR359" s="494">
        <v>0</v>
      </c>
      <c r="AS359" s="492" t="s">
        <v>1344</v>
      </c>
      <c r="AT359" s="492">
        <v>749</v>
      </c>
      <c r="AU359" s="492" t="s">
        <v>1304</v>
      </c>
      <c r="AV359" s="492"/>
      <c r="AW359" s="493">
        <v>45551</v>
      </c>
      <c r="AX359" s="492" t="s">
        <v>1305</v>
      </c>
      <c r="AY359" s="492" t="s">
        <v>1301</v>
      </c>
      <c r="AZ359" s="492">
        <v>0.15434059947487599</v>
      </c>
      <c r="BA359" s="492">
        <v>6.3356001313399999E-4</v>
      </c>
      <c r="BH359" s="492" t="s">
        <v>1344</v>
      </c>
    </row>
    <row r="360" spans="1:60" ht="75">
      <c r="A360" s="492" t="s">
        <v>571</v>
      </c>
      <c r="B360" s="492">
        <v>189.6</v>
      </c>
      <c r="C360" s="492">
        <v>165</v>
      </c>
      <c r="D360" s="492">
        <v>60</v>
      </c>
      <c r="E360" s="492">
        <v>288.5</v>
      </c>
      <c r="F360" s="492" t="s">
        <v>1380</v>
      </c>
      <c r="G360" s="492"/>
      <c r="H360" s="492" t="s">
        <v>1367</v>
      </c>
      <c r="I360" s="492" t="s">
        <v>1368</v>
      </c>
      <c r="J360" s="492" t="s">
        <v>1372</v>
      </c>
      <c r="K360" s="492">
        <v>390757.2</v>
      </c>
      <c r="L360" s="492">
        <v>8185241.2000000002</v>
      </c>
      <c r="M360" s="492" t="s">
        <v>1379</v>
      </c>
      <c r="N360" s="492">
        <v>7</v>
      </c>
      <c r="O360" s="492">
        <v>23444</v>
      </c>
      <c r="P360" s="492" t="s">
        <v>1343</v>
      </c>
      <c r="Q360" s="492" t="s">
        <v>1298</v>
      </c>
      <c r="R360" s="492" t="s">
        <v>1299</v>
      </c>
      <c r="S360" s="492" t="s">
        <v>1300</v>
      </c>
      <c r="T360" s="492">
        <v>1</v>
      </c>
      <c r="U360" s="492" t="s">
        <v>1301</v>
      </c>
      <c r="V360" s="492" t="s">
        <v>1302</v>
      </c>
      <c r="W360" s="492"/>
      <c r="X360" s="492"/>
      <c r="Y360" s="492"/>
      <c r="Z360" s="492"/>
      <c r="AA360" s="492"/>
      <c r="AB360" s="492"/>
      <c r="AC360" s="492"/>
      <c r="AD360" s="492"/>
      <c r="AE360" s="492"/>
      <c r="AF360" s="492"/>
      <c r="AG360" s="492"/>
      <c r="AH360" s="492"/>
      <c r="AI360" s="492"/>
      <c r="AJ360" s="492"/>
      <c r="AK360" s="492"/>
      <c r="AL360" s="492"/>
      <c r="AM360" s="493">
        <v>32303</v>
      </c>
      <c r="AN360" s="494">
        <v>0.4375</v>
      </c>
      <c r="AO360" s="493">
        <v>47989</v>
      </c>
      <c r="AP360" s="494">
        <v>0.99998842592592596</v>
      </c>
      <c r="AQ360" s="493">
        <v>32639</v>
      </c>
      <c r="AR360" s="494">
        <v>0</v>
      </c>
      <c r="AS360" s="492" t="s">
        <v>1344</v>
      </c>
      <c r="AT360" s="492">
        <v>749</v>
      </c>
      <c r="AU360" s="492" t="s">
        <v>1304</v>
      </c>
      <c r="AV360" s="492"/>
      <c r="AW360" s="493">
        <v>45551</v>
      </c>
      <c r="AX360" s="492" t="s">
        <v>1305</v>
      </c>
      <c r="AY360" s="492" t="s">
        <v>1301</v>
      </c>
      <c r="AZ360" s="492">
        <v>0.15434059947487599</v>
      </c>
      <c r="BA360" s="492">
        <v>6.3356001313399999E-4</v>
      </c>
      <c r="BH360" s="492" t="s">
        <v>1344</v>
      </c>
    </row>
    <row r="361" spans="1:60" ht="75">
      <c r="A361" s="492" t="s">
        <v>616</v>
      </c>
      <c r="B361" s="492">
        <v>188.9</v>
      </c>
      <c r="C361" s="492">
        <v>160</v>
      </c>
      <c r="D361" s="492">
        <v>60</v>
      </c>
      <c r="E361" s="492">
        <v>288.5</v>
      </c>
      <c r="F361" s="492" t="s">
        <v>1380</v>
      </c>
      <c r="G361" s="492"/>
      <c r="H361" s="492" t="s">
        <v>1367</v>
      </c>
      <c r="I361" s="492" t="s">
        <v>1368</v>
      </c>
      <c r="J361" s="492" t="s">
        <v>1372</v>
      </c>
      <c r="K361" s="492">
        <v>390765.1</v>
      </c>
      <c r="L361" s="492">
        <v>8185281</v>
      </c>
      <c r="M361" s="492" t="s">
        <v>1379</v>
      </c>
      <c r="N361" s="492">
        <v>7</v>
      </c>
      <c r="O361" s="492">
        <v>23444</v>
      </c>
      <c r="P361" s="492" t="s">
        <v>1343</v>
      </c>
      <c r="Q361" s="492" t="s">
        <v>1298</v>
      </c>
      <c r="R361" s="492" t="s">
        <v>1299</v>
      </c>
      <c r="S361" s="492" t="s">
        <v>1300</v>
      </c>
      <c r="T361" s="492">
        <v>1</v>
      </c>
      <c r="U361" s="492" t="s">
        <v>1301</v>
      </c>
      <c r="V361" s="492" t="s">
        <v>1302</v>
      </c>
      <c r="W361" s="492"/>
      <c r="X361" s="492"/>
      <c r="Y361" s="492"/>
      <c r="Z361" s="492"/>
      <c r="AA361" s="492"/>
      <c r="AB361" s="492"/>
      <c r="AC361" s="492"/>
      <c r="AD361" s="492"/>
      <c r="AE361" s="492"/>
      <c r="AF361" s="492"/>
      <c r="AG361" s="492"/>
      <c r="AH361" s="492"/>
      <c r="AI361" s="492"/>
      <c r="AJ361" s="492"/>
      <c r="AK361" s="492"/>
      <c r="AL361" s="492"/>
      <c r="AM361" s="493">
        <v>32303</v>
      </c>
      <c r="AN361" s="494">
        <v>0.4375</v>
      </c>
      <c r="AO361" s="493">
        <v>47989</v>
      </c>
      <c r="AP361" s="494">
        <v>0.99998842592592596</v>
      </c>
      <c r="AQ361" s="493">
        <v>32639</v>
      </c>
      <c r="AR361" s="494">
        <v>0</v>
      </c>
      <c r="AS361" s="492" t="s">
        <v>1344</v>
      </c>
      <c r="AT361" s="492">
        <v>749</v>
      </c>
      <c r="AU361" s="492" t="s">
        <v>1304</v>
      </c>
      <c r="AV361" s="492"/>
      <c r="AW361" s="493">
        <v>45551</v>
      </c>
      <c r="AX361" s="492" t="s">
        <v>1305</v>
      </c>
      <c r="AY361" s="492" t="s">
        <v>1301</v>
      </c>
      <c r="AZ361" s="492">
        <v>0.15434059947487599</v>
      </c>
      <c r="BA361" s="492">
        <v>6.3356001313399999E-4</v>
      </c>
      <c r="BH361" s="492" t="s">
        <v>1344</v>
      </c>
    </row>
    <row r="362" spans="1:60" ht="75">
      <c r="A362" s="492" t="s">
        <v>608</v>
      </c>
      <c r="B362" s="492">
        <v>187.2</v>
      </c>
      <c r="C362" s="492">
        <v>160</v>
      </c>
      <c r="D362" s="492">
        <v>60</v>
      </c>
      <c r="E362" s="492">
        <v>288.5</v>
      </c>
      <c r="F362" s="492" t="s">
        <v>1380</v>
      </c>
      <c r="G362" s="492"/>
      <c r="H362" s="492" t="s">
        <v>1367</v>
      </c>
      <c r="I362" s="492" t="s">
        <v>1368</v>
      </c>
      <c r="J362" s="492" t="s">
        <v>1372</v>
      </c>
      <c r="K362" s="492">
        <v>390778.5</v>
      </c>
      <c r="L362" s="492">
        <v>8185318.5999999996</v>
      </c>
      <c r="M362" s="492" t="s">
        <v>1379</v>
      </c>
      <c r="N362" s="492">
        <v>7</v>
      </c>
      <c r="O362" s="492">
        <v>23444</v>
      </c>
      <c r="P362" s="492" t="s">
        <v>1343</v>
      </c>
      <c r="Q362" s="492" t="s">
        <v>1298</v>
      </c>
      <c r="R362" s="492" t="s">
        <v>1299</v>
      </c>
      <c r="S362" s="492" t="s">
        <v>1300</v>
      </c>
      <c r="T362" s="492">
        <v>1</v>
      </c>
      <c r="U362" s="492" t="s">
        <v>1301</v>
      </c>
      <c r="V362" s="492" t="s">
        <v>1302</v>
      </c>
      <c r="W362" s="492"/>
      <c r="X362" s="492"/>
      <c r="Y362" s="492"/>
      <c r="Z362" s="492"/>
      <c r="AA362" s="492"/>
      <c r="AB362" s="492"/>
      <c r="AC362" s="492"/>
      <c r="AD362" s="492"/>
      <c r="AE362" s="492"/>
      <c r="AF362" s="492"/>
      <c r="AG362" s="492"/>
      <c r="AH362" s="492"/>
      <c r="AI362" s="492"/>
      <c r="AJ362" s="492"/>
      <c r="AK362" s="492"/>
      <c r="AL362" s="492"/>
      <c r="AM362" s="493">
        <v>32303</v>
      </c>
      <c r="AN362" s="494">
        <v>0.4375</v>
      </c>
      <c r="AO362" s="493">
        <v>47989</v>
      </c>
      <c r="AP362" s="494">
        <v>0.99998842592592596</v>
      </c>
      <c r="AQ362" s="493">
        <v>32639</v>
      </c>
      <c r="AR362" s="494">
        <v>0</v>
      </c>
      <c r="AS362" s="492" t="s">
        <v>1344</v>
      </c>
      <c r="AT362" s="492">
        <v>749</v>
      </c>
      <c r="AU362" s="492" t="s">
        <v>1304</v>
      </c>
      <c r="AV362" s="492"/>
      <c r="AW362" s="493">
        <v>45551</v>
      </c>
      <c r="AX362" s="492" t="s">
        <v>1305</v>
      </c>
      <c r="AY362" s="492" t="s">
        <v>1301</v>
      </c>
      <c r="AZ362" s="492">
        <v>0.15434059947487599</v>
      </c>
      <c r="BA362" s="492">
        <v>6.3356001313399999E-4</v>
      </c>
      <c r="BH362" s="492" t="s">
        <v>1344</v>
      </c>
    </row>
    <row r="363" spans="1:60" ht="75">
      <c r="A363" s="492" t="s">
        <v>604</v>
      </c>
      <c r="B363" s="492">
        <v>188.4</v>
      </c>
      <c r="C363" s="492">
        <v>140</v>
      </c>
      <c r="D363" s="492">
        <v>60</v>
      </c>
      <c r="E363" s="492">
        <v>288.5</v>
      </c>
      <c r="F363" s="492" t="s">
        <v>1380</v>
      </c>
      <c r="G363" s="492"/>
      <c r="H363" s="492" t="s">
        <v>1367</v>
      </c>
      <c r="I363" s="492" t="s">
        <v>1368</v>
      </c>
      <c r="J363" s="492" t="s">
        <v>1372</v>
      </c>
      <c r="K363" s="492">
        <v>390782.9</v>
      </c>
      <c r="L363" s="492">
        <v>8185359.0999999996</v>
      </c>
      <c r="M363" s="492" t="s">
        <v>1379</v>
      </c>
      <c r="N363" s="492">
        <v>7</v>
      </c>
      <c r="O363" s="492">
        <v>23444</v>
      </c>
      <c r="P363" s="492" t="s">
        <v>1343</v>
      </c>
      <c r="Q363" s="492" t="s">
        <v>1298</v>
      </c>
      <c r="R363" s="492" t="s">
        <v>1299</v>
      </c>
      <c r="S363" s="492" t="s">
        <v>1300</v>
      </c>
      <c r="T363" s="492">
        <v>1</v>
      </c>
      <c r="U363" s="492" t="s">
        <v>1301</v>
      </c>
      <c r="V363" s="492" t="s">
        <v>1302</v>
      </c>
      <c r="W363" s="492"/>
      <c r="X363" s="492"/>
      <c r="Y363" s="492"/>
      <c r="Z363" s="492"/>
      <c r="AA363" s="492"/>
      <c r="AB363" s="492"/>
      <c r="AC363" s="492"/>
      <c r="AD363" s="492"/>
      <c r="AE363" s="492"/>
      <c r="AF363" s="492"/>
      <c r="AG363" s="492"/>
      <c r="AH363" s="492"/>
      <c r="AI363" s="492"/>
      <c r="AJ363" s="492"/>
      <c r="AK363" s="492"/>
      <c r="AL363" s="492"/>
      <c r="AM363" s="493">
        <v>32303</v>
      </c>
      <c r="AN363" s="494">
        <v>0.4375</v>
      </c>
      <c r="AO363" s="493">
        <v>47989</v>
      </c>
      <c r="AP363" s="494">
        <v>0.99998842592592596</v>
      </c>
      <c r="AQ363" s="493">
        <v>32639</v>
      </c>
      <c r="AR363" s="494">
        <v>0</v>
      </c>
      <c r="AS363" s="492" t="s">
        <v>1344</v>
      </c>
      <c r="AT363" s="492">
        <v>749</v>
      </c>
      <c r="AU363" s="492" t="s">
        <v>1304</v>
      </c>
      <c r="AV363" s="492"/>
      <c r="AW363" s="493">
        <v>45551</v>
      </c>
      <c r="AX363" s="492" t="s">
        <v>1305</v>
      </c>
      <c r="AY363" s="492" t="s">
        <v>1301</v>
      </c>
      <c r="AZ363" s="492">
        <v>0.15434059947487599</v>
      </c>
      <c r="BA363" s="492">
        <v>6.3356001313399999E-4</v>
      </c>
      <c r="BH363" s="492" t="s">
        <v>1344</v>
      </c>
    </row>
    <row r="364" spans="1:60" ht="75">
      <c r="A364" s="492" t="s">
        <v>540</v>
      </c>
      <c r="B364" s="492">
        <v>185</v>
      </c>
      <c r="C364" s="492">
        <v>120</v>
      </c>
      <c r="D364" s="492">
        <v>55</v>
      </c>
      <c r="E364" s="492">
        <v>288.5</v>
      </c>
      <c r="F364" s="492" t="s">
        <v>1381</v>
      </c>
      <c r="G364" s="492"/>
      <c r="H364" s="492" t="s">
        <v>1367</v>
      </c>
      <c r="I364" s="492" t="s">
        <v>1375</v>
      </c>
      <c r="J364" s="492" t="s">
        <v>1376</v>
      </c>
      <c r="K364" s="492">
        <v>390936.68</v>
      </c>
      <c r="L364" s="492">
        <v>8185060.8119999999</v>
      </c>
      <c r="M364" s="492" t="s">
        <v>1370</v>
      </c>
      <c r="N364" s="492">
        <v>7</v>
      </c>
      <c r="O364" s="492">
        <v>23444</v>
      </c>
      <c r="P364" s="492" t="s">
        <v>1343</v>
      </c>
      <c r="Q364" s="492" t="s">
        <v>1298</v>
      </c>
      <c r="R364" s="492" t="s">
        <v>1299</v>
      </c>
      <c r="S364" s="492" t="s">
        <v>1300</v>
      </c>
      <c r="T364" s="492">
        <v>1</v>
      </c>
      <c r="U364" s="492" t="s">
        <v>1301</v>
      </c>
      <c r="V364" s="492" t="s">
        <v>1302</v>
      </c>
      <c r="W364" s="492"/>
      <c r="X364" s="492"/>
      <c r="Y364" s="492"/>
      <c r="Z364" s="492"/>
      <c r="AA364" s="492"/>
      <c r="AB364" s="492"/>
      <c r="AC364" s="492"/>
      <c r="AD364" s="492"/>
      <c r="AE364" s="492"/>
      <c r="AF364" s="492"/>
      <c r="AG364" s="492"/>
      <c r="AH364" s="492"/>
      <c r="AI364" s="492"/>
      <c r="AJ364" s="492"/>
      <c r="AK364" s="492"/>
      <c r="AL364" s="492"/>
      <c r="AM364" s="493">
        <v>32303</v>
      </c>
      <c r="AN364" s="494">
        <v>0.4375</v>
      </c>
      <c r="AO364" s="493">
        <v>47989</v>
      </c>
      <c r="AP364" s="494">
        <v>0.99998842592592596</v>
      </c>
      <c r="AQ364" s="493">
        <v>32639</v>
      </c>
      <c r="AR364" s="494">
        <v>0</v>
      </c>
      <c r="AS364" s="492" t="s">
        <v>1344</v>
      </c>
      <c r="AT364" s="492">
        <v>749</v>
      </c>
      <c r="AU364" s="492" t="s">
        <v>1304</v>
      </c>
      <c r="AV364" s="492"/>
      <c r="AW364" s="493">
        <v>45551</v>
      </c>
      <c r="AX364" s="492" t="s">
        <v>1305</v>
      </c>
      <c r="AY364" s="492" t="s">
        <v>1301</v>
      </c>
      <c r="AZ364" s="492">
        <v>0.15434059947487599</v>
      </c>
      <c r="BA364" s="492">
        <v>6.3356001313399999E-4</v>
      </c>
      <c r="BH364" s="492" t="s">
        <v>1344</v>
      </c>
    </row>
    <row r="365" spans="1:60" ht="75">
      <c r="A365" s="492" t="s">
        <v>512</v>
      </c>
      <c r="B365" s="492">
        <v>197.3</v>
      </c>
      <c r="C365" s="492">
        <v>40</v>
      </c>
      <c r="D365" s="492">
        <v>60</v>
      </c>
      <c r="E365" s="492">
        <v>288.5</v>
      </c>
      <c r="F365" s="492" t="s">
        <v>1382</v>
      </c>
      <c r="G365" s="492"/>
      <c r="H365" s="492" t="s">
        <v>1367</v>
      </c>
      <c r="I365" s="492" t="s">
        <v>1375</v>
      </c>
      <c r="J365" s="492" t="s">
        <v>1376</v>
      </c>
      <c r="K365" s="492">
        <v>390952.07</v>
      </c>
      <c r="L365" s="492">
        <v>8185864.7209999999</v>
      </c>
      <c r="M365" s="492" t="s">
        <v>1370</v>
      </c>
      <c r="N365" s="492">
        <v>7</v>
      </c>
      <c r="O365" s="492">
        <v>23444</v>
      </c>
      <c r="P365" s="492" t="s">
        <v>1343</v>
      </c>
      <c r="Q365" s="492" t="s">
        <v>1298</v>
      </c>
      <c r="R365" s="492" t="s">
        <v>1299</v>
      </c>
      <c r="S365" s="492" t="s">
        <v>1300</v>
      </c>
      <c r="T365" s="492">
        <v>1</v>
      </c>
      <c r="U365" s="492" t="s">
        <v>1301</v>
      </c>
      <c r="V365" s="492" t="s">
        <v>1302</v>
      </c>
      <c r="W365" s="492"/>
      <c r="X365" s="492"/>
      <c r="Y365" s="492"/>
      <c r="Z365" s="492"/>
      <c r="AA365" s="492"/>
      <c r="AB365" s="492"/>
      <c r="AC365" s="492"/>
      <c r="AD365" s="492"/>
      <c r="AE365" s="492"/>
      <c r="AF365" s="492"/>
      <c r="AG365" s="492"/>
      <c r="AH365" s="492"/>
      <c r="AI365" s="492"/>
      <c r="AJ365" s="492"/>
      <c r="AK365" s="492"/>
      <c r="AL365" s="492"/>
      <c r="AM365" s="493">
        <v>32303</v>
      </c>
      <c r="AN365" s="494">
        <v>0.4375</v>
      </c>
      <c r="AO365" s="493">
        <v>47989</v>
      </c>
      <c r="AP365" s="494">
        <v>0.99998842592592596</v>
      </c>
      <c r="AQ365" s="493">
        <v>32639</v>
      </c>
      <c r="AR365" s="494">
        <v>0</v>
      </c>
      <c r="AS365" s="492" t="s">
        <v>1344</v>
      </c>
      <c r="AT365" s="492">
        <v>749</v>
      </c>
      <c r="AU365" s="492" t="s">
        <v>1304</v>
      </c>
      <c r="AV365" s="492"/>
      <c r="AW365" s="493">
        <v>45551</v>
      </c>
      <c r="AX365" s="492" t="s">
        <v>1305</v>
      </c>
      <c r="AY365" s="492" t="s">
        <v>1301</v>
      </c>
      <c r="AZ365" s="492">
        <v>0.15434059947487599</v>
      </c>
      <c r="BA365" s="492">
        <v>6.3356001313399999E-4</v>
      </c>
      <c r="BH365" s="492" t="s">
        <v>1344</v>
      </c>
    </row>
    <row r="366" spans="1:60" ht="75">
      <c r="A366" s="492" t="s">
        <v>1390</v>
      </c>
      <c r="B366" s="492">
        <v>174.7</v>
      </c>
      <c r="C366" s="492">
        <v>40</v>
      </c>
      <c r="D366" s="492">
        <v>60</v>
      </c>
      <c r="E366" s="492">
        <v>108.5</v>
      </c>
      <c r="F366" s="492" t="s">
        <v>1383</v>
      </c>
      <c r="G366" s="492"/>
      <c r="H366" s="492" t="s">
        <v>1373</v>
      </c>
      <c r="I366" s="492" t="s">
        <v>1368</v>
      </c>
      <c r="J366" s="492" t="s">
        <v>1369</v>
      </c>
      <c r="K366" s="492">
        <v>391186.09</v>
      </c>
      <c r="L366" s="492">
        <v>8185519.0659999996</v>
      </c>
      <c r="M366" s="492"/>
      <c r="N366" s="492">
        <v>7</v>
      </c>
      <c r="O366" s="492">
        <v>23444</v>
      </c>
      <c r="P366" s="492" t="s">
        <v>1343</v>
      </c>
      <c r="Q366" s="492" t="s">
        <v>1298</v>
      </c>
      <c r="R366" s="492" t="s">
        <v>1299</v>
      </c>
      <c r="S366" s="492" t="s">
        <v>1300</v>
      </c>
      <c r="T366" s="492">
        <v>1</v>
      </c>
      <c r="U366" s="492" t="s">
        <v>1301</v>
      </c>
      <c r="V366" s="492" t="s">
        <v>1302</v>
      </c>
      <c r="W366" s="492"/>
      <c r="X366" s="492"/>
      <c r="Y366" s="492"/>
      <c r="Z366" s="492"/>
      <c r="AA366" s="492"/>
      <c r="AB366" s="492"/>
      <c r="AC366" s="492"/>
      <c r="AD366" s="492"/>
      <c r="AE366" s="492"/>
      <c r="AF366" s="492"/>
      <c r="AG366" s="492"/>
      <c r="AH366" s="492"/>
      <c r="AI366" s="492"/>
      <c r="AJ366" s="492"/>
      <c r="AK366" s="492"/>
      <c r="AL366" s="492"/>
      <c r="AM366" s="493">
        <v>32303</v>
      </c>
      <c r="AN366" s="494">
        <v>0.4375</v>
      </c>
      <c r="AO366" s="493">
        <v>47989</v>
      </c>
      <c r="AP366" s="494">
        <v>0.99998842592592596</v>
      </c>
      <c r="AQ366" s="493">
        <v>32639</v>
      </c>
      <c r="AR366" s="494">
        <v>0</v>
      </c>
      <c r="AS366" s="492" t="s">
        <v>1344</v>
      </c>
      <c r="AT366" s="492">
        <v>749</v>
      </c>
      <c r="AU366" s="492" t="s">
        <v>1304</v>
      </c>
      <c r="AV366" s="492"/>
      <c r="AW366" s="493">
        <v>45551</v>
      </c>
      <c r="AX366" s="492" t="s">
        <v>1305</v>
      </c>
      <c r="AY366" s="492" t="s">
        <v>1301</v>
      </c>
      <c r="AZ366" s="492">
        <v>0.15434059947487599</v>
      </c>
      <c r="BA366" s="492">
        <v>6.3356001313399999E-4</v>
      </c>
      <c r="BH366" s="492" t="s">
        <v>1344</v>
      </c>
    </row>
  </sheetData>
  <autoFilter ref="A1:BP339" xr:uid="{CB53B794-2B2C-4C8A-859B-3E941B9627E6}"/>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BA15-D45E-488D-A574-62033C94C560}">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DC02A0E5853A48BC608511C667580D" ma:contentTypeVersion="16" ma:contentTypeDescription="Create a new document." ma:contentTypeScope="" ma:versionID="b628c08b7d31d19f98c26f9ce7161c69">
  <xsd:schema xmlns:xsd="http://www.w3.org/2001/XMLSchema" xmlns:xs="http://www.w3.org/2001/XMLSchema" xmlns:p="http://schemas.microsoft.com/office/2006/metadata/properties" xmlns:ns2="f3bc9d61-d0ce-4bda-aeb2-0d564fd5619b" xmlns:ns3="270c8db7-52a9-4f51-9c66-1799079c3647" targetNamespace="http://schemas.microsoft.com/office/2006/metadata/properties" ma:root="true" ma:fieldsID="8d7553337fb2f7cae42fa01695c4b0c6" ns2:_="" ns3:_="">
    <xsd:import namespace="f3bc9d61-d0ce-4bda-aeb2-0d564fd5619b"/>
    <xsd:import namespace="270c8db7-52a9-4f51-9c66-1799079c36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bc9d61-d0ce-4bda-aeb2-0d564fd561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ce318a3-3e91-4088-ba3b-eb00034c7e1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0c8db7-52a9-4f51-9c66-1799079c364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5cc919d-5bff-496b-aa7c-d2abf525a0e6}" ma:internalName="TaxCatchAll" ma:showField="CatchAllData" ma:web="270c8db7-52a9-4f51-9c66-1799079c36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3bc9d61-d0ce-4bda-aeb2-0d564fd5619b">
      <Terms xmlns="http://schemas.microsoft.com/office/infopath/2007/PartnerControls"/>
    </lcf76f155ced4ddcb4097134ff3c332f>
    <TaxCatchAll xmlns="270c8db7-52a9-4f51-9c66-1799079c3647" xsi:nil="true"/>
  </documentManagement>
</p:properties>
</file>

<file path=customXml/itemProps1.xml><?xml version="1.0" encoding="utf-8"?>
<ds:datastoreItem xmlns:ds="http://schemas.openxmlformats.org/officeDocument/2006/customXml" ds:itemID="{3DFCE943-E963-48D1-BFDA-94ACDA3C83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bc9d61-d0ce-4bda-aeb2-0d564fd5619b"/>
    <ds:schemaRef ds:uri="270c8db7-52a9-4f51-9c66-1799079c36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2C5260-6DD4-4ECA-9759-779140E7461D}">
  <ds:schemaRefs>
    <ds:schemaRef ds:uri="http://schemas.microsoft.com/DataMashup"/>
  </ds:schemaRefs>
</ds:datastoreItem>
</file>

<file path=customXml/itemProps3.xml><?xml version="1.0" encoding="utf-8"?>
<ds:datastoreItem xmlns:ds="http://schemas.openxmlformats.org/officeDocument/2006/customXml" ds:itemID="{E108340D-AFA2-4294-9CE9-351B6EA9AD37}">
  <ds:schemaRefs>
    <ds:schemaRef ds:uri="http://schemas.microsoft.com/sharepoint/v3/contenttype/forms"/>
  </ds:schemaRefs>
</ds:datastoreItem>
</file>

<file path=customXml/itemProps4.xml><?xml version="1.0" encoding="utf-8"?>
<ds:datastoreItem xmlns:ds="http://schemas.openxmlformats.org/officeDocument/2006/customXml" ds:itemID="{358A64AE-BF60-4071-9E9A-36B3A82FC58D}">
  <ds:schemaRefs>
    <ds:schemaRef ds:uri="http://purl.org/dc/terms/"/>
    <ds:schemaRef ds:uri="http://www.w3.org/XML/1998/namespace"/>
    <ds:schemaRef ds:uri="f3bc9d61-d0ce-4bda-aeb2-0d564fd5619b"/>
    <ds:schemaRef ds:uri="http://purl.org/dc/dcmitype/"/>
    <ds:schemaRef ds:uri="270c8db7-52a9-4f51-9c66-1799079c3647"/>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Pivot_Summary</vt:lpstr>
      <vt:lpstr>Scheduler</vt:lpstr>
      <vt:lpstr>Pivot_Rig38</vt:lpstr>
      <vt:lpstr>DDH1 RIG 38_Data</vt:lpstr>
      <vt:lpstr>DDH1 RIG 38</vt:lpstr>
      <vt:lpstr>Sheet3</vt:lpstr>
      <vt:lpstr>Sheet2</vt:lpstr>
      <vt:lpstr>DDH1 RIG 41</vt:lpstr>
      <vt:lpstr>STR RIG 18</vt:lpstr>
      <vt:lpstr>HYD RIG 16</vt:lpstr>
      <vt:lpstr>HYD RIG 18</vt:lpstr>
      <vt:lpstr>Template</vt:lpstr>
      <vt:lpstr>Planned_Metres_Data</vt:lpstr>
      <vt:lpstr>Budget Recon</vt:lpstr>
      <vt:lpstr>Purpose</vt:lpstr>
      <vt:lpstr>Tenement Lookup</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Pilote</dc:creator>
  <cp:keywords/>
  <dc:description/>
  <cp:lastModifiedBy>Thomas Pilote</cp:lastModifiedBy>
  <cp:revision/>
  <dcterms:created xsi:type="dcterms:W3CDTF">2025-06-19T04:47:17Z</dcterms:created>
  <dcterms:modified xsi:type="dcterms:W3CDTF">2026-03-27T07:13:09Z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0x0101000CDC02A0E5853A48BC608511C667580D</vt:lpwstr>
  </property>
</Properties>
</file>